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12" windowWidth="14436" windowHeight="12576"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明细"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E20" i="1"/>
  <c r="E13" i="1"/>
  <c r="E7" i="31" l="1"/>
  <c r="F7" i="31" s="1"/>
  <c r="D7" i="31"/>
  <c r="B29" i="31"/>
  <c r="B30" i="31"/>
  <c r="B28" i="31"/>
  <c r="A28" i="31"/>
  <c r="A29" i="31"/>
  <c r="A30" i="31"/>
  <c r="A27" i="31"/>
  <c r="D29" i="43"/>
  <c r="U3" i="43"/>
  <c r="U2" i="43"/>
  <c r="E5" i="1"/>
  <c r="C12" i="4"/>
  <c r="C6" i="64"/>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R130" i="31"/>
  <c r="T130" i="31" s="1"/>
  <c r="R131" i="31"/>
  <c r="T131" i="31" s="1"/>
  <c r="R132" i="31"/>
  <c r="T132" i="31" s="1"/>
  <c r="R133" i="31"/>
  <c r="T133" i="31" s="1"/>
  <c r="R134" i="31"/>
  <c r="T134" i="31" s="1"/>
  <c r="R135" i="31"/>
  <c r="R136" i="31"/>
  <c r="T136" i="31" s="1"/>
  <c r="R137" i="31"/>
  <c r="R138" i="31"/>
  <c r="T138" i="31" s="1"/>
  <c r="R139" i="31"/>
  <c r="T139" i="31" s="1"/>
  <c r="R140" i="31"/>
  <c r="T140" i="31" s="1"/>
  <c r="R141" i="31"/>
  <c r="T141" i="31" s="1"/>
  <c r="R142" i="31"/>
  <c r="T142" i="31" s="1"/>
  <c r="R143" i="31"/>
  <c r="R144" i="31"/>
  <c r="T144" i="31" s="1"/>
  <c r="R145" i="31"/>
  <c r="R146" i="31"/>
  <c r="T146" i="31" s="1"/>
  <c r="R147" i="31"/>
  <c r="T147" i="31" s="1"/>
  <c r="R148" i="31"/>
  <c r="T148" i="31" s="1"/>
  <c r="R149" i="31"/>
  <c r="T149" i="31" s="1"/>
  <c r="R150" i="31"/>
  <c r="T150" i="31" s="1"/>
  <c r="R151" i="31"/>
  <c r="R152" i="31"/>
  <c r="T152" i="31" s="1"/>
  <c r="R153" i="31"/>
  <c r="R154" i="31"/>
  <c r="T154" i="31" s="1"/>
  <c r="R155" i="31"/>
  <c r="T155" i="31" s="1"/>
  <c r="R156" i="31"/>
  <c r="T156" i="31" s="1"/>
  <c r="R157" i="31"/>
  <c r="T157" i="31" s="1"/>
  <c r="R158" i="31"/>
  <c r="T158" i="31" s="1"/>
  <c r="R159" i="31"/>
  <c r="R160" i="31"/>
  <c r="T160" i="31" s="1"/>
  <c r="R161" i="3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4" i="31"/>
  <c r="S120" i="31"/>
  <c r="S116" i="31"/>
  <c r="S468" i="31"/>
  <c r="S464" i="31"/>
  <c r="S460" i="31"/>
  <c r="S456" i="31"/>
  <c r="S43" i="31"/>
  <c r="S72" i="31"/>
  <c r="S68" i="31"/>
  <c r="S64" i="31"/>
  <c r="S60" i="31"/>
  <c r="S100" i="31"/>
  <c r="S96" i="31"/>
  <c r="S92" i="31"/>
  <c r="S88" i="31"/>
  <c r="S84" i="31"/>
  <c r="S34" i="31"/>
  <c r="S102" i="31"/>
  <c r="S106" i="31"/>
  <c r="S110"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07" i="31"/>
  <c r="S375" i="31"/>
  <c r="S351" i="31"/>
  <c r="S335" i="31"/>
  <c r="T321" i="31"/>
  <c r="T313" i="31"/>
  <c r="T305" i="31"/>
  <c r="T297" i="31"/>
  <c r="T289" i="31"/>
  <c r="T281" i="31"/>
  <c r="T273" i="31"/>
  <c r="T265" i="31"/>
  <c r="T261" i="31"/>
  <c r="T259" i="31"/>
  <c r="S113" i="31"/>
  <c r="S105" i="31"/>
  <c r="S81" i="31"/>
  <c r="S89" i="31"/>
  <c r="S97" i="31"/>
  <c r="S505" i="31"/>
  <c r="S131" i="31"/>
  <c r="S139" i="31"/>
  <c r="S147" i="31"/>
  <c r="S155"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85" i="31"/>
  <c r="T451" i="31"/>
  <c r="T79" i="31"/>
  <c r="T75" i="31"/>
  <c r="T73" i="31"/>
  <c r="T71" i="31"/>
  <c r="T69" i="31"/>
  <c r="T67" i="31"/>
  <c r="T65" i="31"/>
  <c r="T63" i="31"/>
  <c r="T61" i="31"/>
  <c r="T59" i="31"/>
  <c r="T57" i="31"/>
  <c r="T53" i="31"/>
  <c r="T49" i="31"/>
  <c r="T45" i="31"/>
  <c r="T41" i="31"/>
  <c r="T37" i="31"/>
  <c r="S431" i="31"/>
  <c r="S225" i="31"/>
  <c r="S221" i="31"/>
  <c r="S217" i="31"/>
  <c r="S213" i="31"/>
  <c r="S209" i="31"/>
  <c r="S205" i="31"/>
  <c r="S201" i="31"/>
  <c r="S197" i="31"/>
  <c r="S193" i="31"/>
  <c r="S189" i="31"/>
  <c r="S185" i="31"/>
  <c r="S181" i="31"/>
  <c r="S177" i="31"/>
  <c r="S173" i="31"/>
  <c r="S169" i="31"/>
  <c r="S165" i="31"/>
  <c r="S157" i="31"/>
  <c r="S149" i="31"/>
  <c r="S141" i="31"/>
  <c r="S133" i="31"/>
  <c r="S443" i="31"/>
  <c r="S435" i="31"/>
  <c r="S467" i="31"/>
  <c r="S459" i="31"/>
  <c r="S99" i="31"/>
  <c r="S95" i="31"/>
  <c r="S91" i="31"/>
  <c r="S87" i="31"/>
  <c r="S83" i="31"/>
  <c r="S33" i="31"/>
  <c r="S103" i="31"/>
  <c r="S107" i="31"/>
  <c r="S111"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13" i="12"/>
  <c r="C36" i="1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D15" i="59"/>
  <c r="H23" i="31"/>
  <c r="D4" i="61"/>
  <c r="E2" i="35"/>
  <c r="E2" i="11"/>
  <c r="F5" i="61"/>
  <c r="E2" i="37"/>
  <c r="F6" i="61"/>
  <c r="D19" i="57"/>
  <c r="E2" i="33"/>
  <c r="C19" i="57"/>
  <c r="E2" i="34"/>
  <c r="F3" i="61"/>
  <c r="D5" i="61"/>
  <c r="D7" i="61"/>
  <c r="F4" i="61"/>
  <c r="D3" i="61"/>
  <c r="C20" i="57"/>
  <c r="E2" i="36"/>
  <c r="D20" i="57"/>
  <c r="E2" i="21"/>
  <c r="F7" i="61"/>
  <c r="D6" i="61"/>
  <c r="D56" i="43" l="1"/>
  <c r="D48" i="43"/>
  <c r="D54" i="43"/>
  <c r="D51" i="43"/>
  <c r="D50" i="43"/>
  <c r="D49" i="43"/>
  <c r="S487" i="31"/>
  <c r="S471" i="31"/>
  <c r="S425" i="31"/>
  <c r="S417" i="31"/>
  <c r="S409" i="31"/>
  <c r="S401" i="31"/>
  <c r="S393" i="31"/>
  <c r="S385" i="31"/>
  <c r="S377" i="31"/>
  <c r="S369" i="31"/>
  <c r="S361" i="31"/>
  <c r="S353" i="31"/>
  <c r="S345" i="31"/>
  <c r="S337" i="31"/>
  <c r="S329" i="31"/>
  <c r="S511" i="31"/>
  <c r="S455" i="31"/>
  <c r="S463" i="31"/>
  <c r="S501" i="31"/>
  <c r="S439" i="31"/>
  <c r="S447" i="31"/>
  <c r="T449" i="31"/>
  <c r="T477" i="31"/>
  <c r="T493" i="31"/>
  <c r="S445" i="31"/>
  <c r="S457" i="31"/>
  <c r="S517" i="31"/>
  <c r="T269" i="31"/>
  <c r="T277" i="31"/>
  <c r="T285" i="31"/>
  <c r="T293" i="31"/>
  <c r="T301" i="31"/>
  <c r="T309" i="31"/>
  <c r="T317" i="31"/>
  <c r="S327" i="31"/>
  <c r="S343" i="31"/>
  <c r="S359" i="31"/>
  <c r="S391" i="31"/>
  <c r="S423" i="31"/>
  <c r="S112" i="31"/>
  <c r="S108" i="31"/>
  <c r="S104" i="31"/>
  <c r="S32" i="31"/>
  <c r="S82" i="31"/>
  <c r="S86" i="31"/>
  <c r="S90" i="31"/>
  <c r="S94" i="31"/>
  <c r="S98" i="31"/>
  <c r="S58" i="31"/>
  <c r="S62" i="31"/>
  <c r="S66" i="31"/>
  <c r="S70" i="31"/>
  <c r="S74" i="31"/>
  <c r="S503" i="31"/>
  <c r="S118" i="31"/>
  <c r="S122"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222" i="31"/>
  <c r="S226" i="31"/>
  <c r="S228" i="31"/>
  <c r="S230" i="31"/>
  <c r="S232" i="31"/>
  <c r="S234" i="31"/>
  <c r="S236" i="31"/>
  <c r="S238" i="31"/>
  <c r="S240" i="31"/>
  <c r="S242" i="31"/>
  <c r="S244" i="31"/>
  <c r="S246" i="31"/>
  <c r="S248" i="31"/>
  <c r="T527" i="31"/>
  <c r="S527" i="31"/>
  <c r="T525" i="31"/>
  <c r="S525" i="31"/>
  <c r="T523" i="31"/>
  <c r="S523" i="31"/>
  <c r="T521" i="31"/>
  <c r="S521" i="31"/>
  <c r="T519" i="31"/>
  <c r="S519" i="31"/>
  <c r="T513" i="31"/>
  <c r="S51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7" i="31"/>
  <c r="S137" i="31"/>
  <c r="T135" i="31"/>
  <c r="S135" i="31"/>
  <c r="T129" i="31"/>
  <c r="S129" i="31"/>
  <c r="T127" i="31"/>
  <c r="S127" i="31"/>
  <c r="T109" i="31"/>
  <c r="S109" i="31"/>
  <c r="T101" i="31"/>
  <c r="S101" i="31"/>
  <c r="T93" i="31"/>
  <c r="S93" i="31"/>
  <c r="T85" i="31"/>
  <c r="S85" i="31"/>
  <c r="T51" i="31"/>
  <c r="S51" i="31"/>
  <c r="T35" i="31"/>
  <c r="S35" i="31"/>
  <c r="S515" i="31"/>
  <c r="S509" i="31"/>
  <c r="T473" i="31"/>
  <c r="T481" i="31"/>
  <c r="T489" i="31"/>
  <c r="T497" i="31"/>
  <c r="S429" i="31"/>
  <c r="S437" i="31"/>
  <c r="S465" i="31"/>
  <c r="S367" i="31"/>
  <c r="S383" i="31"/>
  <c r="S399" i="31"/>
  <c r="S415" i="31"/>
  <c r="S483" i="31"/>
  <c r="U25" i="31"/>
  <c r="C17" i="15"/>
  <c r="D19" i="11"/>
  <c r="D3" i="37"/>
  <c r="D3" i="34"/>
  <c r="D10" i="11"/>
  <c r="C10" i="11" s="1"/>
  <c r="M29" i="15"/>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E125" i="57"/>
  <c r="D126" i="57"/>
  <c r="C94" i="57"/>
  <c r="C96" i="57"/>
  <c r="C113" i="57"/>
  <c r="H108" i="57" s="1"/>
  <c r="C115" i="57"/>
  <c r="H110" i="57" s="1"/>
  <c r="C31" i="12"/>
  <c r="C23" i="12"/>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E48" i="43" l="1"/>
  <c r="B46" i="43" s="1"/>
  <c r="C24" i="43" s="1"/>
  <c r="D8" i="48"/>
  <c r="C3" i="4"/>
  <c r="B4" i="55" s="1"/>
  <c r="B53" i="60" s="1"/>
  <c r="C8" i="11"/>
  <c r="C18" i="12"/>
  <c r="C21" i="12" s="1"/>
  <c r="C22" i="12" s="1"/>
  <c r="C30" i="12" s="1"/>
  <c r="C28" i="12" s="1"/>
  <c r="C7" i="43"/>
  <c r="C5" i="43" s="1"/>
  <c r="F7" i="35"/>
  <c r="C18" i="15"/>
  <c r="C16" i="15"/>
  <c r="J7" i="35"/>
  <c r="C30" i="11"/>
  <c r="C48" i="11"/>
  <c r="C32" i="15"/>
  <c r="E27" i="1"/>
  <c r="D5" i="43"/>
  <c r="Q59" i="15"/>
  <c r="C33" i="11"/>
  <c r="C39" i="11" s="1"/>
  <c r="C46" i="11" s="1"/>
  <c r="C45" i="11" s="1"/>
  <c r="C106" i="57"/>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2" i="43" l="1"/>
  <c r="C6"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C20" i="9"/>
  <c r="C19"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G20" i="9"/>
  <c r="L20" i="9" s="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R27" i="31"/>
  <c r="AC7" i="40"/>
  <c r="V42" i="40" s="1"/>
  <c r="I42" i="40" s="1"/>
  <c r="I46" i="40" s="1"/>
  <c r="J46" i="40" s="1"/>
  <c r="W7" i="40"/>
  <c r="S7" i="40"/>
  <c r="AA7" i="40"/>
  <c r="R42" i="40" s="1"/>
  <c r="R43" i="40" s="1"/>
  <c r="AB7" i="40"/>
  <c r="T42" i="40" s="1"/>
  <c r="G42" i="40" s="1"/>
  <c r="G46" i="40" s="1"/>
  <c r="H46" i="40" s="1"/>
  <c r="U7" i="40"/>
  <c r="S27" i="31" l="1"/>
  <c r="R29" i="31"/>
  <c r="C33" i="57"/>
  <c r="T27" i="31"/>
  <c r="R30" i="31"/>
  <c r="R28" i="31"/>
  <c r="G47" i="40"/>
  <c r="H47" i="40" s="1"/>
  <c r="E42" i="40"/>
  <c r="T30" i="31" l="1"/>
  <c r="S30" i="31"/>
  <c r="S28" i="31"/>
  <c r="T28" i="31"/>
  <c r="T29" i="31"/>
  <c r="S29" i="31"/>
  <c r="I47" i="40"/>
  <c r="J47" i="40" s="1"/>
  <c r="E47" i="40"/>
  <c r="F47" i="40" s="1"/>
  <c r="E46" i="40"/>
  <c r="F46" i="40" s="1"/>
  <c r="C43" i="40"/>
  <c r="C42" i="40"/>
  <c r="S25" i="31" l="1"/>
  <c r="T25" i="31"/>
  <c r="R25"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B23" i="31" l="1"/>
  <c r="B2" i="31" s="1"/>
  <c r="C34" i="57" s="1"/>
  <c r="H125" i="57" s="1"/>
  <c r="E121" i="9"/>
  <c r="G121" i="9"/>
  <c r="I121" i="9"/>
  <c r="B24" i="31" l="1"/>
  <c r="B3" i="31" s="1"/>
  <c r="C35" i="57" s="1"/>
  <c r="I125" i="57" s="1"/>
  <c r="D111" i="57" s="1"/>
  <c r="H126" i="57"/>
  <c r="I104" i="57"/>
  <c r="I114" i="57" s="1"/>
  <c r="D110" i="57"/>
  <c r="D118" i="57" s="1"/>
  <c r="D119" i="57" s="1"/>
  <c r="C107" i="57"/>
  <c r="D107" i="9"/>
  <c r="D121" i="9"/>
  <c r="E4" i="52"/>
  <c r="B38" i="60" s="1"/>
  <c r="F121" i="9"/>
  <c r="G4" i="52"/>
  <c r="B41" i="60" s="1"/>
  <c r="H121" i="9"/>
  <c r="H4" i="52" s="1"/>
  <c r="C104" i="9"/>
  <c r="I103" i="9"/>
  <c r="I115" i="57" l="1"/>
  <c r="D41" i="50"/>
  <c r="B63" i="60" s="1"/>
  <c r="D131" i="57"/>
  <c r="D18" i="50"/>
  <c r="N51" i="57"/>
  <c r="D14" i="62"/>
  <c r="B5" i="62" s="1"/>
  <c r="I4" i="52"/>
  <c r="I105" i="57"/>
  <c r="D30" i="50" s="1"/>
  <c r="C108" i="57"/>
  <c r="E14" i="62"/>
  <c r="D116" i="57"/>
  <c r="D117" i="57" s="1"/>
  <c r="I113" i="57" s="1"/>
  <c r="D130" i="57" s="1"/>
  <c r="D10" i="52" s="1"/>
  <c r="D47" i="57"/>
  <c r="I112" i="57"/>
  <c r="D129" i="57" s="1"/>
  <c r="N50" i="57"/>
  <c r="D9" i="50"/>
  <c r="B21" i="60" s="1"/>
  <c r="F122" i="9"/>
  <c r="F5" i="52" s="1"/>
  <c r="B42" i="60" s="1"/>
  <c r="F4" i="52"/>
  <c r="B40" i="60" s="1"/>
  <c r="D122" i="9"/>
  <c r="D5" i="52" s="1"/>
  <c r="B39" i="60" s="1"/>
  <c r="D4" i="52"/>
  <c r="B37" i="60" s="1"/>
  <c r="C103" i="9"/>
  <c r="I102" i="9"/>
  <c r="I112" i="9" s="1"/>
  <c r="D106" i="9"/>
  <c r="H122" i="9"/>
  <c r="H5" i="52" s="1"/>
  <c r="D39" i="50" l="1"/>
  <c r="D40" i="50" s="1"/>
  <c r="D127" i="9"/>
  <c r="H14" i="62" s="1"/>
  <c r="B7" i="62" s="1"/>
  <c r="N49" i="9"/>
  <c r="B31" i="60"/>
  <c r="D19" i="50"/>
  <c r="B32" i="60" s="1"/>
  <c r="D112" i="9"/>
  <c r="D114" i="9"/>
  <c r="D115" i="9" s="1"/>
  <c r="I113" i="9" s="1"/>
  <c r="D128" i="9" s="1"/>
  <c r="D11" i="52" s="1"/>
  <c r="M70" i="57"/>
  <c r="N70" i="57" s="1"/>
  <c r="M68" i="57"/>
  <c r="N68" i="57" s="1"/>
  <c r="M65" i="57"/>
  <c r="N65" i="57" s="1"/>
  <c r="M69" i="57"/>
  <c r="N69" i="57" s="1"/>
  <c r="M67" i="57"/>
  <c r="N67" i="57" s="1"/>
  <c r="M66" i="57"/>
  <c r="N66" i="57" s="1"/>
  <c r="D132" i="57"/>
  <c r="D20" i="50"/>
  <c r="F14" i="62"/>
  <c r="D61" i="57"/>
  <c r="N57" i="57" s="1"/>
  <c r="D57" i="57"/>
  <c r="N55" i="57" s="1"/>
  <c r="C95" i="57"/>
  <c r="C88" i="57" s="1"/>
  <c r="D54" i="57"/>
  <c r="C87" i="57"/>
  <c r="D55" i="57"/>
  <c r="D50" i="57" s="1"/>
  <c r="N54" i="57" s="1"/>
  <c r="C80" i="57"/>
  <c r="C75" i="57" s="1"/>
  <c r="C66" i="57"/>
  <c r="C65" i="57" s="1"/>
  <c r="C69" i="57" s="1"/>
  <c r="C70" i="57" s="1"/>
  <c r="D56" i="57" s="1"/>
  <c r="C74" i="57"/>
  <c r="D5" i="62"/>
  <c r="C5" i="62"/>
  <c r="D28" i="50"/>
  <c r="D29" i="50" s="1"/>
  <c r="D7" i="50"/>
  <c r="I110" i="9"/>
  <c r="N48" i="9"/>
  <c r="D45" i="9"/>
  <c r="D113" i="9"/>
  <c r="D55" i="9" l="1"/>
  <c r="N53" i="9" s="1"/>
  <c r="C97" i="57"/>
  <c r="C81" i="57"/>
  <c r="N71" i="57"/>
  <c r="O71" i="57" s="1"/>
  <c r="D7" i="62"/>
  <c r="C7" i="62"/>
  <c r="M65" i="9"/>
  <c r="N65" i="9" s="1"/>
  <c r="M67" i="9"/>
  <c r="N67" i="9" s="1"/>
  <c r="M68" i="9"/>
  <c r="N68" i="9" s="1"/>
  <c r="M66" i="9"/>
  <c r="N66" i="9" s="1"/>
  <c r="M64" i="9"/>
  <c r="N64" i="9" s="1"/>
  <c r="M63" i="9"/>
  <c r="N63" i="9" s="1"/>
  <c r="C82" i="57"/>
  <c r="E82" i="57" s="1"/>
  <c r="E83" i="57" s="1"/>
  <c r="C98" i="57"/>
  <c r="E98" i="57" s="1"/>
  <c r="E99" i="57" s="1"/>
  <c r="I111" i="9"/>
  <c r="D38" i="50"/>
  <c r="B62" i="60" s="1"/>
  <c r="D125" i="9"/>
  <c r="D36" i="50"/>
  <c r="D37" i="50" s="1"/>
  <c r="D15" i="50"/>
  <c r="B19" i="60"/>
  <c r="D8" i="50"/>
  <c r="B22" i="60" s="1"/>
  <c r="D52" i="9"/>
  <c r="C85" i="9"/>
  <c r="C64" i="9"/>
  <c r="C63" i="9" s="1"/>
  <c r="C67" i="9" s="1"/>
  <c r="C68" i="9" s="1"/>
  <c r="D54" i="9" s="1"/>
  <c r="C78" i="9"/>
  <c r="C73" i="9" s="1"/>
  <c r="C93" i="9"/>
  <c r="C86" i="9" s="1"/>
  <c r="C72" i="9"/>
  <c r="D53" i="9"/>
  <c r="D48" i="9" s="1"/>
  <c r="N52" i="9" s="1"/>
  <c r="D59" i="9" l="1"/>
  <c r="N55" i="9" s="1"/>
  <c r="N69" i="9"/>
  <c r="O69" i="9" s="1"/>
  <c r="D8" i="52"/>
  <c r="G14" i="62"/>
  <c r="B6" i="62" s="1"/>
  <c r="C83" i="57"/>
  <c r="C99" i="57"/>
  <c r="D60" i="57" s="1"/>
  <c r="D58" i="57" s="1"/>
  <c r="N56" i="57" s="1"/>
  <c r="O59" i="57" s="1"/>
  <c r="C79" i="9"/>
  <c r="B29" i="60"/>
  <c r="D16" i="50"/>
  <c r="B30" i="60" s="1"/>
  <c r="D126" i="9"/>
  <c r="D9" i="52" s="1"/>
  <c r="D17" i="50"/>
  <c r="C95" i="9"/>
  <c r="D6" i="62" l="1"/>
  <c r="C6" i="62"/>
  <c r="O60" i="57"/>
  <c r="O61" i="57"/>
  <c r="Q59" i="57"/>
  <c r="C80" i="9"/>
  <c r="E80" i="9" s="1"/>
  <c r="E81" i="9" s="1"/>
  <c r="C96" i="9"/>
  <c r="E96" i="9" s="1"/>
  <c r="E97" i="9" s="1"/>
  <c r="I116" i="57" l="1"/>
  <c r="D120" i="57"/>
  <c r="O62" i="57"/>
  <c r="O63" i="57"/>
  <c r="C97" i="9"/>
  <c r="C81" i="9"/>
  <c r="D121" i="57" l="1"/>
  <c r="I117" i="57" s="1"/>
  <c r="D133" i="57"/>
  <c r="D42" i="50"/>
  <c r="D43" i="50" s="1"/>
  <c r="D21" i="50"/>
  <c r="D58" i="9"/>
  <c r="D56" i="9" s="1"/>
  <c r="N54" i="9" s="1"/>
  <c r="O57" i="9" s="1"/>
  <c r="O58" i="9" s="1"/>
  <c r="D44" i="50" l="1"/>
  <c r="B33" i="60"/>
  <c r="D22" i="50"/>
  <c r="B35" i="60" s="1"/>
  <c r="D12" i="52"/>
  <c r="Q57" i="9"/>
  <c r="O59" i="9"/>
  <c r="O60" i="9"/>
  <c r="D116" i="9" l="1"/>
  <c r="I114" i="9"/>
  <c r="D129" i="9" s="1"/>
  <c r="I14" i="62" s="1"/>
  <c r="B8" i="62" s="1"/>
  <c r="O61" i="9"/>
  <c r="D8" i="62" l="1"/>
  <c r="C8" i="62"/>
  <c r="D117" i="9"/>
  <c r="I115" i="9" s="1"/>
  <c r="D23" i="50" s="1"/>
  <c r="B34"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<sst xmlns="http://schemas.openxmlformats.org/spreadsheetml/2006/main" count="6922" uniqueCount="3028">
  <si>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</si>
  <si>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</si>
  <si>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</si>
  <si>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</si>
  <si>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</si>
  <si>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</si>
  <si>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</si>
  <si>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</si>
  <si>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</si>
  <si>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</si>
  <si>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</si>
  <si>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</si>
  <si>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</si>
  <si>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</si>
  <si>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</si>
  <si>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</si>
  <si>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</si>
  <si>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</si>
  <si>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</si>
  <si>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</si>
  <si>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</si>
  <si>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</si>
  <si>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</si>
  <si>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</si>
  <si>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</si>
  <si>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</si>
  <si>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</si>
  <si>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</si>
  <si>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</si>
  <si>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</si>
  <si>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</si>
  <si>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</si>
  <si>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</si>
  <si>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</si>
  <si>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</si>
  <si>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</si>
  <si>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</si>
  <si>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</si>
  <si>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</si>
  <si>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</si>
  <si>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</si>
  <si>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</si>
  <si>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</si>
  <si>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</si>
  <si>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</si>
  <si>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</si>
  <si>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</si>
  <si>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</si>
  <si>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</si>
  <si>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</si>
  <si>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</si>
  <si>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</si>
  <si>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</si>
  <si>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</si>
  <si>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</si>
  <si>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</si>
  <si>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</si>
  <si>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</si>
  <si>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</si>
  <si>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</si>
  <si>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</si>
  <si>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</si>
  <si>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</si>
  <si>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</si>
  <si>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</si>
  <si>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</si>
  <si>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</si>
  <si>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</si>
  <si>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</si>
  <si>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</si>
  <si>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</si>
  <si>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</si>
  <si>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</si>
  <si>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</si>
  <si>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</si>
  <si>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</si>
  <si>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</si>
  <si>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</si>
  <si>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</si>
  <si>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</si>
  <si>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</si>
  <si>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</si>
  <si>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</si>
  <si>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</si>
  <si>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</si>
  <si>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</si>
  <si>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</si>
  <si>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</si>
  <si>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</si>
  <si>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</si>
  <si>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</si>
  <si>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</si>
  <si>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</si>
  <si>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</si>
  <si>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</si>
  <si>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</si>
  <si>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</si>
  <si>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</si>
  <si>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</si>
  <si>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</si>
  <si>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</si>
  <si>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</si>
  <si>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</si>
  <si>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</si>
  <si>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</si>
  <si>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</si>
  <si>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</si>
  <si>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</si>
  <si>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</si>
  <si>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</si>
  <si>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</si>
  <si>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</si>
  <si>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</si>
  <si>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</si>
  <si>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</si>
  <si>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</si>
  <si>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</si>
  <si>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</si>
  <si>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</si>
  <si>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</si>
  <si>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</si>
  <si>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</si>
  <si>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</si>
  <si>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</si>
  <si>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</si>
  <si>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</si>
  <si>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</si>
  <si>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</si>
  <si>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</si>
  <si>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</si>
  <si>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</si>
  <si>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</si>
  <si>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</si>
  <si>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</si>
  <si>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</si>
  <si>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</si>
  <si>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</si>
  <si>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</si>
  <si>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</si>
  <si>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</si>
  <si>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</si>
  <si>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</si>
  <si>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</si>
  <si>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</si>
  <si>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</si>
  <si>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</si>
  <si>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</si>
  <si>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</si>
  <si>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</si>
  <si>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</si>
  <si>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</si>
  <si>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</si>
  <si>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</si>
  <si>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</si>
  <si>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</si>
  <si>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</si>
  <si>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</si>
  <si>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</si>
  <si>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</si>
  <si>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</si>
  <si>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</si>
  <si>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</si>
  <si>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</si>
  <si>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</si>
  <si>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</si>
  <si>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</si>
  <si>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</si>
  <si>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</si>
  <si>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</si>
  <si>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</si>
  <si>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</si>
  <si>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</si>
  <si>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</si>
  <si>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</si>
  <si>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</si>
  <si>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</si>
  <si>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</si>
  <si>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</si>
  <si>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</si>
  <si>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</si>
  <si>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</si>
  <si>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</si>
  <si>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</si>
  <si>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</si>
  <si>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</si>
  <si>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</si>
  <si>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</si>
  <si>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</si>
  <si>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</si>
  <si>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</si>
  <si>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</si>
  <si>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</si>
  <si>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</si>
  <si>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</si>
  <si>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</si>
  <si>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</si>
  <si>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</si>
  <si>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</si>
  <si>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</si>
  <si>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</si>
  <si>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</si>
  <si>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</si>
  <si>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</si>
  <si>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</si>
  <si>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</si>
  <si>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</si>
  <si>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</si>
  <si>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</si>
  <si>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</si>
  <si>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</si>
  <si>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</si>
  <si>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</si>
  <si>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</si>
  <si>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</si>
  <si>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</si>
  <si>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</si>
  <si>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</si>
  <si>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</si>
  <si>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</si>
  <si>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</si>
  <si>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</si>
  <si>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</si>
  <si>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</si>
  <si>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</si>
  <si>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</si>
  <si>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</si>
  <si>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</si>
  <si>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</si>
  <si>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</si>
  <si>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</si>
  <si>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</si>
  <si>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</si>
  <si>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</si>
  <si>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</si>
  <si>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</si>
  <si>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</si>
  <si>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</si>
  <si>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</si>
  <si>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</si>
  <si>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</si>
  <si>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</si>
  <si>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</si>
  <si>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</si>
  <si>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</si>
  <si>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</si>
  <si>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</si>
  <si>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</si>
  <si>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</si>
  <si>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</si>
  <si>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</si>
  <si>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</si>
  <si>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</si>
  <si>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</si>
  <si>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</si>
  <si>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</si>
  <si>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</si>
  <si>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</si>
  <si>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</si>
  <si>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</si>
  <si>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</si>
  <si>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</si>
  <si>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</si>
  <si>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</si>
  <si>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</si>
  <si>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</si>
  <si>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</si>
  <si>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</si>
  <si>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</si>
  <si>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</si>
  <si>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</si>
  <si>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</si>
  <si>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</si>
  <si>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</si>
  <si>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</si>
  <si>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</si>
  <si>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</si>
  <si>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</si>
  <si>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</si>
  <si>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</si>
  <si>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</si>
  <si>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</si>
  <si>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</si>
  <si>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</si>
  <si>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</si>
  <si>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</si>
  <si>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</si>
  <si>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</si>
  <si>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</si>
  <si>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</si>
  <si>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</si>
  <si>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</si>
  <si>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</si>
  <si>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</si>
  <si>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</si>
  <si>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</si>
  <si>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</si>
  <si>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</si>
  <si>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</si>
  <si>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</si>
  <si>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</si>
  <si>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</si>
  <si>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</si>
  <si>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</si>
  <si>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</si>
  <si>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</si>
  <si>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</si>
  <si>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</si>
  <si>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</si>
  <si>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</si>
  <si>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</si>
  <si>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</si>
  <si>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</si>
  <si>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</si>
  <si>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</si>
  <si>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</si>
  <si>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</si>
  <si>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</si>
  <si>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</si>
  <si>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</si>
  <si>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</si>
  <si>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</si>
  <si>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</si>
  <si>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</si>
  <si>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</si>
  <si>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</si>
  <si>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</si>
  <si>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</si>
  <si>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</si>
  <si>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</si>
  <si>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</si>
  <si>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</si>
  <si>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</si>
  <si>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</si>
  <si>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</si>
  <si>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</si>
  <si>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</si>
  <si>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</si>
  <si>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</si>
  <si>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</si>
  <si>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</si>
  <si>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</si>
  <si>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</si>
  <si>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</si>
  <si>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</si>
  <si>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</si>
  <si>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</si>
  <si>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</si>
  <si>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</si>
  <si>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</si>
  <si>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</si>
  <si>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</si>
  <si>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</si>
  <si>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</si>
  <si>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</si>
  <si>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</si>
  <si>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</si>
  <si>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</si>
  <si>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</si>
  <si>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</si>
  <si>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</si>
  <si>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</si>
  <si>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</si>
  <si>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</si>
  <si>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</si>
  <si>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</si>
  <si>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</si>
  <si>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</si>
  <si>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</si>
  <si>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</si>
  <si>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</si>
  <si>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</si>
  <si>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</si>
  <si>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</si>
  <si>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</si>
  <si>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</si>
  <si>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</si>
  <si>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</si>
  <si>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</si>
  <si>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</si>
  <si>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</si>
  <si>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</si>
  <si>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</si>
  <si>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</si>
  <si>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</si>
  <si>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</si>
  <si>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</si>
  <si>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</si>
  <si>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</si>
  <si>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</si>
  <si>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</si>
  <si>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</si>
  <si>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</si>
  <si>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</si>
  <si>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</si>
  <si>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</si>
  <si>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</si>
  <si>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</si>
  <si>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</si>
  <si>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</si>
  <si>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</si>
  <si>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</si>
  <si>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</si>
  <si>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</si>
  <si>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</si>
  <si>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</si>
  <si>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</si>
  <si>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</si>
  <si>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</si>
  <si>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</si>
  <si>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</si>
  <si>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</si>
  <si>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</si>
  <si>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</si>
  <si>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</si>
  <si>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</si>
  <si>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</si>
  <si>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</si>
  <si>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</si>
  <si>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</si>
  <si>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</si>
  <si>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</si>
  <si>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</si>
  <si>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</si>
  <si>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</si>
  <si>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</si>
  <si>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</si>
  <si>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</si>
  <si>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</si>
  <si>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</si>
  <si>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</si>
  <si>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</si>
  <si>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</si>
  <si>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</si>
  <si>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</si>
  <si>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</si>
  <si>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</si>
  <si>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</si>
  <si>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</si>
  <si>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</si>
  <si>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</si>
  <si>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</si>
  <si>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</si>
  <si>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</si>
  <si>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</si>
  <si>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</si>
  <si>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</si>
  <si>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</si>
  <si>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</si>
  <si>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</si>
  <si>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</si>
  <si>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</si>
  <si>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</si>
  <si>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</si>
  <si>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</si>
  <si>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</si>
  <si>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</si>
  <si>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</si>
  <si>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</si>
  <si>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</si>
  <si>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</si>
  <si>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</si>
  <si>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</si>
  <si>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</si>
  <si>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</si>
  <si>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</si>
  <si>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</si>
  <si>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</si>
  <si>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</si>
  <si>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</si>
  <si>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</si>
  <si>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</si>
  <si>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</si>
  <si>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</si>
  <si>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</si>
  <si>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</si>
  <si>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</si>
  <si>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</si>
  <si>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</si>
  <si>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</si>
  <si>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</si>
  <si>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</si>
  <si>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</si>
  <si>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</si>
  <si>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</si>
  <si>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</si>
  <si>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</si>
  <si>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</si>
  <si>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</si>
  <si>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</si>
  <si>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</si>
  <si>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</si>
  <si>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</si>
  <si>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</si>
  <si>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</si>
  <si>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</si>
  <si>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</si>
  <si>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</si>
  <si>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</si>
  <si>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</si>
  <si>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</si>
  <si>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</si>
  <si>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</si>
  <si>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</si>
  <si>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</si>
  <si>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</si>
  <si>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</si>
  <si>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</si>
  <si>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</si>
  <si>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</si>
  <si>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</si>
  <si>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</si>
  <si>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</si>
  <si>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</si>
  <si>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</si>
  <si>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</si>
  <si>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</si>
  <si>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</si>
  <si>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</si>
  <si>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</si>
  <si>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</si>
  <si>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</si>
  <si>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</si>
  <si>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</si>
  <si>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</si>
  <si>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</si>
  <si>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</si>
  <si>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</si>
  <si>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</si>
  <si>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</si>
  <si>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</si>
  <si>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</si>
  <si>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</si>
  <si>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</si>
  <si>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</si>
  <si>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</si>
  <si>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</si>
  <si>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</si>
  <si>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</si>
  <si>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</si>
  <si>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</si>
  <si>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</si>
  <si>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</si>
  <si>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</si>
  <si>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</si>
  <si>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</si>
  <si>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</si>
  <si>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</si>
  <si>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</si>
  <si>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</si>
  <si>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</si>
  <si>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</si>
  <si>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</si>
  <si>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</si>
  <si>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</si>
  <si>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</si>
  <si>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</si>
  <si>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</si>
  <si>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</si>
  <si>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</si>
  <si>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</si>
  <si>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</si>
  <si>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</si>
  <si>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</si>
  <si>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</si>
  <si>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</si>
  <si>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</si>
  <si>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</si>
  <si>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</si>
  <si>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</si>
  <si>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</si>
  <si>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</si>
  <si>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</si>
  <si>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</si>
  <si>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</si>
  <si>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</si>
  <si>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</si>
  <si>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</si>
  <si>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</si>
  <si>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</si>
  <si>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</si>
  <si>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</si>
  <si>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</si>
  <si>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</si>
  <si>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</si>
  <si>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</si>
  <si>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</si>
  <si>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</si>
  <si>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</si>
  <si>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</si>
  <si>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</si>
  <si>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</si>
  <si>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</si>
  <si>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</si>
  <si>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</si>
  <si>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</si>
  <si>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</si>
  <si>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</si>
  <si>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</si>
  <si>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</si>
  <si>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</si>
  <si>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</si>
  <si>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</si>
  <si>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</si>
  <si>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</si>
  <si>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</si>
  <si>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</si>
  <si>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</si>
  <si>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</si>
  <si>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</si>
  <si>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</si>
  <si>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</si>
  <si>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</si>
  <si>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</si>
  <si>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</si>
  <si>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</si>
  <si>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</si>
  <si>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</si>
  <si>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</si>
  <si>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</si>
  <si>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</si>
  <si>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</si>
  <si>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</si>
  <si>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</si>
  <si>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</si>
  <si>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</si>
  <si>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</si>
  <si>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</si>
  <si>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</si>
  <si>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</si>
  <si>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</si>
  <si>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</si>
  <si>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</si>
  <si>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</si>
  <si>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</si>
  <si>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</si>
  <si>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</si>
  <si>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</si>
  <si>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</si>
  <si>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</si>
  <si>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</si>
  <si>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</si>
  <si>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</si>
  <si>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</si>
  <si>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</si>
  <si>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</si>
  <si>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</si>
  <si>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</si>
  <si>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</si>
  <si>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</si>
  <si>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</si>
  <si>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</si>
  <si>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</si>
  <si>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</si>
  <si>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</si>
  <si>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</si>
  <si>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</si>
  <si>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</si>
  <si>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</si>
  <si>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</si>
  <si>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</si>
  <si>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</si>
  <si>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</si>
  <si>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</si>
  <si>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</si>
  <si>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</si>
  <si>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</si>
  <si>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</si>
  <si>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</si>
  <si>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</si>
  <si>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</si>
  <si>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</si>
  <si>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</si>
  <si>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</si>
  <si>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</si>
  <si>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</si>
  <si>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</si>
  <si>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</si>
  <si>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</si>
  <si>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</si>
  <si>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</si>
  <si>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</si>
  <si>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</si>
  <si>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</si>
  <si>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</si>
  <si>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</si>
  <si>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</si>
  <si>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</si>
  <si>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</si>
  <si>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</si>
  <si>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</si>
  <si>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</si>
  <si>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</si>
  <si>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</si>
  <si>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</si>
  <si>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</si>
  <si>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</si>
  <si>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</si>
  <si>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</si>
  <si>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</si>
  <si>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</si>
  <si>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</si>
  <si>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</si>
  <si>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</si>
  <si>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</si>
  <si>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</si>
  <si>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</si>
  <si>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</si>
  <si>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</si>
  <si>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</si>
  <si>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</si>
  <si>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</si>
  <si>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</si>
  <si>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</si>
  <si>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</si>
  <si>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</si>
  <si>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</si>
  <si>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</si>
  <si>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</si>
  <si>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</si>
  <si>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</si>
  <si>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</si>
  <si>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</si>
  <si>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</si>
  <si>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</si>
  <si>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</si>
  <si>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</si>
  <si>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</si>
  <si>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</si>
  <si>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</si>
  <si>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</si>
  <si>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</si>
  <si>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</si>
  <si>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</si>
  <si>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</si>
  <si>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</si>
  <si>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</si>
  <si>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</si>
  <si>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</si>
  <si>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</si>
  <si>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</si>
  <si>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</si>
  <si>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</si>
  <si>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</si>
  <si>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</si>
  <si>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</si>
  <si>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</si>
  <si>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</si>
  <si>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</si>
  <si>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</si>
  <si>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</si>
  <si>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</si>
  <si>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</si>
  <si>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</si>
  <si>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</si>
  <si>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</si>
  <si>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</si>
  <si>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</si>
  <si>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</si>
  <si>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</si>
  <si>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</si>
  <si>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</si>
  <si>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</si>
  <si>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</si>
  <si>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</si>
  <si>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</si>
  <si>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</si>
  <si>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</si>
  <si>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</si>
  <si>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</si>
  <si>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</si>
  <si>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</si>
  <si>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</si>
  <si>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</si>
  <si>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</si>
  <si>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</si>
  <si>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</si>
  <si>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</si>
  <si>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</si>
  <si>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</si>
  <si>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</si>
  <si>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</si>
  <si>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</si>
  <si>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</si>
  <si>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</si>
  <si>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</si>
  <si>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</si>
  <si>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</si>
  <si>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</si>
  <si>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</si>
  <si>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</si>
  <si>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</si>
  <si>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</si>
  <si>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</si>
  <si>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</si>
  <si>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</si>
  <si>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</si>
  <si>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</si>
  <si>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</si>
  <si>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</si>
  <si>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</si>
  <si>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</si>
  <si>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</si>
  <si>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</si>
  <si>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</si>
  <si>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</si>
  <si>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</si>
  <si>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</si>
  <si>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</si>
  <si>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</si>
  <si>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</si>
  <si>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</si>
  <si>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</si>
  <si>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</si>
  <si>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</si>
  <si>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</si>
  <si>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</si>
  <si>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</si>
  <si>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</si>
  <si>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</si>
  <si>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</si>
  <si>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</si>
  <si>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</si>
  <si>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</si>
  <si>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</si>
  <si>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</si>
  <si>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</si>
  <si>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</si>
  <si>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</si>
  <si>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</si>
  <si>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</si>
  <si>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</si>
  <si>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</si>
  <si>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</si>
  <si>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</si>
  <si>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</si>
  <si>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</si>
  <si>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</si>
  <si>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</si>
  <si>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</si>
  <si>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</si>
  <si>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</si>
  <si>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</si>
  <si>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</si>
  <si>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</si>
  <si>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</si>
  <si>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</si>
  <si>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</si>
  <si>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</si>
  <si>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</si>
  <si>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</si>
  <si>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</si>
  <si>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</si>
  <si>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</si>
  <si>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</si>
  <si>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</si>
  <si>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</si>
  <si>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</si>
  <si>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</si>
  <si>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</si>
  <si>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</si>
  <si>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</si>
  <si>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</si>
  <si>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</si>
  <si>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</si>
  <si>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</si>
  <si>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</si>
  <si>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</si>
  <si>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</si>
  <si>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</si>
  <si>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</si>
  <si>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</si>
  <si>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</si>
  <si>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</si>
  <si>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</si>
  <si>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</si>
  <si>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</si>
  <si>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</si>
  <si>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</si>
  <si>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</si>
  <si>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</si>
  <si>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</si>
  <si>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</si>
  <si>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</si>
  <si>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</si>
  <si>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</si>
  <si>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</si>
  <si>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</si>
  <si>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</si>
  <si>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</si>
  <si>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</si>
  <si>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</si>
  <si>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</si>
  <si>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</si>
  <si>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</si>
  <si>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</si>
  <si>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</si>
  <si>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</si>
  <si>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</si>
  <si>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</si>
  <si>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</si>
  <si>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</si>
  <si>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</si>
  <si>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</si>
  <si>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</si>
  <si>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</si>
  <si>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</si>
  <si>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</si>
  <si>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</si>
  <si>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</si>
  <si>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</si>
  <si>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</si>
  <si>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</si>
  <si>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</si>
  <si>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</si>
  <si>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</si>
  <si>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</si>
  <si>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</si>
  <si>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</si>
  <si>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</si>
  <si>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</si>
  <si>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</si>
  <si>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</si>
  <si>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</si>
  <si>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</si>
  <si>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</si>
  <si>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</si>
  <si>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</si>
  <si>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</si>
  <si>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</si>
  <si>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</si>
  <si>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</si>
  <si>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</si>
  <si>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</si>
  <si>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</si>
  <si>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</si>
  <si>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</si>
  <si>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</si>
  <si>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</si>
  <si>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</si>
  <si>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</si>
  <si>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</si>
  <si>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</si>
  <si>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</si>
  <si>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</si>
  <si>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</si>
  <si>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</si>
  <si>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</si>
  <si>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</si>
  <si>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</si>
  <si>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</si>
  <si>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</si>
  <si>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</si>
  <si>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</si>
  <si>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</si>
  <si>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</si>
  <si>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</si>
  <si>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</si>
  <si>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</si>
  <si>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</si>
  <si>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</si>
  <si>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</si>
  <si>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</si>
  <si>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</si>
  <si>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</si>
  <si>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</si>
  <si>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</si>
  <si>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</si>
  <si>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</si>
  <si>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</si>
  <si>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</si>
  <si>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</si>
  <si>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</si>
  <si>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</si>
  <si>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</si>
  <si>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</si>
  <si>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</si>
  <si>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</si>
  <si>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</si>
  <si>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</si>
  <si>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</si>
  <si>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</si>
  <si>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</si>
  <si>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</si>
  <si>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</si>
  <si>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</si>
  <si>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</si>
  <si>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</si>
  <si>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</si>
  <si>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</si>
  <si>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</si>
  <si>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</si>
  <si>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</si>
  <si>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</si>
  <si>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</si>
  <si>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</si>
  <si>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</si>
  <si>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</si>
  <si>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</si>
  <si>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</si>
  <si>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</si>
  <si>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</si>
  <si>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</si>
  <si>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</si>
  <si>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</si>
  <si>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</si>
  <si>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</si>
  <si>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</si>
  <si>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</si>
  <si>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</si>
  <si>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</si>
  <si>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</si>
  <si>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</si>
  <si>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</si>
  <si>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</si>
  <si>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</si>
  <si>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</si>
  <si>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</si>
  <si>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</si>
  <si>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</si>
  <si>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</si>
  <si>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</si>
  <si>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</si>
  <si>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</si>
  <si>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</si>
  <si>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</si>
  <si>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</si>
  <si>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</si>
  <si>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</si>
  <si>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</si>
  <si>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</si>
  <si>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</si>
  <si>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</si>
  <si>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</si>
  <si>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</si>
  <si>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</si>
  <si>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</si>
  <si>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</si>
  <si>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</si>
  <si>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</si>
  <si>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</si>
  <si>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</si>
  <si>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</si>
  <si>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</si>
  <si>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</si>
  <si>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</si>
  <si>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</si>
  <si>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</si>
  <si>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</si>
  <si>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</si>
  <si>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</si>
  <si>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</si>
  <si>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</si>
  <si>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</si>
  <si>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</si>
  <si>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</si>
  <si>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</si>
  <si>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</si>
  <si>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</si>
  <si>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</si>
  <si>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</si>
  <si>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</si>
  <si>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</si>
  <si>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</si>
  <si>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</si>
  <si>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</si>
  <si>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</si>
  <si>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</si>
  <si>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</si>
  <si>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</si>
  <si>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</si>
  <si>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</si>
  <si>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</si>
  <si>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</si>
  <si>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</si>
  <si>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</si>
  <si>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</si>
  <si>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</si>
  <si>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</si>
  <si>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</si>
  <si>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</si>
  <si>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</si>
  <si>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</si>
  <si>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</si>
  <si>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</si>
  <si>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</si>
  <si>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</si>
  <si>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</si>
  <si>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</si>
  <si>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</si>
  <si>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</si>
  <si>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</si>
  <si>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</si>
  <si>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</si>
  <si>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</si>
  <si>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</si>
  <si>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</si>
  <si>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</si>
  <si>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</si>
  <si>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</si>
  <si>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</si>
  <si>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</si>
  <si>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</si>
  <si>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</si>
  <si>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</si>
  <si>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</si>
  <si>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</si>
  <si>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</si>
  <si>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</si>
  <si>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</si>
  <si>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</si>
  <si>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</si>
  <si>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</si>
  <si>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</si>
  <si>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</si>
  <si>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</si>
  <si>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</si>
  <si>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</si>
  <si>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</si>
  <si>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</si>
  <si>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</si>
  <si>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</si>
  <si>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</si>
  <si>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</si>
  <si>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</si>
  <si>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</si>
  <si>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</si>
  <si>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</si>
  <si>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</si>
  <si>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</si>
  <si>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</si>
  <si>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</si>
  <si>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</si>
  <si>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</si>
  <si>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</si>
  <si>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</si>
  <si>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</si>
  <si>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</si>
  <si>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</si>
  <si>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</si>
  <si>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</si>
  <si>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</si>
  <si>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</si>
  <si>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</si>
  <si>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</si>
  <si>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</si>
  <si>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</si>
  <si>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</si>
  <si>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</si>
  <si>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</si>
  <si>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</si>
  <si>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</si>
  <si>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</si>
  <si>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</si>
  <si>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</si>
  <si>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</si>
  <si>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</si>
  <si>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</si>
  <si>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</si>
  <si>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</si>
  <si>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</si>
  <si>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</si>
  <si>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</si>
  <si>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</si>
  <si>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</si>
  <si>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</si>
  <si>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</si>
  <si>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</si>
  <si>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</si>
  <si>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</si>
  <si>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</si>
  <si>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</si>
  <si>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</si>
  <si>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</si>
  <si>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</si>
  <si>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</si>
  <si>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</si>
  <si>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</si>
  <si>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</si>
  <si>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</si>
  <si>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</si>
  <si>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</si>
  <si>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</si>
  <si>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</si>
  <si>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</si>
  <si>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</si>
  <si>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</si>
  <si>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</si>
  <si>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</si>
  <si>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</si>
  <si>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</si>
  <si>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</si>
  <si>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</si>
  <si>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</si>
  <si>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</si>
  <si>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</si>
  <si>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</si>
  <si>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</si>
  <si>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</si>
  <si>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</si>
  <si>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</si>
  <si>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</si>
  <si>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</si>
  <si>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</si>
  <si>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</si>
  <si>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</si>
  <si>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</si>
  <si>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</si>
  <si>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</si>
  <si>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</si>
  <si>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</si>
  <si>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</si>
  <si>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</si>
  <si>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</si>
  <si>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</si>
  <si>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</si>
  <si>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</si>
  <si>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</si>
  <si>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</si>
  <si>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</si>
  <si>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</si>
  <si>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</si>
  <si>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</si>
  <si>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</si>
  <si>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</si>
  <si>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</si>
  <si>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</si>
  <si>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</si>
  <si>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</si>
  <si>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</si>
  <si>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</si>
  <si>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</si>
  <si>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</si>
  <si>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</si>
  <si>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</si>
  <si>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</si>
  <si>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</si>
  <si>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</si>
  <si>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</si>
  <si>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</si>
  <si>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</si>
  <si>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</si>
  <si>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</si>
  <si>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</si>
  <si>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</si>
  <si>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</si>
  <si>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</si>
  <si>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</si>
  <si>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</si>
  <si>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</si>
  <si>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</si>
  <si>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</si>
  <si>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</si>
  <si>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</si>
  <si>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</si>
  <si>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</si>
  <si>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</si>
  <si>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</si>
  <si>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</si>
  <si>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</si>
  <si>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</si>
  <si>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</si>
  <si>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</si>
  <si>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</si>
  <si>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</si>
  <si>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</si>
  <si>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</si>
  <si>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</si>
  <si>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</si>
  <si>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</si>
  <si>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</si>
  <si>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</si>
  <si>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</si>
  <si>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</si>
  <si>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</si>
  <si>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</si>
  <si>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</si>
  <si>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</si>
  <si>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</si>
  <si>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</si>
  <si>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</si>
  <si>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</si>
  <si>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</si>
  <si>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</si>
  <si>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</si>
  <si>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</si>
  <si>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</si>
  <si>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</si>
  <si>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</si>
  <si>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</si>
  <si>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</si>
  <si>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</si>
  <si>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</si>
  <si>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</si>
  <si>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</si>
  <si>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</si>
  <si>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</si>
  <si>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</si>
  <si>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</si>
  <si>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</si>
  <si>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</si>
  <si>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</si>
  <si>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</si>
  <si>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</si>
  <si>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</si>
  <si>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</si>
  <si>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</si>
  <si>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</si>
  <si>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</si>
  <si>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</si>
  <si>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</si>
  <si>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</si>
  <si>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</si>
  <si>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</si>
  <si>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</si>
  <si>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</si>
  <si>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</si>
  <si>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</si>
  <si>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</si>
  <si>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</si>
  <si>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</si>
  <si>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</si>
  <si>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</si>
  <si>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</si>
  <si>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</si>
  <si>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</si>
  <si>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</si>
  <si>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</si>
  <si>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</si>
  <si>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</si>
  <si>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</si>
  <si>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</si>
  <si>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</si>
  <si>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</si>
  <si>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</si>
  <si>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</si>
  <si>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</si>
  <si>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</si>
  <si>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</si>
  <si>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</si>
  <si>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</si>
  <si>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</si>
  <si>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</si>
  <si>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</si>
  <si>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</si>
  <si>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</si>
  <si>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</si>
  <si>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</si>
  <si>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</si>
  <si>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</si>
  <si>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</si>
  <si>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</si>
  <si>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</si>
  <si>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</si>
  <si>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</si>
  <si>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</si>
  <si>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</si>
  <si>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</si>
  <si>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</si>
  <si>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</si>
  <si>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</si>
  <si>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</si>
  <si>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</si>
  <si>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</si>
  <si>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</si>
  <si>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</si>
  <si>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</si>
  <si>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</si>
  <si>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</si>
  <si>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</si>
  <si>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</si>
  <si>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</si>
  <si>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</si>
  <si>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</si>
  <si>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</si>
  <si>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</si>
  <si>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</si>
  <si>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</si>
  <si>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</si>
  <si>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</si>
  <si>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</si>
  <si>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</si>
  <si>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</si>
  <si>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</si>
  <si>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</si>
  <si>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</si>
  <si>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</si>
  <si>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</si>
  <si>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</si>
  <si>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</si>
  <si>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</si>
  <si>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</si>
  <si>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</si>
  <si>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</si>
  <si>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</si>
  <si>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</si>
  <si>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</si>
  <si>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</si>
  <si>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</si>
  <si>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</si>
  <si>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</si>
  <si>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</si>
  <si>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</si>
  <si>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</si>
  <si>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</si>
  <si>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</si>
  <si>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</si>
  <si>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</si>
  <si>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</si>
  <si>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</si>
  <si>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</si>
  <si>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</si>
  <si>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</si>
  <si>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</si>
  <si>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</si>
  <si>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</si>
  <si>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</si>
  <si>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</si>
  <si>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</si>
  <si>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</si>
  <si>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</si>
  <si>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</si>
  <si>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</si>
  <si>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</si>
  <si>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</si>
  <si>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</si>
  <si>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</si>
  <si>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</si>
  <si>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</si>
  <si>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</si>
  <si>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</si>
  <si>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</si>
  <si>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</si>
  <si>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</si>
  <si>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</si>
  <si>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</si>
  <si>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</si>
  <si>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</si>
  <si>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</si>
  <si>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</si>
  <si>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</si>
  <si>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</si>
  <si>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</si>
  <si>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</si>
  <si>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</si>
  <si>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</si>
  <si>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</si>
  <si>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</si>
  <si>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</si>
  <si>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</si>
  <si>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</si>
  <si>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</si>
  <si>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</si>
  <si>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</si>
  <si>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</si>
  <si>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</si>
  <si>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</si>
  <si>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</si>
  <si>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</si>
  <si>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</si>
  <si>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</si>
  <si>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</si>
  <si>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</si>
  <si>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</si>
  <si>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</si>
  <si>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</si>
  <si>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</si>
  <si>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</si>
  <si>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</si>
  <si>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</si>
  <si>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</si>
  <si>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</si>
  <si>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</si>
  <si>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</si>
  <si>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</si>
  <si>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</si>
  <si>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</si>
  <si>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</si>
  <si>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</si>
  <si>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</si>
  <si>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</si>
  <si>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</si>
  <si>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</si>
  <si>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</si>
  <si>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</si>
  <si>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</si>
  <si>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</si>
  <si>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</si>
  <si>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</si>
  <si>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</si>
  <si>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</si>
  <si>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</si>
  <si>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</si>
  <si>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</si>
  <si>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</si>
  <si>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</si>
  <si>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</si>
  <si>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</si>
  <si>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</si>
  <si>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</si>
  <si>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</si>
  <si>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</si>
  <si>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</si>
  <si>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</si>
  <si>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</si>
  <si>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</si>
  <si>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</si>
  <si>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</si>
  <si>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</si>
  <si>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</si>
  <si>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</si>
  <si>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</si>
  <si>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</si>
  <si>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</si>
  <si>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</si>
  <si>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</si>
  <si>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</si>
  <si>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</si>
  <si>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</si>
  <si>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</si>
  <si>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</si>
  <si>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</si>
  <si>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</si>
  <si>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</si>
  <si>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</si>
  <si>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</si>
  <si>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</si>
  <si>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</si>
  <si>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</si>
  <si>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</si>
  <si>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</si>
  <si>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</si>
  <si>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</si>
  <si>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</si>
  <si>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</si>
  <si>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</si>
  <si>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</si>
  <si>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</si>
  <si>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</si>
  <si>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</si>
  <si>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</si>
  <si>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</si>
  <si>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</si>
  <si>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</si>
  <si>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</si>
  <si>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</si>
  <si>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</si>
  <si>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</si>
  <si>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</si>
  <si>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</si>
  <si>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</si>
  <si>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</si>
  <si>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</si>
  <si>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</si>
  <si>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</si>
  <si>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</si>
  <si>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</si>
  <si>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</si>
  <si>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</si>
  <si>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</si>
  <si>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</si>
  <si>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</si>
  <si>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</si>
  <si>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</si>
  <si>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</si>
  <si>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</si>
  <si>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</si>
  <si>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</si>
  <si>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</si>
  <si>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</si>
  <si>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</si>
  <si>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</si>
  <si>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</si>
  <si>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</si>
  <si>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</si>
  <si>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</si>
  <si>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</si>
  <si>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</si>
  <si>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</si>
  <si>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</si>
  <si>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</si>
  <si>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</si>
  <si>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</si>
  <si>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</si>
  <si>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</si>
  <si>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</si>
  <si>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</si>
  <si>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</si>
  <si>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</si>
  <si>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</si>
  <si>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</si>
  <si>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</si>
  <si>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</si>
  <si>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</si>
  <si>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</si>
  <si>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</si>
  <si>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</si>
  <si>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</si>
  <si>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</si>
  <si>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</si>
  <si>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</si>
  <si>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</si>
  <si>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</si>
  <si>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</si>
  <si>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</si>
  <si>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</si>
  <si>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</si>
  <si>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</si>
  <si>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</si>
  <si>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</si>
  <si>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</si>
  <si>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</si>
  <si>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</si>
  <si>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</si>
  <si>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</si>
  <si>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</si>
  <si>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</si>
  <si>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</si>
  <si>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</si>
  <si>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</si>
  <si>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</si>
  <si>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</si>
  <si>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</si>
  <si>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</si>
  <si>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</si>
  <si>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</si>
  <si>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</si>
  <si>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</si>
  <si>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</si>
  <si>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</si>
  <si>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</si>
  <si>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</si>
  <si>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</si>
  <si>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</si>
  <si>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</si>
  <si>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</si>
  <si>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</si>
  <si>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</si>
  <si>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</si>
  <si>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</si>
  <si>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</si>
  <si>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</si>
  <si>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</si>
  <si>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</si>
  <si>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</si>
  <si>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</si>
  <si>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</si>
  <si>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</si>
  <si>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</si>
  <si>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</si>
  <si>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</si>
  <si>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</si>
  <si>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</si>
  <si>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</si>
  <si>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</si>
  <si>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</si>
  <si>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</si>
  <si>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</si>
  <si>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</si>
  <si>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</si>
  <si>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</si>
  <si>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</si>
  <si>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</si>
  <si>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</si>
  <si>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</si>
  <si>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</si>
  <si>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</si>
  <si>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</si>
  <si>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</si>
  <si>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</si>
  <si>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</si>
  <si>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</si>
  <si>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</si>
  <si>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</si>
  <si>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</si>
  <si>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</si>
  <si>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</si>
  <si>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</si>
  <si>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</si>
  <si>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</si>
  <si>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</si>
  <si>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</si>
  <si>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</si>
  <si>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</si>
  <si>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</si>
  <si>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</si>
  <si>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</si>
  <si>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</si>
  <si>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</si>
  <si>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</si>
  <si>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</si>
  <si>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</si>
  <si>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</si>
  <si>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</si>
  <si>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</si>
  <si>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</si>
  <si>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</si>
  <si>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</si>
  <si>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</si>
  <si>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</si>
  <si>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</si>
  <si>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</si>
  <si>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</si>
  <si>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</si>
  <si>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</si>
  <si>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</si>
  <si>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</si>
  <si>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</si>
  <si>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</si>
  <si>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</si>
  <si>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</si>
  <si>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</si>
  <si>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</si>
  <si>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</si>
  <si>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</si>
  <si>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</si>
  <si>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</si>
  <si>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</si>
  <si>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</si>
  <si>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</si>
  <si>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</si>
  <si>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</si>
  <si>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</si>
  <si>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</si>
  <si>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</si>
  <si>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</si>
  <si>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</si>
  <si>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</si>
  <si>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</si>
  <si>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</si>
  <si>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</si>
  <si>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</si>
  <si>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</si>
  <si>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</si>
  <si>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</si>
  <si>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</si>
  <si>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</si>
  <si>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</si>
  <si>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</si>
  <si>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</si>
  <si>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</si>
  <si>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</si>
  <si>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</si>
  <si>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</si>
  <si>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</si>
  <si>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</si>
  <si>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</si>
  <si>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</si>
  <si>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</si>
  <si>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</si>
  <si>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</si>
  <si>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</si>
  <si>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</si>
  <si>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</si>
  <si>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</si>
  <si>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</si>
  <si>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</si>
  <si>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</si>
  <si>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</si>
  <si>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</si>
  <si>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</si>
  <si>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</si>
  <si>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</si>
  <si>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</si>
  <si>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</si>
  <si>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</si>
  <si>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</si>
  <si>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</si>
  <si>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</si>
  <si>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</si>
  <si>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</si>
  <si>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</si>
  <si>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</si>
  <si>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</si>
  <si>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</si>
  <si>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</si>
  <si>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</si>
  <si>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</si>
  <si>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</si>
  <si>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</si>
  <si>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</si>
  <si>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</si>
  <si>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</si>
  <si>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</si>
  <si>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</si>
  <si>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</si>
  <si>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</si>
  <si>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</si>
  <si>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</si>
  <si>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</si>
  <si>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</si>
  <si>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</si>
  <si>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</si>
  <si>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</si>
  <si>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</si>
  <si>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</si>
  <si>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</si>
  <si>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</si>
  <si>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</si>
  <si>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</si>
  <si>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</si>
  <si>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</si>
  <si>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</si>
  <si>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</si>
  <si>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</si>
  <si>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</si>
  <si>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</si>
  <si>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</si>
  <si>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</si>
  <si>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</si>
  <si>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</si>
  <si>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</si>
  <si>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</si>
  <si>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</si>
  <si>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</si>
  <si>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</si>
  <si>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</si>
  <si>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</si>
  <si>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</si>
  <si>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</si>
  <si>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</si>
  <si>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</si>
  <si>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</si>
  <si>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</si>
  <si>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</si>
  <si>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</si>
  <si>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</si>
  <si>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</si>
  <si>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</si>
  <si>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</si>
  <si>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</si>
  <si>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</si>
  <si>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</si>
  <si>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</si>
  <si>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</si>
  <si>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</si>
  <si>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</si>
  <si>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</si>
  <si>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</si>
  <si>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</si>
  <si>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</si>
  <si>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</si>
  <si>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</si>
  <si>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</si>
  <si>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</si>
  <si>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</si>
  <si>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</si>
  <si>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</si>
  <si>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</si>
  <si>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</si>
  <si>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</si>
  <si>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</si>
  <si>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</si>
  <si>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</si>
  <si>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</si>
  <si>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</si>
  <si>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</si>
  <si>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</si>
  <si>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</si>
  <si>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</si>
  <si>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</si>
  <si>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</si>
  <si>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</si>
  <si>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</si>
  <si>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</si>
  <si>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</si>
  <si>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</si>
  <si>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</si>
  <si>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</si>
  <si>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</si>
  <si>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</si>
  <si>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</si>
  <si>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</si>
  <si>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</si>
  <si>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</si>
  <si>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</si>
  <si>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</si>
  <si>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</si>
  <si>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</si>
  <si>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</si>
  <si>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</si>
  <si>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</si>
  <si>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</si>
  <si>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</si>
  <si>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</si>
  <si>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</si>
  <si>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</si>
  <si>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</si>
  <si>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</si>
  <si>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</si>
  <si>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</si>
  <si>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</si>
  <si>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</si>
  <si>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</si>
  <si>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</si>
  <si>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</si>
  <si>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</si>
  <si>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</si>
  <si>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</si>
  <si>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</si>
  <si>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</si>
  <si>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</si>
  <si>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</si>
  <si>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</si>
  <si>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</si>
  <si>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</si>
  <si>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</si>
  <si>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</si>
  <si>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</si>
  <si>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</si>
  <si>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</si>
  <si>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</si>
  <si>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</si>
  <si>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</si>
  <si>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</si>
  <si>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</si>
  <si>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</si>
  <si>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</si>
  <si>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</si>
  <si>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</si>
  <si>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</si>
  <si>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</si>
  <si>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</si>
  <si>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</si>
  <si>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</si>
  <si>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</si>
  <si>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</si>
  <si>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</si>
  <si>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</si>
  <si>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</si>
  <si>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</si>
  <si>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</si>
  <si>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</si>
  <si>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</si>
  <si>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</si>
  <si>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</si>
  <si>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</si>
  <si>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</si>
  <si>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</si>
  <si>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</si>
  <si>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</si>
  <si>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</si>
  <si>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</si>
  <si>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</si>
  <si>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</si>
  <si>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</si>
  <si>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</si>
  <si>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</si>
  <si>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</si>
  <si>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</si>
  <si>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</si>
  <si>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</si>
  <si>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</si>
  <si>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</si>
  <si>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</si>
  <si>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</si>
  <si>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</si>
  <si>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</si>
  <si>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</si>
  <si>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</si>
  <si>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</si>
  <si>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</si>
  <si>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</si>
  <si>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</si>
  <si>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</si>
  <si>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</si>
  <si>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</si>
  <si>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</si>
  <si>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</si>
  <si>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</si>
  <si>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</si>
  <si>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</si>
  <si>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</si>
  <si>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</si>
  <si>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</si>
  <si>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</si>
  <si>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</si>
  <si>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</si>
  <si>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</si>
  <si>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</si>
  <si>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</si>
  <si>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</si>
  <si>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</si>
  <si>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</si>
  <si>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</si>
  <si>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</si>
  <si>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</si>
  <si>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</si>
  <si>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</si>
  <si>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</si>
  <si>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</si>
  <si>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</si>
  <si>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</si>
  <si>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</si>
  <si>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</si>
  <si>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</si>
  <si>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</si>
  <si>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</si>
  <si>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</si>
  <si>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</si>
  <si>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</si>
  <si>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</si>
  <si>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</si>
  <si>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</si>
  <si>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</si>
  <si>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</si>
  <si>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</si>
  <si>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</si>
  <si>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</si>
  <si>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</si>
  <si>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</si>
  <si>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</si>
  <si>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</si>
  <si>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</si>
  <si>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</si>
  <si>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</si>
  <si>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</si>
  <si>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</si>
  <si>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</si>
  <si>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</si>
  <si>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</si>
  <si>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</si>
  <si>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</si>
  <si>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</si>
  <si>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</si>
  <si>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</si>
  <si>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</si>
  <si>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</si>
  <si>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</si>
  <si>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</si>
  <si>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</si>
  <si>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</si>
  <si>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</si>
  <si>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</si>
  <si>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</si>
  <si>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</si>
  <si>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</si>
  <si>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</si>
  <si>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</si>
  <si>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</si>
  <si>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</si>
  <si>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</si>
  <si>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</si>
  <si>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</si>
  <si>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</si>
  <si>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</si>
  <si>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</si>
  <si>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</si>
  <si>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</si>
  <si>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</si>
  <si>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</si>
  <si>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</si>
  <si>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</si>
  <si>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</si>
  <si>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</si>
  <si>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</si>
  <si>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</si>
  <si>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</si>
  <si>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</si>
  <si>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</si>
  <si>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</si>
  <si>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</si>
  <si>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</si>
  <si>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</si>
  <si>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</si>
  <si>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</si>
  <si>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</si>
  <si>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</si>
  <si>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</si>
  <si>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</si>
  <si>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</si>
  <si>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</si>
  <si>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</si>
  <si>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</si>
  <si>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</si>
  <si>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</si>
  <si>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</si>
  <si>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</si>
  <si>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</si>
  <si>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</si>
  <si>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</si>
  <si>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</si>
  <si>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</si>
  <si>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</si>
  <si>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</si>
  <si>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</si>
  <si>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</si>
  <si>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</si>
  <si>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</si>
  <si>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</si>
  <si>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</si>
  <si>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</si>
  <si>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</si>
  <si>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</si>
  <si>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</si>
  <si>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</si>
  <si>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</si>
  <si>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</si>
  <si>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</si>
  <si>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</si>
  <si>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</si>
  <si>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</si>
  <si>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</si>
  <si>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</si>
  <si>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</si>
  <si>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</si>
  <si>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</si>
  <si>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</si>
  <si>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</si>
  <si>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</si>
  <si>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</si>
  <si>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</si>
  <si>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</si>
  <si>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</si>
  <si>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</si>
  <si>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</si>
  <si>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</si>
  <si>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</si>
  <si>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</si>
  <si>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</si>
  <si>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</si>
  <si>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</si>
  <si>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</si>
  <si>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</si>
  <si>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</si>
  <si>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</si>
  <si>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</si>
  <si>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</si>
  <si>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</si>
  <si>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</si>
  <si>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</si>
  <si>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</si>
  <si>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</si>
  <si>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</si>
  <si>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</si>
  <si>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</si>
  <si>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</si>
  <si>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</si>
  <si>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</si>
  <si>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</si>
  <si>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</si>
  <si>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</si>
  <si>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</si>
  <si>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</si>
  <si>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</si>
  <si>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</si>
  <si>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</si>
  <si>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</si>
  <si>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</si>
  <si>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</si>
  <si>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</si>
  <si>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</si>
  <si>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</si>
  <si>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</si>
  <si>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</si>
  <si>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</si>
  <si>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</si>
  <si>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</si>
  <si>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</si>
  <si>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</si>
  <si>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</si>
  <si>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</si>
  <si>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</si>
  <si>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</si>
  <si>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</si>
  <si>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</si>
  <si>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</si>
  <si>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</si>
  <si>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</si>
  <si>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</si>
  <si>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</si>
  <si>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</si>
  <si>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</si>
  <si>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</si>
  <si>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</si>
  <si>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</si>
  <si>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</si>
  <si>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</si>
  <si>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</si>
  <si>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</si>
  <si>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</si>
  <si>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</si>
  <si>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</si>
  <si>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</si>
  <si>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</si>
  <si>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</si>
  <si>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</si>
  <si>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</si>
  <si>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</si>
  <si>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</si>
  <si>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</si>
  <si>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</si>
  <si>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</si>
  <si>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</si>
  <si>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</si>
  <si>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</si>
  <si>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</si>
  <si>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</si>
  <si>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</si>
  <si>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</si>
  <si>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</si>
  <si>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</si>
  <si>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</si>
  <si>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</si>
  <si>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</si>
  <si>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</si>
  <si>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</si>
  <si>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</si>
  <si>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</si>
  <si>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</si>
  <si>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</si>
  <si>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</si>
  <si>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</si>
  <si>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</si>
  <si>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</si>
  <si>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</si>
  <si>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</si>
  <si>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</si>
  <si>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</si>
  <si>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</si>
  <si>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</si>
  <si>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</si>
  <si>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</si>
  <si>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</si>
  <si>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</si>
  <si>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</si>
  <si>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</si>
  <si>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</si>
  <si>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</si>
  <si>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</si>
  <si>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</si>
  <si>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</si>
  <si>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</si>
  <si>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</si>
  <si>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</si>
  <si>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</si>
  <si>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</si>
  <si>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</si>
  <si>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</si>
  <si>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</si>
  <si>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</si>
  <si>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</si>
  <si>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</si>
  <si>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</si>
  <si>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</si>
  <si>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</si>
  <si>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</si>
  <si>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</si>
  <si>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</si>
  <si>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</si>
  <si>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</si>
  <si>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</si>
  <si>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</si>
  <si>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</si>
  <si>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</si>
  <si>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</si>
  <si>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</si>
  <si>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</si>
  <si>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</si>
  <si>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</si>
  <si>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</si>
  <si>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</si>
  <si>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</si>
  <si>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</si>
  <si>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</si>
  <si>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</si>
  <si>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</si>
  <si>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</si>
  <si>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</si>
  <si>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</si>
  <si>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</si>
  <si>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</si>
  <si>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</si>
  <si>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</si>
  <si>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</si>
  <si>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</si>
  <si>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</si>
  <si>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</si>
  <si>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</si>
  <si>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</si>
  <si>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</si>
  <si>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</si>
  <si>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</si>
  <si>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</si>
  <si>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</si>
  <si>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</si>
  <si>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</si>
  <si>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</si>
  <si>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</si>
  <si>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</si>
  <si>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</si>
  <si>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</si>
  <si>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</si>
  <si>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</si>
  <si>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</si>
  <si>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</si>
  <si>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</si>
  <si>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</si>
  <si>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</si>
  <si>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</si>
  <si>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</si>
  <si>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</si>
  <si>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</si>
  <si>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</si>
  <si>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</si>
  <si>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</si>
  <si>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</si>
  <si>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</si>
  <si>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</si>
  <si>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</si>
  <si>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</si>
  <si>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</si>
  <si>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</si>
  <si>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</si>
  <si>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</si>
  <si>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</si>
  <si>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</si>
  <si>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</si>
  <si>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</si>
  <si>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</si>
  <si>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</si>
  <si>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</si>
  <si>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</si>
  <si>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</si>
  <si>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</si>
  <si>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</si>
  <si>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</si>
  <si>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</si>
  <si>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</si>
  <si>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</si>
  <si>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</si>
  <si>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</si>
  <si>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</si>
  <si>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</si>
  <si>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</si>
  <si>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</si>
  <si>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</si>
  <si>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</si>
  <si>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</si>
  <si>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</si>
  <si>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</si>
  <si>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</si>
  <si>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</si>
  <si>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</si>
  <si>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</si>
  <si>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</si>
  <si>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</si>
  <si>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</si>
  <si>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</si>
  <si>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</si>
  <si>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</si>
  <si>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</si>
  <si>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</si>
  <si>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</si>
  <si>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</si>
  <si>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</si>
  <si>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</si>
  <si>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</si>
  <si>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</si>
  <si>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</si>
  <si>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</si>
  <si>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</si>
  <si>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</si>
  <si>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</si>
  <si>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</si>
  <si>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</si>
  <si>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</si>
  <si>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</si>
  <si>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</si>
  <si>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</si>
  <si>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</si>
  <si>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</si>
  <si>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</si>
  <si>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</si>
  <si>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</si>
  <si>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</si>
  <si>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</si>
  <si>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</si>
  <si>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</si>
  <si>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</si>
  <si>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</si>
  <si>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</si>
  <si>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</si>
  <si>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</si>
  <si>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</si>
  <si>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</si>
  <si>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</si>
  <si>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</si>
  <si>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</si>
  <si>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</si>
  <si>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</si>
  <si>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</si>
  <si>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</si>
  <si>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</si>
  <si>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</si>
  <si>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</si>
  <si>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</si>
  <si>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</si>
  <si>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</si>
  <si>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</si>
  <si>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</si>
  <si>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</si>
  <si>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</si>
  <si>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</si>
  <si>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</si>
  <si>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</si>
  <si>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</si>
  <si>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</si>
  <si>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</si>
  <si>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</si>
  <si>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</si>
  <si>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</si>
  <si>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</si>
  <si>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</si>
  <si>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</si>
  <si>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</si>
  <si>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</si>
  <si>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</si>
  <si>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</si>
  <si>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</si>
  <si>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</si>
  <si>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</si>
  <si>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</si>
  <si>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</si>
  <si>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</si>
  <si>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</si>
  <si>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</si>
  <si>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</si>
  <si>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</si>
  <si>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</si>
  <si>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</si>
  <si>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</si>
  <si>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</si>
  <si>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</si>
  <si>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</si>
  <si>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</si>
  <si>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</si>
  <si>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</si>
  <si>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</si>
  <si>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</si>
  <si>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</si>
  <si>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</si>
  <si>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</si>
  <si>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</si>
  <si>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</si>
  <si>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</si>
  <si>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</si>
  <si>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</si>
  <si>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</si>
  <si>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</si>
  <si>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</si>
  <si>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</si>
  <si>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</si>
  <si>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</si>
  <si>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</si>
  <si>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</si>
  <si>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</si>
  <si>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</si>
  <si>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</si>
  <si>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</si>
  <si>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</si>
  <si>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</si>
  <si>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</si>
  <si>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</si>
  <si>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</si>
  <si>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</si>
  <si>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</si>
  <si>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</si>
  <si>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</si>
  <si>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</si>
  <si>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</si>
  <si>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</si>
  <si>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</si>
  <si>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</si>
  <si>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</si>
  <si>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</si>
  <si>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</si>
  <si>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</si>
  <si>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</si>
  <si>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</si>
  <si>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</si>
  <si>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</si>
  <si>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</si>
  <si>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</si>
  <si>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</si>
  <si>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</si>
  <si>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</si>
  <si>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</si>
  <si>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</si>
  <si>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</si>
  <si>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</si>
  <si>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</si>
  <si>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</si>
  <si>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</si>
  <si>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</si>
  <si>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</si>
  <si>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</si>
  <si>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</si>
  <si>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</si>
  <si>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</si>
  <si>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</si>
  <si>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</si>
  <si>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</si>
  <si>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</si>
  <si>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</si>
  <si>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</si>
  <si>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</si>
  <si>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</si>
  <si>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</si>
  <si>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</si>
  <si>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</si>
  <si>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</si>
  <si>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</si>
  <si>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</si>
  <si>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</si>
  <si>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</si>
  <si>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</si>
  <si>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</si>
  <si>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</si>
  <si>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</si>
  <si>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</si>
  <si>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</si>
  <si>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</si>
  <si>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</si>
  <si>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</si>
  <si>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</si>
  <si>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</si>
  <si>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</si>
  <si>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</si>
  <si>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</si>
  <si>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</si>
  <si>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</si>
  <si>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</si>
  <si>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</si>
  <si>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</si>
  <si>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</si>
  <si>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</si>
  <si>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</si>
  <si>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</si>
  <si>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</si>
  <si>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</si>
  <si>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</si>
  <si>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</si>
  <si>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</si>
  <si>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</si>
  <si>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</si>
  <si>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</si>
  <si>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</si>
  <si>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</si>
  <si>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</si>
  <si>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</si>
  <si>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</si>
  <si>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</si>
  <si>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</si>
  <si>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</si>
  <si>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</si>
  <si>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</si>
  <si>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</si>
  <si>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</si>
  <si>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</si>
  <si>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</si>
  <si>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</si>
  <si>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</si>
  <si>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</si>
  <si>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</si>
  <si>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</si>
  <si>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</si>
  <si>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</si>
  <si>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</si>
  <si>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</si>
  <si>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</si>
  <si>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</si>
  <si>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</si>
  <si>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</si>
  <si>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</si>
  <si>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</si>
  <si>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</si>
  <si>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</si>
  <si>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</si>
  <si>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</si>
  <si>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</si>
  <si>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</si>
  <si>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</si>
  <si>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</si>
  <si>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</si>
  <si>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</si>
  <si>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</si>
  <si>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</si>
  <si>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</si>
  <si>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</si>
  <si>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</si>
  <si>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</si>
  <si>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</si>
  <si>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</si>
  <si>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</si>
  <si>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</si>
  <si>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</si>
  <si>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</si>
  <si>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</si>
  <si>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</si>
  <si>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</si>
  <si>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</si>
  <si>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</si>
  <si>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</si>
  <si>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</si>
  <si>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</si>
  <si>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</si>
  <si>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</si>
  <si>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</si>
  <si>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</si>
  <si>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</si>
  <si>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</si>
  <si>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</si>
  <si>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</si>
  <si>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</si>
  <si>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</si>
  <si>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</si>
  <si>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</si>
  <si>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</si>
  <si>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</si>
  <si>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</si>
  <si>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</si>
  <si>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</si>
  <si>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</si>
  <si>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</si>
  <si>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</si>
  <si>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</si>
  <si>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</si>
  <si>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</si>
  <si>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</si>
  <si>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</si>
  <si>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</si>
  <si>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</si>
  <si>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</si>
  <si>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</si>
  <si>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</si>
  <si>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</si>
  <si>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</si>
  <si>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</si>
  <si>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</si>
  <si>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</si>
  <si>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</si>
  <si>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</si>
  <si>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</si>
  <si>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</si>
  <si>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</si>
  <si>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</si>
  <si>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</si>
  <si>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</si>
  <si>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</si>
  <si>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</si>
  <si>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</si>
  <si>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</si>
  <si>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</si>
  <si>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</si>
  <si>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</si>
  <si>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</si>
  <si>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</si>
  <si>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</si>
  <si>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</si>
  <si>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</si>
  <si>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</si>
  <si>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</si>
  <si>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</si>
  <si>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</si>
  <si>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</si>
  <si>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</si>
  <si>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</si>
  <si>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</si>
  <si>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</si>
  <si>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</si>
  <si>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</si>
  <si>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</si>
  <si>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</si>
  <si>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</si>
  <si>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</si>
  <si>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</si>
  <si>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</si>
  <si>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</si>
  <si>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</si>
  <si>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</si>
  <si>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</si>
  <si>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</si>
  <si>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</si>
  <si>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</si>
  <si>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</si>
  <si>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</si>
  <si>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</si>
  <si>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</si>
  <si>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</si>
  <si>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</si>
  <si>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</si>
  <si>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</si>
  <si>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</si>
  <si>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</si>
  <si>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</si>
  <si>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</si>
  <si>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</si>
  <si>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</si>
  <si>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</si>
  <si>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</si>
  <si>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</si>
  <si>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</si>
  <si>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</si>
  <si>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</si>
  <si>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</si>
  <si>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</si>
  <si>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</si>
  <si>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</si>
  <si>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</si>
  <si>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</si>
  <si>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</si>
  <si>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</si>
  <si>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</si>
  <si>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</si>
  <si>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</si>
  <si>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</si>
  <si>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</si>
  <si>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</si>
  <si>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</si>
  <si>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</si>
  <si>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</si>
  <si>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</si>
  <si>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</si>
  <si>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</si>
  <si>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</si>
  <si>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</si>
  <si>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</si>
  <si>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</si>
  <si>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</si>
  <si>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</si>
  <si>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</si>
  <si>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</si>
  <si>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</si>
  <si>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</si>
  <si>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</si>
  <si>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</si>
  <si>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</si>
  <si>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</si>
  <si>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</si>
  <si>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</si>
  <si>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</si>
  <si>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</si>
  <si>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</si>
  <si>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</si>
  <si>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</si>
  <si>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</si>
  <si>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</si>
  <si>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</si>
  <si>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</si>
  <si>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</si>
  <si>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</si>
  <si>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</si>
  <si>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</si>
  <si>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</si>
  <si>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</si>
  <si>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</si>
  <si>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</si>
  <si>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</si>
  <si>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</si>
  <si>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</si>
  <si>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</si>
  <si>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</si>
  <si>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</si>
  <si>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</si>
  <si>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</si>
  <si>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</si>
  <si>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</si>
  <si>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</si>
  <si>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</si>
  <si>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</si>
  <si>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</si>
  <si>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</si>
  <si>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</si>
  <si>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</si>
  <si>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</si>
  <si>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</si>
  <si>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</si>
  <si>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</si>
  <si>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</si>
  <si>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</si>
  <si>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</si>
  <si>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</si>
  <si>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</si>
  <si>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</si>
  <si>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</si>
  <si>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</si>
  <si>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</si>
  <si>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</si>
  <si>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</si>
  <si>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</si>
  <si>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</si>
  <si>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</si>
  <si>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</si>
  <si>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</si>
  <si>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</si>
  <si>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</si>
  <si>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</si>
  <si>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</si>
  <si>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</si>
  <si>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</si>
  <si>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</si>
  <si>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</si>
  <si>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</si>
  <si>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</si>
  <si>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</si>
  <si>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</si>
  <si>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</si>
  <si>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</si>
  <si>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</si>
  <si>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</si>
  <si>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</si>
  <si>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</si>
  <si>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</si>
  <si>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</si>
  <si>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</si>
  <si>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</si>
  <si>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</si>
  <si>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</si>
  <si>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</si>
  <si>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</si>
  <si>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</si>
  <si>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</si>
  <si>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</si>
  <si>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</si>
  <si>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</si>
  <si>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</si>
  <si>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</si>
  <si>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</si>
  <si>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</si>
  <si>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</si>
  <si>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</si>
  <si>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</si>
  <si>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</si>
  <si>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</si>
  <si>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</si>
  <si>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</si>
  <si>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</si>
  <si>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</si>
  <si>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</si>
  <si>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</si>
  <si>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</si>
  <si>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</si>
  <si>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</si>
  <si>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</si>
  <si>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</si>
  <si>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</si>
  <si>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</si>
  <si>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</si>
  <si>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</si>
  <si>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</si>
  <si>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</si>
  <si>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</si>
  <si>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</si>
  <si>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</si>
  <si>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</si>
  <si>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</si>
  <si>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</si>
  <si>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</si>
  <si>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</si>
  <si>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</si>
  <si>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</si>
  <si>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</si>
  <si>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</si>
  <si>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</si>
  <si>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</si>
  <si>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</si>
  <si>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</si>
  <si>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</si>
  <si>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</si>
  <si>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</si>
  <si>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</si>
  <si>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</si>
  <si>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</si>
  <si>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</si>
  <si>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</si>
  <si>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</si>
  <si>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</si>
  <si>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</si>
  <si>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</si>
  <si>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</si>
  <si>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</si>
  <si>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</si>
  <si>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</si>
  <si>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</si>
  <si>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</si>
  <si>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</si>
  <si>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</si>
  <si>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</si>
  <si>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</si>
  <si>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</si>
  <si>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</si>
  <si>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</si>
  <si>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</si>
  <si>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</si>
  <si>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</si>
  <si>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</si>
  <si>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</si>
  <si>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</si>
  <si>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</si>
  <si>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</si>
  <si>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</si>
  <si>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</si>
  <si>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</si>
  <si>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</si>
  <si>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</si>
  <si>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</si>
  <si>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</si>
  <si>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</si>
  <si>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</si>
  <si>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</si>
  <si>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</si>
  <si>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</si>
  <si>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</si>
  <si>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</si>
  <si>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</si>
  <si>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</si>
  <si>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</si>
  <si>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</si>
  <si>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</si>
  <si>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</si>
  <si>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</si>
  <si>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</si>
  <si>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</si>
  <si>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</si>
  <si>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</si>
  <si>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</si>
  <si>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</si>
  <si>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</si>
  <si>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</si>
  <si>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</si>
  <si>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</si>
  <si>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</si>
  <si>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</si>
  <si>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</si>
  <si>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</si>
  <si>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</si>
  <si>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</si>
  <si>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</si>
  <si>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</si>
  <si>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</si>
  <si>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</si>
  <si>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</si>
  <si>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</si>
  <si>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</si>
  <si>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</si>
  <si>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</si>
  <si>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</si>
  <si>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</si>
  <si>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</si>
  <si>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</si>
  <si>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</si>
  <si>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</si>
  <si>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</si>
  <si>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</si>
  <si>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</si>
  <si>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</si>
  <si>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</si>
  <si>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</si>
  <si>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</si>
  <si>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</si>
  <si>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</si>
  <si>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</si>
  <si>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</si>
  <si>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</si>
  <si>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</si>
  <si>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</si>
  <si>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</si>
  <si>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</si>
  <si>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</si>
  <si>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</si>
  <si>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</si>
  <si>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</si>
  <si>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</si>
  <si>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</si>
  <si>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</si>
  <si>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</si>
  <si>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</si>
  <si>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</si>
  <si>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房地产抵押价值</t>
  </si>
  <si>
    <t>楼面单价</t>
  </si>
  <si>
    <t>商业</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</si>
  <si>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</si>
  <si>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</si>
  <si>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</si>
  <si>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</si>
  <si>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</si>
  <si>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</si>
  <si>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</si>
  <si>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</si>
  <si>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</si>
  <si>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</si>
  <si>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</si>
  <si>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</si>
  <si>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</si>
  <si>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</si>
  <si>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</si>
  <si>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</si>
  <si>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</si>
  <si>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</si>
  <si>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</si>
  <si>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</si>
  <si>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</si>
  <si>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</si>
  <si>
    <t>吴薇</t>
  </si>
  <si>
    <t>郑燚</t>
  </si>
  <si>
    <t>序号</t>
    <phoneticPr fontId="146" type="noConversion"/>
  </si>
  <si>
    <t>合计</t>
    <phoneticPr fontId="146" type="noConversion"/>
  </si>
  <si>
    <t>坐落</t>
    <phoneticPr fontId="146" type="noConversion"/>
  </si>
  <si>
    <t>西城区菜市口大街甲2号院3号楼1-2层105</t>
    <phoneticPr fontId="146" type="noConversion"/>
  </si>
  <si>
    <t>建筑面积</t>
    <phoneticPr fontId="146" type="noConversion"/>
  </si>
  <si>
    <t>用途</t>
    <phoneticPr fontId="146" type="noConversion"/>
  </si>
  <si>
    <t>现状租户</t>
    <phoneticPr fontId="146" type="noConversion"/>
  </si>
  <si>
    <t>商业</t>
    <phoneticPr fontId="146" type="noConversion"/>
  </si>
  <si>
    <t>西城区菜市口大街甲2号院3号楼1-2层110</t>
    <phoneticPr fontId="146" type="noConversion"/>
  </si>
  <si>
    <t>西城区菜市口大街甲2号院3号楼1-2层111</t>
  </si>
  <si>
    <t>西城区菜市口大街甲2号院3号楼1-2层112</t>
  </si>
  <si>
    <t>丽贝佳口腔</t>
    <phoneticPr fontId="146" type="noConversion"/>
  </si>
  <si>
    <t>木北造型</t>
    <phoneticPr fontId="146" type="noConversion"/>
  </si>
  <si>
    <t>同至仁诊所眼科</t>
    <phoneticPr fontId="146" type="noConversion"/>
  </si>
  <si>
    <t>现状租金</t>
    <phoneticPr fontId="146" type="noConversion"/>
  </si>
  <si>
    <t>万元</t>
  </si>
  <si>
    <t>仅计算典型户型</t>
  </si>
  <si>
    <t>估价对象1（结果表）</t>
  </si>
  <si>
    <t>情况4</t>
  </si>
  <si>
    <t>转让取得</t>
  </si>
  <si>
    <t>2016年5月1日前购买</t>
  </si>
  <si>
    <t>已注销</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</si>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</sst>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08" fillId="0" borderId="0" xfId="0" applyFont="1">
      <alignment vertical="center"/>
    </xf>
    <xf numFmtId="0" fontId="108" fillId="0" borderId="1" xfId="0" applyFont="1" applyBorder="1" applyAlignment="1">
      <alignment horizontal="lef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1" xfId="0" applyFont="1" applyBorder="1" applyAlignment="1">
      <alignment horizontal="left" vertical="center"/>
    </xf>
    <xf numFmtId="0" fontId="108" fillId="0" borderId="2" xfId="0" applyFont="1" applyFill="1" applyBorder="1" applyAlignment="1">
      <alignment horizontal="left" vertical="center"/>
    </xf>
    <xf numFmtId="0" fontId="108" fillId="0" borderId="3"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估价对象为北京市房地产，为XX所有。根据《》[]，估价对象建筑面积为847.76平方米。根据《》[]，估价对象（分摊）出让国有建设用地使用权面积为平方米。估价对象用途为。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2022年1月10日（评估专业人员实地查勘之日）</v>
      </c>
    </row>
    <row r="10" spans="1:2">
      <c r="A10" s="1181" t="s">
        <v>1047</v>
      </c>
      <c r="B10" s="1168" t="str">
        <f>'预评函-1'!A13</f>
        <v>本次估价的“房地产价值”是指在正常市场情况下，在价值时点2022年1月10日，估价对象规划用途为，假定未设立法定优先受偿款下的房地产市场价值。</v>
      </c>
    </row>
    <row r="11" spans="1:2">
      <c r="A11" s="1181" t="s">
        <v>1048</v>
      </c>
      <c r="B11" s="1168"/>
    </row>
    <row r="12" spans="1:2">
      <c r="A12" s="1181" t="s">
        <v>1049</v>
      </c>
      <c r="B12" s="116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本次评估采用的主估价方法为基准地价系数修正法和基准地价系数修正法。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847.76</v>
      </c>
    </row>
    <row r="19" spans="1:2">
      <c r="A19" s="1181" t="s">
        <v>1056</v>
      </c>
      <c r="B19" s="1168">
        <f ca="1">'预评函-2（1）'!D7</f>
        <v>5738</v>
      </c>
    </row>
    <row r="20" spans="1:2">
      <c r="A20" s="1181" t="s">
        <v>1094</v>
      </c>
      <c r="B20" s="1168" t="str">
        <f>'预评函-2（1）'!C7</f>
        <v>总价（万元）</v>
      </c>
    </row>
    <row r="21" spans="1:2">
      <c r="A21" s="1181" t="s">
        <v>1057</v>
      </c>
      <c r="B21" s="1168">
        <f ca="1">'预评函-2（1）'!D9</f>
        <v>67684</v>
      </c>
    </row>
    <row r="22" spans="1:2">
      <c r="A22" s="1181" t="s">
        <v>1058</v>
      </c>
      <c r="B22" s="1168" t="str">
        <f ca="1">'预评函-2（1）'!D8</f>
        <v>伍仟柒佰叁拾捌万元整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t="str">
        <f>'预评函-2（1）'!D15</f>
        <v>——</v>
      </c>
    </row>
    <row r="30" spans="1:2">
      <c r="A30" s="1181" t="s">
        <v>1064</v>
      </c>
      <c r="B30" s="1168" t="e">
        <f>'预评函-2（1）'!D16</f>
        <v>#VALUE!</v>
      </c>
    </row>
    <row r="31" spans="1:2">
      <c r="A31" s="1181" t="s">
        <v>1065</v>
      </c>
      <c r="B31" s="1168">
        <f ca="1">'预评函-2（1）'!D18</f>
        <v>5738</v>
      </c>
    </row>
    <row r="32" spans="1:2">
      <c r="A32" s="1181" t="s">
        <v>1066</v>
      </c>
      <c r="B32" s="1168" t="str">
        <f ca="1">'预评函-2（1）'!D19</f>
        <v>伍仟柒佰叁拾捌万元整</v>
      </c>
    </row>
    <row r="33" spans="1:2">
      <c r="A33" s="1181" t="s">
        <v>1067</v>
      </c>
      <c r="B33" s="1168">
        <f ca="1">'预评函-2（1）'!D21</f>
        <v>2124</v>
      </c>
    </row>
    <row r="34" spans="1:2">
      <c r="A34" s="1181" t="s">
        <v>1068</v>
      </c>
      <c r="B34" s="1168">
        <f ca="1">'预评函-2（1）'!D23</f>
        <v>25054</v>
      </c>
    </row>
    <row r="35" spans="1:2">
      <c r="A35" s="1181" t="s">
        <v>1069</v>
      </c>
      <c r="B35" s="1168" t="str">
        <f ca="1">'预评函-2（1）'!D22</f>
        <v>贰仟壹佰贰拾肆万元整</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6.2" thickBot="1">
      <c r="A42" s="1182" t="s">
        <v>1076</v>
      </c>
      <c r="B42" s="1170" t="str">
        <f>'预评函-2（2）'!F5</f>
        <v>零元整</v>
      </c>
    </row>
    <row r="43" spans="1:2" ht="16.2"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6.2" thickBot="1">
      <c r="A55" s="1182" t="s">
        <v>1088</v>
      </c>
      <c r="B55" s="1170">
        <f ca="1">'预评函-3'!B5</f>
        <v>1120070131</v>
      </c>
    </row>
    <row r="56" spans="1:2" ht="16.2" thickTop="1">
      <c r="A56" s="1184" t="s">
        <v>1097</v>
      </c>
      <c r="B56" s="1168" t="str">
        <f>'预评函-2（1）'!B15</f>
        <v>——</v>
      </c>
    </row>
    <row r="57" spans="1:2">
      <c r="A57" s="1184" t="s">
        <v>1098</v>
      </c>
      <c r="B57" s="1168" t="str">
        <f>'预评函-2（1）'!B18</f>
        <v>3.抵押担保权已注销时的房地产抵押价值</v>
      </c>
    </row>
    <row r="58" spans="1:2" s="1178" customFormat="1" ht="16.2" thickBot="1">
      <c r="A58" s="1185" t="s">
        <v>1099</v>
      </c>
      <c r="B58" s="1169" t="str">
        <f>'预评函-2（1）'!B21</f>
        <v>4.抵押净值</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t="e">
        <f ca="1">'预评函-2（1）'!D38</f>
        <v>#VALUE!</v>
      </c>
    </row>
    <row r="63" spans="1:2" s="1180" customFormat="1" ht="31.2">
      <c r="A63" s="1184" t="s">
        <v>1187</v>
      </c>
      <c r="B63" s="1168">
        <f ca="1">'预评函-2（1）'!D41</f>
        <v>67684</v>
      </c>
    </row>
    <row r="64" spans="1:2">
      <c r="A64" s="1184" t="s">
        <v>1111</v>
      </c>
      <c r="B64" s="1168" t="str">
        <f>'预评函-2（2）'!A6</f>
        <v>估价师所知悉的法定优先受偿款</v>
      </c>
    </row>
    <row r="65" spans="1:2">
      <c r="A65" s="1184" t="s">
        <v>1112</v>
      </c>
      <c r="B65" s="1168" t="str">
        <f>'预评函-2（2）'!A8</f>
        <v/>
      </c>
    </row>
    <row r="66" spans="1:2">
      <c r="A66" s="1184" t="s">
        <v>1113</v>
      </c>
      <c r="B66" s="1168" t="str">
        <f>'预评函-2（2）'!A10</f>
        <v>抵押担保权已注销时的房地产抵押价值</v>
      </c>
    </row>
    <row r="67" spans="1:2" s="1178" customFormat="1" ht="16.2" thickBot="1">
      <c r="A67" s="1185" t="s">
        <v>1114</v>
      </c>
      <c r="B67" s="1169" t="str">
        <f>'预评函-2（2）'!A12</f>
        <v>抵押净值</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v>44571</v>
      </c>
      <c r="C2" s="2861" t="s">
        <v>1473</v>
      </c>
      <c r="D2" s="2562">
        <f>B2</f>
        <v>44571</v>
      </c>
      <c r="E2" s="824"/>
      <c r="F2" s="824"/>
      <c r="G2" s="1163"/>
      <c r="H2" s="2873"/>
    </row>
    <row r="3" spans="1:17" ht="13.8" thickBot="1">
      <c r="A3" s="2563" t="s">
        <v>1474</v>
      </c>
      <c r="B3" s="2564" t="s">
        <v>3003</v>
      </c>
      <c r="C3" s="2565">
        <f ca="1">SUMIF(注册房地产估价师,B3,估价师及机构信息!B3:B16)</f>
        <v>1419970001</v>
      </c>
      <c r="D3" s="2564" t="s">
        <v>3004</v>
      </c>
      <c r="E3" s="2566">
        <f ca="1">SUMIF(注册房地产估价师,D3,估价师及机构信息!B3:B16)</f>
        <v>1120070131</v>
      </c>
      <c r="F3" s="825"/>
      <c r="G3" s="1164"/>
      <c r="H3" s="2873"/>
    </row>
    <row r="4" spans="1:17" ht="13.5" customHeight="1" thickTop="1">
      <c r="A4" s="1397" t="s">
        <v>1475</v>
      </c>
      <c r="B4" s="1398" t="s">
        <v>2660</v>
      </c>
      <c r="C4" s="2862" t="s">
        <v>1476</v>
      </c>
      <c r="D4" s="1399"/>
      <c r="E4" s="824"/>
      <c r="F4" s="824"/>
      <c r="G4" s="1163"/>
    </row>
    <row r="5" spans="1:17" ht="24">
      <c r="A5" s="1400" t="s">
        <v>1477</v>
      </c>
      <c r="B5" s="1401" t="s">
        <v>2661</v>
      </c>
      <c r="C5" s="2863" t="s">
        <v>1478</v>
      </c>
      <c r="D5" s="1403" t="s">
        <v>2978</v>
      </c>
      <c r="E5" s="2864" t="s">
        <v>1479</v>
      </c>
      <c r="F5" s="1403" t="s">
        <v>3026</v>
      </c>
      <c r="G5" s="1404" t="s">
        <v>1165</v>
      </c>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2977</v>
      </c>
      <c r="C6" s="2568" t="s">
        <v>2662</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3027</v>
      </c>
      <c r="C7" s="1495" t="str">
        <f>IF(B7="自然人","姓名","名称")</f>
        <v>姓名</v>
      </c>
      <c r="D7" s="1408" t="s">
        <v>2661</v>
      </c>
      <c r="E7" s="825"/>
      <c r="F7" s="825"/>
      <c r="G7" s="1164"/>
    </row>
    <row r="8" spans="1:17" ht="13.8" thickTop="1">
      <c r="A8" s="3372" t="s">
        <v>1483</v>
      </c>
      <c r="B8" s="1409" t="s">
        <v>1484</v>
      </c>
      <c r="C8" s="3385"/>
      <c r="D8" s="3386"/>
      <c r="E8" s="2571" t="s">
        <v>1485</v>
      </c>
      <c r="F8" s="2572" t="s">
        <v>1486</v>
      </c>
      <c r="G8" s="2573" t="str">
        <f>C6</f>
        <v>XX</v>
      </c>
    </row>
    <row r="9" spans="1:17">
      <c r="A9" s="3372"/>
      <c r="B9" s="259" t="s">
        <v>1487</v>
      </c>
      <c r="C9" s="1401"/>
      <c r="D9" s="1410"/>
      <c r="E9" s="2867" t="s">
        <v>1488</v>
      </c>
      <c r="F9" s="2574" t="s">
        <v>221</v>
      </c>
      <c r="G9" s="2575"/>
    </row>
    <row r="10" spans="1:17" ht="13.8" thickBot="1">
      <c r="A10" s="3372"/>
      <c r="B10" s="259" t="s">
        <v>1489</v>
      </c>
      <c r="C10" s="3387"/>
      <c r="D10" s="3388"/>
      <c r="E10" s="2868" t="s">
        <v>1490</v>
      </c>
      <c r="F10" s="2576" t="s">
        <v>199</v>
      </c>
      <c r="G10" s="2577"/>
    </row>
    <row r="11" spans="1:17" ht="13.8" thickBot="1">
      <c r="A11" s="3372"/>
      <c r="B11" s="1412" t="s">
        <v>1491</v>
      </c>
      <c r="C11" s="3389"/>
      <c r="D11" s="3390"/>
      <c r="E11" s="811"/>
      <c r="F11" s="811"/>
      <c r="G11" s="830"/>
    </row>
    <row r="12" spans="1:17" ht="13.8" thickBot="1">
      <c r="A12" s="3376" t="s">
        <v>2767</v>
      </c>
      <c r="B12" s="2869" t="s">
        <v>1492</v>
      </c>
      <c r="C12" s="808">
        <f>面积明细!C6</f>
        <v>847.76</v>
      </c>
      <c r="D12" s="1413" t="s">
        <v>1493</v>
      </c>
      <c r="E12" s="1414"/>
      <c r="F12" s="1415"/>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2768</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3.5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2766</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6"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8"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24.6" thickBot="1">
      <c r="A37" s="804" t="s">
        <v>1538</v>
      </c>
      <c r="B37" s="798"/>
      <c r="C37" s="3383" t="s">
        <v>1539</v>
      </c>
      <c r="D37" s="3384"/>
      <c r="E37" s="802"/>
      <c r="F37" s="1433" t="s">
        <v>1540</v>
      </c>
      <c r="G37" s="798"/>
    </row>
    <row r="38" spans="1:7" ht="13.8"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ht="24">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8" thickBot="1">
      <c r="A51" s="804" t="s">
        <v>1558</v>
      </c>
      <c r="B51" s="819"/>
      <c r="C51" s="3375" t="s">
        <v>1559</v>
      </c>
      <c r="D51" s="3378"/>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46.8">
      <c r="A3" s="3405"/>
      <c r="B3" s="3405"/>
      <c r="C3" s="3405"/>
      <c r="D3" s="3406"/>
      <c r="E3" s="340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30" sqref="E30"/>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44571</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3020</v>
      </c>
      <c r="C3" s="1655"/>
      <c r="D3" s="3408"/>
      <c r="E3" s="2609" t="s">
        <v>2986</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847.76</v>
      </c>
      <c r="C5" s="1655"/>
      <c r="D5" s="2895" t="s">
        <v>1567</v>
      </c>
      <c r="E5" s="2612">
        <f>面积明细!C2</f>
        <v>213.01</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2777</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42602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0.05</v>
      </c>
      <c r="C15" s="2533" t="s">
        <v>2778</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2779</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2776</v>
      </c>
      <c r="B17" s="3060">
        <v>8.5000000000000006E-2</v>
      </c>
      <c r="C17" s="2533" t="s">
        <v>2780</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2967160</v>
      </c>
      <c r="F18" s="2628">
        <f>ROUND(E5*E17*IF(B26=0,1,E20),0)</f>
        <v>745535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2786</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c r="F22" s="2643" t="s">
        <v>2784</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2787</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2785</v>
      </c>
      <c r="I25" s="2938"/>
    </row>
    <row r="26" spans="1:41" ht="15" thickBot="1">
      <c r="A26" s="2916" t="s">
        <v>1599</v>
      </c>
      <c r="B26" s="2920">
        <f>B22-B23</f>
        <v>0</v>
      </c>
      <c r="D26" s="2900" t="s">
        <v>1602</v>
      </c>
      <c r="E26" s="2635">
        <v>0.02</v>
      </c>
      <c r="F26" s="2643" t="s">
        <v>2785</v>
      </c>
      <c r="G26" s="2939"/>
      <c r="H26" s="2939"/>
      <c r="I26" s="1655"/>
      <c r="J26" s="1655"/>
      <c r="K26" s="1655"/>
      <c r="L26" s="1655"/>
      <c r="M26" s="1655"/>
      <c r="N26" s="1655"/>
    </row>
    <row r="27" spans="1:41" ht="15" thickBot="1">
      <c r="A27" s="2921" t="s">
        <v>1601</v>
      </c>
      <c r="B27" s="2637">
        <v>2011</v>
      </c>
      <c r="C27" s="1655"/>
      <c r="D27" s="3127" t="s">
        <v>2982</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4">
      <c r="A29" s="2923" t="s">
        <v>1603</v>
      </c>
      <c r="B29" s="2638" t="s">
        <v>2981</v>
      </c>
      <c r="D29" s="2905" t="s">
        <v>1605</v>
      </c>
      <c r="E29" s="2924">
        <f>E30+E31</f>
        <v>5.6000000000000001E-2</v>
      </c>
      <c r="F29" s="1280"/>
      <c r="G29" s="2939"/>
      <c r="H29" s="2939"/>
      <c r="K29" s="1655"/>
      <c r="N29" s="1655"/>
    </row>
    <row r="30" spans="1:41" ht="14.4">
      <c r="A30" s="2900" t="str">
        <f>IF(B29="租赁期内按合同租金","合同租金","市场租金")</f>
        <v>市场租金</v>
      </c>
      <c r="B30" s="2640">
        <v>9</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6.000000000000001E-3</v>
      </c>
      <c r="F31" s="1280"/>
      <c r="G31" s="2939"/>
      <c r="H31" s="2939"/>
      <c r="K31" s="1655"/>
      <c r="N31" s="1655"/>
    </row>
    <row r="32" spans="1:41" ht="14.4">
      <c r="A32" s="2900" t="s">
        <v>1608</v>
      </c>
      <c r="B32" s="2625">
        <v>3.5000000000000003E-2</v>
      </c>
      <c r="D32" s="2907" t="s">
        <v>1611</v>
      </c>
      <c r="E32" s="2642">
        <v>7.0000000000000007E-2</v>
      </c>
      <c r="F32" s="2643" t="s">
        <v>2673</v>
      </c>
      <c r="G32" s="2939"/>
      <c r="H32" s="2939"/>
      <c r="K32" s="1655"/>
      <c r="L32" s="1655"/>
      <c r="M32" s="1655"/>
      <c r="N32" s="1655"/>
    </row>
    <row r="33" spans="1:14" ht="14.4">
      <c r="A33" s="2900" t="s">
        <v>1610</v>
      </c>
      <c r="B33" s="2625">
        <v>0.05</v>
      </c>
      <c r="D33" s="2907" t="s">
        <v>1613</v>
      </c>
      <c r="E33" s="2641">
        <v>0.03</v>
      </c>
      <c r="F33" s="1279" t="s">
        <v>1614</v>
      </c>
      <c r="G33" s="2939"/>
      <c r="H33" s="2939"/>
      <c r="K33" s="1655"/>
      <c r="L33" s="1655"/>
      <c r="M33" s="1655"/>
      <c r="N33" s="1655"/>
    </row>
    <row r="34" spans="1:14" s="2645" customFormat="1" ht="14.4">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221</v>
      </c>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v>24</v>
      </c>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1.4999999999999999E-2</v>
      </c>
      <c r="C45" s="2533" t="s">
        <v>2783</v>
      </c>
      <c r="D45" s="2653" t="s">
        <v>1638</v>
      </c>
      <c r="E45" s="2640"/>
      <c r="F45" s="1281">
        <v>12</v>
      </c>
      <c r="G45" s="2645"/>
      <c r="H45" s="2645"/>
      <c r="M45" s="1655"/>
      <c r="N45" s="1655"/>
    </row>
    <row r="46" spans="1:14" ht="14.4">
      <c r="A46" s="2900" t="s">
        <v>1637</v>
      </c>
      <c r="B46" s="2655">
        <v>1.5E-3</v>
      </c>
      <c r="C46" s="2533" t="s">
        <v>2781</v>
      </c>
      <c r="D46" s="2653" t="s">
        <v>1400</v>
      </c>
      <c r="E46" s="2640"/>
      <c r="F46" s="1281">
        <v>3</v>
      </c>
      <c r="G46" s="2645"/>
      <c r="H46" s="2645"/>
      <c r="M46" s="1655"/>
      <c r="N46" s="1655"/>
    </row>
    <row r="47" spans="1:14" ht="15" thickBot="1">
      <c r="A47" s="2903" t="s">
        <v>1639</v>
      </c>
      <c r="B47" s="2656">
        <v>1.4999999999999999E-2</v>
      </c>
      <c r="C47" s="2533" t="s">
        <v>2782</v>
      </c>
      <c r="D47" s="2653" t="s">
        <v>1640</v>
      </c>
      <c r="E47" s="2640"/>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2788</v>
      </c>
      <c r="D2" s="3072"/>
      <c r="E2" s="3069"/>
      <c r="F2" s="3073"/>
      <c r="G2" s="3071" t="s">
        <v>2789</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2790</v>
      </c>
      <c r="B3" s="3076" t="s">
        <v>2791</v>
      </c>
      <c r="C3" s="3077" t="s">
        <v>2792</v>
      </c>
      <c r="D3" s="3078"/>
      <c r="E3" s="3079" t="s">
        <v>2790</v>
      </c>
      <c r="F3" s="3080" t="s">
        <v>2793</v>
      </c>
      <c r="G3" s="3081" t="s">
        <v>2794</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37.200000000000003">
      <c r="A4" s="3079"/>
      <c r="B4" s="3063" t="s">
        <v>2795</v>
      </c>
      <c r="C4" s="3082" t="s">
        <v>2796</v>
      </c>
      <c r="D4" s="3078"/>
      <c r="E4" s="3083"/>
      <c r="F4" s="3065" t="s">
        <v>2797</v>
      </c>
      <c r="G4" s="3084" t="s">
        <v>2798</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37.200000000000003">
      <c r="A5" s="3079"/>
      <c r="B5" s="3063" t="s">
        <v>2799</v>
      </c>
      <c r="C5" s="3082" t="s">
        <v>2800</v>
      </c>
      <c r="D5" s="3078"/>
      <c r="E5" s="3083"/>
      <c r="F5" s="3063" t="s">
        <v>2801</v>
      </c>
      <c r="G5" s="3084" t="s">
        <v>2802</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2803</v>
      </c>
      <c r="C6" s="3084" t="s">
        <v>2798</v>
      </c>
      <c r="D6" s="3078"/>
      <c r="E6" s="3083"/>
      <c r="F6" s="3063" t="s">
        <v>2804</v>
      </c>
      <c r="G6" s="3084" t="s">
        <v>2805</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6" thickBot="1">
      <c r="A7" s="3079"/>
      <c r="B7" s="3063" t="s">
        <v>2801</v>
      </c>
      <c r="C7" s="3084" t="s">
        <v>2802</v>
      </c>
      <c r="D7" s="2952"/>
      <c r="E7" s="3085"/>
      <c r="F7" s="3086" t="s">
        <v>2806</v>
      </c>
      <c r="G7" s="3087" t="s">
        <v>2807</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2804</v>
      </c>
      <c r="C8" s="3084" t="s">
        <v>2805</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2808</v>
      </c>
      <c r="C9" s="3082" t="s">
        <v>2809</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2810</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2811</v>
      </c>
      <c r="D14" s="3078"/>
      <c r="E14" s="3096"/>
      <c r="F14" s="3096"/>
      <c r="G14" s="3071" t="s">
        <v>2812</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52.8">
      <c r="A15" s="3100" t="s">
        <v>2813</v>
      </c>
      <c r="B15" s="3101" t="s">
        <v>2791</v>
      </c>
      <c r="C15" s="3102" t="str">
        <f>C3</f>
        <v>估价对象周边居住用地比例、居住小区规模和社区发展完善程度，综合评价居住社区成熟度一般</v>
      </c>
      <c r="D15" s="3078"/>
      <c r="E15" s="3103" t="s">
        <v>2814</v>
      </c>
      <c r="F15" s="3101" t="s">
        <v>2815</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39.6">
      <c r="A16" s="3105"/>
      <c r="B16" s="2544" t="s">
        <v>2795</v>
      </c>
      <c r="C16" s="3106" t="str">
        <f>C4</f>
        <v>估价对象位于XX商圈，周边商业氛围成熟，人流量大，商业繁华度好</v>
      </c>
      <c r="D16" s="3078"/>
      <c r="E16" s="3107"/>
      <c r="F16" s="3064" t="s">
        <v>2797</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39.6">
      <c r="A17" s="3105"/>
      <c r="B17" s="2544" t="s">
        <v>2799</v>
      </c>
      <c r="C17" s="3106" t="str">
        <f>C5</f>
        <v>估价对象位于XX商圈，周边办公楼项目较多，入驻率高，办公集聚程度较好</v>
      </c>
      <c r="D17" s="2952"/>
      <c r="E17" s="3107"/>
      <c r="F17" s="3064" t="s">
        <v>2816</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9.6">
      <c r="A18" s="3105"/>
      <c r="B18" s="3064" t="s">
        <v>2803</v>
      </c>
      <c r="C18" s="3108" t="str">
        <f>C6</f>
        <v>估价对象周边道路状况、公共交通通达情况、停车便捷程度，综合评价交通便捷度较好</v>
      </c>
      <c r="D18" s="2952"/>
      <c r="E18" s="3107"/>
      <c r="F18" s="3064" t="s">
        <v>2806</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26.4">
      <c r="A19" s="3105"/>
      <c r="B19" s="3064" t="s">
        <v>2817</v>
      </c>
      <c r="C19" s="3109"/>
      <c r="D19" s="3078"/>
      <c r="E19" s="3107"/>
      <c r="F19" s="3063" t="s">
        <v>2801</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6.4">
      <c r="A20" s="3105"/>
      <c r="B20" s="3064" t="s">
        <v>2818</v>
      </c>
      <c r="C20" s="3106" t="str">
        <f>C9</f>
        <v>区域自然环境：；人文环境；综合评价环境状况一般</v>
      </c>
      <c r="D20" s="2952"/>
      <c r="E20" s="3107"/>
      <c r="F20" s="3063" t="s">
        <v>2804</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6.4">
      <c r="A21" s="3105"/>
      <c r="B21" s="3063" t="s">
        <v>2801</v>
      </c>
      <c r="C21" s="3108" t="str">
        <f>C7</f>
        <v>估价对象所在区域公共配套设施齐备情况</v>
      </c>
      <c r="D21" s="3078"/>
      <c r="E21" s="3107"/>
      <c r="F21" s="3064" t="s">
        <v>2819</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2804</v>
      </c>
      <c r="C22" s="3108" t="str">
        <f>C8</f>
        <v>估价对象所在区域基础设施水平</v>
      </c>
      <c r="D22" s="3078"/>
      <c r="E22" s="3107"/>
      <c r="F22" s="3064" t="s">
        <v>2810</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2819</v>
      </c>
      <c r="C23" s="3110"/>
      <c r="D23" s="3097"/>
      <c r="E23" s="3112"/>
      <c r="F23" s="3066" t="s">
        <v>2820</v>
      </c>
      <c r="G23" s="3113"/>
      <c r="H23" s="3097"/>
      <c r="I23" s="3098"/>
      <c r="J23" s="3097"/>
      <c r="K23" s="3097"/>
      <c r="L23" s="3098"/>
      <c r="M23" s="3097"/>
      <c r="N23" s="3097"/>
      <c r="O23" s="3098"/>
      <c r="P23" s="3097"/>
      <c r="Q23" s="3097"/>
      <c r="R23" s="3099"/>
    </row>
    <row r="24" spans="1:29" s="3074" customFormat="1" thickBot="1">
      <c r="A24" s="3114"/>
      <c r="B24" s="3066" t="s">
        <v>2821</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4" zoomScale="80" zoomScaleNormal="100" zoomScaleSheetLayoutView="80" workbookViewId="0">
      <selection activeCell="D14" sqref="D14"/>
    </sheetView>
  </sheetViews>
  <sheetFormatPr defaultColWidth="14.6640625" defaultRowHeight="14.4"/>
  <cols>
    <col min="1" max="1" width="24.33203125" style="2553" customWidth="1"/>
    <col min="2" max="16384" width="14.6640625" style="2553"/>
  </cols>
  <sheetData>
    <row r="1" spans="1:9" ht="15.6">
      <c r="A1" s="2551" t="s">
        <v>1155</v>
      </c>
      <c r="B1" s="2551">
        <f>SUM(B14:B23)</f>
        <v>847.76</v>
      </c>
      <c r="C1" s="1604"/>
      <c r="D1" s="1604"/>
      <c r="E1" s="1604"/>
      <c r="F1" s="1604"/>
      <c r="G1" s="2552"/>
    </row>
    <row r="2" spans="1:9" ht="15.6">
      <c r="A2" s="2551" t="s">
        <v>1156</v>
      </c>
      <c r="B2" s="2551">
        <f>SUM(C14:C23)</f>
        <v>0</v>
      </c>
      <c r="C2" s="1604"/>
      <c r="D2" s="1604"/>
      <c r="E2" s="1604"/>
      <c r="F2" s="1604"/>
      <c r="G2" s="2552"/>
    </row>
    <row r="3" spans="1:9" ht="15.6">
      <c r="A3" s="2551" t="s">
        <v>1157</v>
      </c>
      <c r="B3" s="2554">
        <f>项目基本情况!D2</f>
        <v>44571</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5738</v>
      </c>
      <c r="C5" s="2551">
        <f ca="1">ROUND(B5*10000/$B$1,0)</f>
        <v>67684</v>
      </c>
      <c r="D5" s="2551" t="e">
        <f ca="1">ROUND(B5*10000/$B$2,0)</f>
        <v>#DIV/0!</v>
      </c>
      <c r="E5" s="1604"/>
      <c r="F5" s="2552"/>
      <c r="G5" s="2552"/>
    </row>
    <row r="6" spans="1:9" ht="15.6">
      <c r="A6" s="2551" t="s">
        <v>1163</v>
      </c>
      <c r="B6" s="2551">
        <f>SUM(G14:G23)</f>
        <v>0</v>
      </c>
      <c r="C6" s="2551">
        <f t="shared" ref="C6:C8" si="0">ROUND(B6*10000/$B$1,0)</f>
        <v>0</v>
      </c>
      <c r="D6" s="2551" t="e">
        <f t="shared" ref="D6:D8" si="1">ROUND(B6*10000/$B$2,0)</f>
        <v>#DIV/0!</v>
      </c>
      <c r="E6" s="1604"/>
      <c r="F6" s="2552"/>
      <c r="G6" s="2552"/>
    </row>
    <row r="7" spans="1:9" ht="15.6">
      <c r="A7" s="2551" t="s">
        <v>1164</v>
      </c>
      <c r="B7" s="2551">
        <f ca="1">SUM(H14:H23)</f>
        <v>5738</v>
      </c>
      <c r="C7" s="2551">
        <f ca="1">ROUND(B7*10000/$B$1,0)</f>
        <v>67684</v>
      </c>
      <c r="D7" s="2551" t="e">
        <f t="shared" ca="1" si="1"/>
        <v>#DIV/0!</v>
      </c>
      <c r="E7" s="1604"/>
      <c r="F7" s="2552"/>
      <c r="G7" s="2552"/>
    </row>
    <row r="8" spans="1:9" ht="15.6">
      <c r="A8" s="2551" t="s">
        <v>1165</v>
      </c>
      <c r="B8" s="2551">
        <f ca="1">SUM(I14:I23)</f>
        <v>4963</v>
      </c>
      <c r="C8" s="2551">
        <f t="shared" ca="1" si="0"/>
        <v>58543</v>
      </c>
      <c r="D8" s="2551" t="e">
        <f t="shared" ca="1" si="1"/>
        <v>#DIV/0!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3022</v>
      </c>
      <c r="B14" s="2887">
        <f>项目基本情况!C12</f>
        <v>847.76</v>
      </c>
      <c r="C14" s="2887">
        <f>项目基本情况!C13</f>
        <v>0</v>
      </c>
      <c r="D14" s="2887">
        <f ca="1">IF('数据-取费表'!B3="万元",IF(A14="估价对象1（结果表）",结果表!H121,'结果表 (1修多)'!H125),IF(A14="估价对象1（结果表）",结果表!H121,'结果表 (1修多)'!H125)/10000)</f>
        <v>5738</v>
      </c>
      <c r="E14" s="2887">
        <f ca="1">ROUND(D14*10000/B14,0)</f>
        <v>67684</v>
      </c>
      <c r="F14" s="2887" t="e">
        <f ca="1">ROUND(D14*10000/C14,0)</f>
        <v>#DIV/0!</v>
      </c>
      <c r="G14" s="2887" t="str">
        <f>IF('数据-取费表'!B3="万元",IF(A14="估价对象1（结果表）",结果表!D125,'结果表 (1修多)'!D129),IF(A14="估价对象1（结果表）",结果表!D125,'结果表 (1修多)'!D129)/10000)</f>
        <v>——</v>
      </c>
      <c r="H14" s="2887">
        <f ca="1">IF('数据-取费表'!B3="万元",IF(A14="估价对象1（结果表）",结果表!D127,'结果表 (1修多)'!D131),IF(A14="估价对象1（结果表）",结果表!D127,'结果表 (1修多)'!D131)/10000)</f>
        <v>5738</v>
      </c>
      <c r="I14" s="2887">
        <f ca="1">IF('数据-取费表'!B3="万元",IF(A14="估价对象1（结果表）",结果表!D129,'结果表 (1修多)'!D133),IF(A14="估价对象1（结果表）",结果表!D129,'结果表 (1修多)'!D133)/10000)</f>
        <v>4963</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6" zoomScale="80" zoomScaleNormal="100" zoomScaleSheetLayoutView="80" zoomScalePageLayoutView="80" workbookViewId="0">
      <selection activeCell="D17" sqref="D17"/>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3.2">
      <c r="A3" s="3487" t="s">
        <v>1653</v>
      </c>
      <c r="B3" s="3488"/>
      <c r="C3" s="3488"/>
      <c r="D3" s="3488"/>
      <c r="E3" s="3488"/>
      <c r="F3" s="3488"/>
      <c r="G3" s="3488"/>
      <c r="H3" s="3488"/>
      <c r="I3" s="3488"/>
      <c r="J3" s="2815"/>
    </row>
    <row r="4" spans="1:15" ht="14.4">
      <c r="A4" s="2683" t="s">
        <v>1654</v>
      </c>
      <c r="B4" s="2683" t="s">
        <v>1655</v>
      </c>
      <c r="C4" s="2684" t="s">
        <v>2999</v>
      </c>
      <c r="D4" s="2684" t="s">
        <v>2987</v>
      </c>
      <c r="E4" s="3484" t="s">
        <v>1656</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83" t="s">
        <v>1657</v>
      </c>
      <c r="B5" s="3483">
        <v>25</v>
      </c>
      <c r="C5" s="3489"/>
      <c r="D5" s="3486"/>
      <c r="E5" s="12" t="s">
        <v>1658</v>
      </c>
      <c r="F5" s="2059"/>
      <c r="G5" s="2059"/>
      <c r="H5" s="2059"/>
      <c r="I5" s="2054"/>
      <c r="J5" s="2816"/>
    </row>
    <row r="6" spans="1:15" ht="13.2">
      <c r="A6" s="3483"/>
      <c r="B6" s="3483"/>
      <c r="C6" s="3490"/>
      <c r="D6" s="3486"/>
      <c r="E6" s="12" t="s">
        <v>1659</v>
      </c>
      <c r="F6" s="2059"/>
      <c r="G6" s="2059"/>
      <c r="H6" s="2059"/>
      <c r="I6" s="2054"/>
      <c r="J6" s="2816"/>
    </row>
    <row r="7" spans="1:15" ht="13.2">
      <c r="A7" s="3483"/>
      <c r="B7" s="3483"/>
      <c r="C7" s="3491"/>
      <c r="D7" s="3486"/>
      <c r="E7" s="12" t="s">
        <v>1660</v>
      </c>
      <c r="F7" s="2059"/>
      <c r="G7" s="2059"/>
      <c r="H7" s="2059"/>
      <c r="I7" s="2054"/>
      <c r="J7" s="2816"/>
    </row>
    <row r="8" spans="1:15" ht="13.2">
      <c r="A8" s="3483" t="s">
        <v>1661</v>
      </c>
      <c r="B8" s="3483">
        <v>15</v>
      </c>
      <c r="C8" s="3489"/>
      <c r="D8" s="3486"/>
      <c r="E8" s="12" t="s">
        <v>1662</v>
      </c>
      <c r="F8" s="2059"/>
      <c r="G8" s="2059"/>
      <c r="H8" s="2059"/>
      <c r="I8" s="2054"/>
      <c r="J8" s="2816"/>
    </row>
    <row r="9" spans="1:15" ht="13.2">
      <c r="A9" s="3483"/>
      <c r="B9" s="3483"/>
      <c r="C9" s="3491"/>
      <c r="D9" s="3486"/>
      <c r="E9" s="12" t="s">
        <v>1663</v>
      </c>
      <c r="F9" s="2059"/>
      <c r="G9" s="2059"/>
      <c r="H9" s="2059"/>
      <c r="I9" s="2054"/>
      <c r="J9" s="2816"/>
    </row>
    <row r="10" spans="1:15" ht="13.2">
      <c r="A10" s="3483" t="s">
        <v>1664</v>
      </c>
      <c r="B10" s="3483">
        <v>15</v>
      </c>
      <c r="C10" s="3489"/>
      <c r="D10" s="3486"/>
      <c r="E10" s="12" t="s">
        <v>1665</v>
      </c>
      <c r="F10" s="2059"/>
      <c r="G10" s="2059"/>
      <c r="H10" s="2059"/>
      <c r="I10" s="2054"/>
      <c r="J10" s="2816"/>
    </row>
    <row r="11" spans="1:15" ht="13.2">
      <c r="A11" s="3483"/>
      <c r="B11" s="3483"/>
      <c r="C11" s="3491"/>
      <c r="D11" s="3486"/>
      <c r="E11" s="12" t="s">
        <v>1666</v>
      </c>
      <c r="F11" s="2059"/>
      <c r="G11" s="2059"/>
      <c r="H11" s="2059"/>
      <c r="I11" s="2054"/>
      <c r="J11" s="2816"/>
    </row>
    <row r="12" spans="1:15" ht="13.2">
      <c r="A12" s="3483" t="s">
        <v>1667</v>
      </c>
      <c r="B12" s="3483">
        <v>15</v>
      </c>
      <c r="C12" s="3489"/>
      <c r="D12" s="3486"/>
      <c r="E12" s="12" t="s">
        <v>1668</v>
      </c>
      <c r="F12" s="2059"/>
      <c r="G12" s="2059"/>
      <c r="H12" s="2059"/>
      <c r="I12" s="2054"/>
      <c r="J12" s="2816"/>
    </row>
    <row r="13" spans="1:15" ht="13.2">
      <c r="A13" s="3483"/>
      <c r="B13" s="3483"/>
      <c r="C13" s="3491"/>
      <c r="D13" s="3486"/>
      <c r="E13" s="12" t="s">
        <v>1669</v>
      </c>
      <c r="F13" s="2059"/>
      <c r="G13" s="2059"/>
      <c r="H13" s="2059"/>
      <c r="I13" s="2054"/>
      <c r="J13" s="2816"/>
    </row>
    <row r="14" spans="1:15" ht="13.2">
      <c r="A14" s="3483" t="s">
        <v>1670</v>
      </c>
      <c r="B14" s="3483">
        <v>30</v>
      </c>
      <c r="C14" s="3489">
        <v>4</v>
      </c>
      <c r="D14" s="3486">
        <v>6</v>
      </c>
      <c r="E14" s="12" t="s">
        <v>1671</v>
      </c>
      <c r="F14" s="2059"/>
      <c r="G14" s="2059"/>
      <c r="H14" s="2059"/>
      <c r="I14" s="2054"/>
      <c r="J14" s="2816"/>
    </row>
    <row r="15" spans="1:15" ht="13.2">
      <c r="A15" s="3483"/>
      <c r="B15" s="3483"/>
      <c r="C15" s="3490"/>
      <c r="D15" s="3486"/>
      <c r="E15" s="12" t="s">
        <v>1672</v>
      </c>
      <c r="F15" s="2059"/>
      <c r="G15" s="2059"/>
      <c r="H15" s="2059"/>
      <c r="I15" s="2054"/>
      <c r="J15" s="2816"/>
    </row>
    <row r="16" spans="1:15" ht="13.2">
      <c r="A16" s="3483"/>
      <c r="B16" s="3483"/>
      <c r="C16" s="3491"/>
      <c r="D16" s="3486"/>
      <c r="E16" s="12" t="s">
        <v>1673</v>
      </c>
      <c r="F16" s="2059"/>
      <c r="G16" s="2059"/>
      <c r="H16" s="2059"/>
      <c r="I16" s="2054"/>
      <c r="J16" s="2816"/>
    </row>
    <row r="17" spans="1:36" ht="14.4">
      <c r="A17" s="2685" t="s">
        <v>1674</v>
      </c>
      <c r="B17" s="2064"/>
      <c r="C17" s="2686">
        <f>SUM(C5:C16)</f>
        <v>4</v>
      </c>
      <c r="D17" s="2686">
        <f>SUM(D5:D16)</f>
        <v>6</v>
      </c>
      <c r="E17" s="2533"/>
      <c r="F17" s="2533"/>
      <c r="G17" s="2533"/>
      <c r="H17" s="2533"/>
      <c r="I17" s="2533"/>
      <c r="J17" s="2817"/>
    </row>
    <row r="18" spans="1:36" ht="30" customHeight="1" thickBot="1">
      <c r="A18" s="2687" t="s">
        <v>1675</v>
      </c>
      <c r="B18" s="2688"/>
      <c r="C18" s="2689">
        <f>ROUND(C17/SUM(C17:D17),2)</f>
        <v>0.4</v>
      </c>
      <c r="D18" s="2689">
        <f>1-C18</f>
        <v>0.6</v>
      </c>
      <c r="E18" s="3503" t="s">
        <v>2757</v>
      </c>
      <c r="F18" s="3504"/>
      <c r="G18" s="3504"/>
      <c r="H18" s="3504"/>
      <c r="I18" s="3504"/>
      <c r="J18" s="2817"/>
    </row>
    <row r="19" spans="1:36" ht="14.4">
      <c r="A19" s="2690" t="s">
        <v>1676</v>
      </c>
      <c r="B19" s="2691" t="s">
        <v>1677</v>
      </c>
      <c r="C19" s="2692">
        <f ca="1">SUMIF(INDIRECT("'"&amp;C4&amp;"'"&amp;"!A:A"),结果表!B19,INDIRECT("'"&amp;C4&amp;"'"&amp;"!B:B"))</f>
        <v>1810</v>
      </c>
      <c r="D19" s="2693">
        <f ca="1">SUMIF(INDIRECT("'"&amp;D4&amp;"'"&amp;"!A:A"),结果表!B19,INDIRECT("'"&amp;D4&amp;"'"&amp;"!B:B"))</f>
        <v>1196</v>
      </c>
      <c r="E19" s="2690" t="s">
        <v>1678</v>
      </c>
      <c r="F19" s="2691" t="s">
        <v>1677</v>
      </c>
      <c r="G19" s="2694">
        <f ca="1">ROUND(C19*$C$18+D19*$D$18,0)</f>
        <v>1442</v>
      </c>
      <c r="H19" s="2695" t="str">
        <f>'数据-取费表'!B3</f>
        <v>万元</v>
      </c>
      <c r="I19" s="2743"/>
      <c r="J19" s="2818"/>
    </row>
    <row r="20" spans="1:36" ht="14.4">
      <c r="A20" s="2696"/>
      <c r="B20" s="1664" t="s">
        <v>1679</v>
      </c>
      <c r="C20" s="1889">
        <f ca="1">SUMIF(INDIRECT("'"&amp;C4&amp;"'"&amp;"!A:A"),结果表!B20,INDIRECT("'"&amp;C4&amp;"'"&amp;"!B:B"))</f>
        <v>84986</v>
      </c>
      <c r="D20" s="1892">
        <f ca="1">SUMIF(INDIRECT("'"&amp;D4&amp;"'"&amp;"!A:A"),结果表!B20,INDIRECT("'"&amp;D4&amp;"'"&amp;"!B:B"))</f>
        <v>56160</v>
      </c>
      <c r="E20" s="2696"/>
      <c r="F20" s="1664" t="s">
        <v>1679</v>
      </c>
      <c r="G20" s="2063">
        <f ca="1">ROUND(C20*$C$18+D20*$D$18,0)</f>
        <v>67690</v>
      </c>
      <c r="H20" s="2697" t="s">
        <v>1680</v>
      </c>
      <c r="I20" s="2533"/>
      <c r="J20" s="2817"/>
      <c r="L20" s="659">
        <f ca="1">G20/0.85</f>
        <v>79635.294117647063</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0.51337792642140467</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2761</v>
      </c>
      <c r="F30" s="2533"/>
      <c r="G30" s="2533"/>
      <c r="H30" s="2533"/>
      <c r="I30" s="2533"/>
      <c r="J30" s="2817"/>
    </row>
    <row r="31" spans="1:36" s="2810" customFormat="1" ht="26.4"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楼面单价</v>
      </c>
      <c r="C32" s="2800">
        <f ca="1">IF(B32="总价",G19-C24,G20-C25)</f>
        <v>67690</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c r="E33" s="2716" t="s">
        <v>1690</v>
      </c>
      <c r="F33" s="2717" t="str">
        <f>IF(B32="楼面单价","取值（单价）","取值（总价）")</f>
        <v>取值（单价）</v>
      </c>
      <c r="G33" s="947"/>
      <c r="H33" s="947"/>
      <c r="I33" s="947"/>
      <c r="J33" s="2817"/>
    </row>
    <row r="34" spans="1:17" ht="14.4">
      <c r="A34" s="1436"/>
      <c r="B34" s="2718" t="s">
        <v>1691</v>
      </c>
      <c r="C34" s="2719">
        <f ca="1">IF(D33="自定义",F34,C32-C35)</f>
        <v>62207</v>
      </c>
      <c r="D34" s="2720">
        <f ca="1">IF(D33="自定义",ROUND(C34/C32,3),1-D35)</f>
        <v>0.91900000000000004</v>
      </c>
      <c r="E34" s="1405" t="s">
        <v>1692</v>
      </c>
      <c r="F34" s="2721">
        <v>2000</v>
      </c>
      <c r="G34" s="947"/>
      <c r="H34" s="947"/>
      <c r="I34" s="947"/>
      <c r="J34" s="2817"/>
    </row>
    <row r="35" spans="1:17" ht="15" thickBot="1">
      <c r="A35" s="1437"/>
      <c r="B35" s="2722" t="s">
        <v>1693</v>
      </c>
      <c r="C35" s="2723">
        <f ca="1">IF(D33="自定义",F35,ROUND(C32*D35,0))</f>
        <v>5483</v>
      </c>
      <c r="D35" s="2724">
        <f ca="1">IF(D33="自定义",ROUND(C35/C32,3),IF(D33="成本法成本比率",成本法!C56,IF(D33="收益法收益比率",收益法!J38,收益法!J41)))</f>
        <v>8.1000000000000003E-2</v>
      </c>
      <c r="E35" s="2725" t="s">
        <v>1694</v>
      </c>
      <c r="F35" s="2726">
        <v>4460</v>
      </c>
      <c r="G35" s="947"/>
      <c r="H35" s="947"/>
      <c r="I35" s="947"/>
      <c r="J35" s="2817"/>
    </row>
    <row r="36" spans="1:17" ht="15" thickBot="1">
      <c r="A36" s="3492" t="s">
        <v>1695</v>
      </c>
      <c r="B36" s="1438" t="s">
        <v>1696</v>
      </c>
      <c r="C36" s="2727">
        <v>0</v>
      </c>
      <c r="D36" s="2728"/>
      <c r="E36" s="1650"/>
      <c r="F36" s="1650"/>
      <c r="G36" s="947"/>
      <c r="H36" s="947"/>
      <c r="I36" s="947"/>
      <c r="J36" s="2817"/>
    </row>
    <row r="37" spans="1:17" ht="15" thickBot="1">
      <c r="A37" s="3497"/>
      <c r="B37" s="2064" t="s">
        <v>1697</v>
      </c>
      <c r="C37" s="2729">
        <v>0</v>
      </c>
      <c r="D37" s="1281"/>
      <c r="E37" s="1281"/>
      <c r="F37" s="1650"/>
      <c r="G37" s="1281"/>
      <c r="H37" s="1281"/>
      <c r="I37" s="1281"/>
      <c r="J37" s="2821"/>
    </row>
    <row r="38" spans="1:17" ht="15" thickBot="1">
      <c r="A38" s="3498"/>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2756</v>
      </c>
      <c r="J44" s="2823"/>
      <c r="K44" s="1445" t="s">
        <v>1705</v>
      </c>
      <c r="L44" s="1446"/>
      <c r="M44" s="1446"/>
      <c r="N44" s="1446"/>
      <c r="O44" s="1446"/>
      <c r="P44" s="1446"/>
      <c r="Q44" s="1278"/>
    </row>
    <row r="45" spans="1:17" ht="14.25" customHeight="1" thickBot="1">
      <c r="A45" s="3417" t="s">
        <v>1706</v>
      </c>
      <c r="B45" s="3418"/>
      <c r="C45" s="3428"/>
      <c r="D45" s="246">
        <f ca="1">ROUND(I102*F45,0)</f>
        <v>5738</v>
      </c>
      <c r="E45" s="1512" t="s">
        <v>1707</v>
      </c>
      <c r="F45" s="2531">
        <v>1</v>
      </c>
      <c r="G45" s="2532" t="s">
        <v>1708</v>
      </c>
      <c r="H45" s="947"/>
      <c r="I45" s="947"/>
      <c r="J45" s="2817"/>
      <c r="K45" s="3423" t="s">
        <v>2686</v>
      </c>
      <c r="L45" s="3423"/>
      <c r="M45" s="3423"/>
      <c r="N45" s="3423"/>
      <c r="O45" s="3423"/>
      <c r="P45" s="3423"/>
      <c r="Q45" s="1278"/>
    </row>
    <row r="46" spans="1:17" ht="14.25" customHeight="1">
      <c r="A46" s="3494" t="s">
        <v>1710</v>
      </c>
      <c r="B46" s="3495"/>
      <c r="C46" s="3495"/>
      <c r="D46" s="3495"/>
      <c r="E46" s="3495"/>
      <c r="F46" s="3495"/>
      <c r="G46" s="3496"/>
      <c r="H46" s="2949"/>
      <c r="I46" s="947"/>
      <c r="J46" s="2817"/>
      <c r="K46" s="2506">
        <v>1</v>
      </c>
      <c r="L46" s="3424" t="s">
        <v>2687</v>
      </c>
      <c r="M46" s="3424"/>
      <c r="N46" s="3425" t="str">
        <f>项目基本情况!B1</f>
        <v>北京市房地产抵押价值预评估</v>
      </c>
      <c r="O46" s="3425"/>
      <c r="P46" s="3425"/>
      <c r="Q46" s="1278"/>
    </row>
    <row r="47" spans="1:17" ht="12" customHeight="1">
      <c r="A47" s="38" t="s">
        <v>1712</v>
      </c>
      <c r="B47" s="39"/>
      <c r="C47" s="40"/>
      <c r="D47" s="1070" t="s">
        <v>1713</v>
      </c>
      <c r="E47" s="235" t="s">
        <v>1714</v>
      </c>
      <c r="F47" s="41" t="s">
        <v>1715</v>
      </c>
      <c r="G47" s="2534" t="s">
        <v>1716</v>
      </c>
      <c r="H47" s="2949"/>
      <c r="I47" s="947"/>
      <c r="J47" s="2817"/>
      <c r="K47" s="2506">
        <v>2</v>
      </c>
      <c r="L47" s="3424" t="s">
        <v>2688</v>
      </c>
      <c r="M47" s="3424"/>
      <c r="N47" s="3426">
        <f>'数据-取费表'!B2</f>
        <v>44571</v>
      </c>
      <c r="O47" s="3426"/>
      <c r="P47" s="3426"/>
      <c r="Q47" s="1278"/>
    </row>
    <row r="48" spans="1:17" ht="39.6">
      <c r="A48" s="3499" t="s">
        <v>1718</v>
      </c>
      <c r="B48" s="3433"/>
      <c r="C48" s="3433"/>
      <c r="D48" s="12">
        <f ca="1">IF(H48="情况1",0,IF(H48="情况2",D52,IF(H48="情况3",D53,IF(H48="情况4",D54))))</f>
        <v>116</v>
      </c>
      <c r="E48" s="2062" t="str">
        <f>IF(H48="情况4","(销售额-原购置价)×税（费）率","销售额×税（费）率")</f>
        <v>(销售额-原购置价)×税（费）率</v>
      </c>
      <c r="F48" s="2535">
        <f>IF(H48="情况1","免征",'数据-取费表'!E29)</f>
        <v>5.6000000000000001E-2</v>
      </c>
      <c r="G48" s="2536" t="s">
        <v>1719</v>
      </c>
      <c r="H48" s="2537" t="s">
        <v>3023</v>
      </c>
      <c r="I48" s="2949"/>
      <c r="J48" s="2824"/>
      <c r="K48" s="2506">
        <v>3</v>
      </c>
      <c r="L48" s="3424" t="s">
        <v>2689</v>
      </c>
      <c r="M48" s="3424"/>
      <c r="N48" s="3425">
        <f ca="1">I102</f>
        <v>5738</v>
      </c>
      <c r="O48" s="3425"/>
      <c r="P48" s="3425"/>
      <c r="Q48" s="1278"/>
    </row>
    <row r="49" spans="1:17" ht="25.5" customHeight="1">
      <c r="A49" s="2061" t="s">
        <v>1722</v>
      </c>
      <c r="B49" s="3472" t="s">
        <v>1723</v>
      </c>
      <c r="C49" s="3472"/>
      <c r="D49" s="2538">
        <v>0</v>
      </c>
      <c r="E49" s="261" t="s">
        <v>1724</v>
      </c>
      <c r="F49" s="2539" t="s">
        <v>48</v>
      </c>
      <c r="G49" s="3414"/>
      <c r="H49" s="2540" t="s">
        <v>2763</v>
      </c>
      <c r="I49" s="2541"/>
      <c r="J49" s="2825"/>
      <c r="K49" s="2506">
        <v>4</v>
      </c>
      <c r="L49" s="3424" t="str">
        <f>IF(项目基本情况!F5="房地产抵押价值","房地产抵押价值","抵押担保权已注销时的房地产抵押价值")</f>
        <v>抵押担保权已注销时的房地产抵押价值</v>
      </c>
      <c r="M49" s="3424"/>
      <c r="N49" s="3425">
        <f ca="1">IF(项目基本情况!F5="房地产抵押价值",I110,I112)</f>
        <v>5738</v>
      </c>
      <c r="O49" s="3425"/>
      <c r="P49" s="3425"/>
      <c r="Q49" s="1278"/>
    </row>
    <row r="50" spans="1:17" ht="25.5" customHeight="1">
      <c r="A50" s="2051"/>
      <c r="B50" s="3472" t="s">
        <v>1725</v>
      </c>
      <c r="C50" s="3472"/>
      <c r="D50" s="2542"/>
      <c r="E50" s="269"/>
      <c r="F50" s="2539"/>
      <c r="G50" s="3415"/>
      <c r="H50" s="2543" t="s">
        <v>2682</v>
      </c>
      <c r="I50" s="2541"/>
      <c r="J50" s="2825"/>
      <c r="K50" s="3424" t="s">
        <v>2690</v>
      </c>
      <c r="L50" s="3424"/>
      <c r="M50" s="3424"/>
      <c r="N50" s="3424"/>
      <c r="O50" s="3424"/>
      <c r="P50" s="3424"/>
      <c r="Q50" s="1278"/>
    </row>
    <row r="51" spans="1:17" ht="20.399999999999999" customHeight="1">
      <c r="A51" s="2544"/>
      <c r="B51" s="3472" t="s">
        <v>1727</v>
      </c>
      <c r="C51" s="3472"/>
      <c r="D51" s="1070"/>
      <c r="E51" s="264"/>
      <c r="F51" s="2539"/>
      <c r="G51" s="3416"/>
      <c r="H51" s="2543" t="s">
        <v>2683</v>
      </c>
      <c r="I51" s="2541"/>
      <c r="J51" s="2825"/>
      <c r="K51" s="2507" t="s">
        <v>2691</v>
      </c>
      <c r="L51" s="3424" t="s">
        <v>2692</v>
      </c>
      <c r="M51" s="3424"/>
      <c r="N51" s="2507" t="s">
        <v>2693</v>
      </c>
      <c r="O51" s="2507" t="s">
        <v>2694</v>
      </c>
      <c r="P51" s="2507" t="s">
        <v>2695</v>
      </c>
      <c r="Q51" s="1278"/>
    </row>
    <row r="52" spans="1:17" ht="24" customHeight="1">
      <c r="A52" s="2052" t="s">
        <v>1733</v>
      </c>
      <c r="B52" s="3472" t="s">
        <v>1734</v>
      </c>
      <c r="C52" s="3472"/>
      <c r="D52" s="1070">
        <f ca="1">ROUND(D45*'数据-取费表'!E29/(1+'数据-取费表'!F30),0)</f>
        <v>306</v>
      </c>
      <c r="E52" s="2062" t="s">
        <v>1735</v>
      </c>
      <c r="F52" s="2545">
        <f>'数据-取费表'!E29</f>
        <v>5.6000000000000001E-2</v>
      </c>
      <c r="G52" s="2546"/>
      <c r="H52" s="947"/>
      <c r="I52" s="2950"/>
      <c r="J52" s="2825"/>
      <c r="K52" s="2506">
        <v>1</v>
      </c>
      <c r="L52" s="3413" t="s">
        <v>2696</v>
      </c>
      <c r="M52" s="3413"/>
      <c r="N52" s="2508">
        <f ca="1">D48</f>
        <v>116</v>
      </c>
      <c r="O52" s="2506" t="str">
        <f>E48</f>
        <v>(销售额-原购置价)×税（费）率</v>
      </c>
      <c r="P52" s="2509">
        <f>F48</f>
        <v>5.6000000000000001E-2</v>
      </c>
      <c r="Q52" s="1278"/>
    </row>
    <row r="53" spans="1:17" ht="12" customHeight="1">
      <c r="A53" s="2052" t="s">
        <v>1737</v>
      </c>
      <c r="B53" s="3484" t="s">
        <v>2774</v>
      </c>
      <c r="C53" s="3473"/>
      <c r="D53" s="1070">
        <f ca="1">ROUND(D45*'数据-取费表'!E29/(1+'数据-取费表'!F30),0)</f>
        <v>306</v>
      </c>
      <c r="E53" s="2062" t="s">
        <v>1735</v>
      </c>
      <c r="F53" s="2545">
        <f>'数据-取费表'!E29</f>
        <v>5.6000000000000001E-2</v>
      </c>
      <c r="G53" s="2546"/>
      <c r="H53" s="947"/>
      <c r="I53" s="2950"/>
      <c r="J53" s="2825"/>
      <c r="K53" s="2506">
        <v>2</v>
      </c>
      <c r="L53" s="3413" t="s">
        <v>2697</v>
      </c>
      <c r="M53" s="3413"/>
      <c r="N53" s="2508">
        <f t="shared" ref="N53:P54" ca="1" si="1">D55</f>
        <v>3</v>
      </c>
      <c r="O53" s="2506" t="str">
        <f t="shared" si="1"/>
        <v>销售额×税（费）率</v>
      </c>
      <c r="P53" s="2509">
        <f t="shared" si="1"/>
        <v>5.0000000000000001E-4</v>
      </c>
      <c r="Q53" s="1278"/>
    </row>
    <row r="54" spans="1:17" ht="12" customHeight="1">
      <c r="A54" s="2052" t="s">
        <v>1739</v>
      </c>
      <c r="B54" s="3484" t="s">
        <v>2775</v>
      </c>
      <c r="C54" s="3473"/>
      <c r="D54" s="1070">
        <f ca="1">C68</f>
        <v>116</v>
      </c>
      <c r="E54" s="264" t="s">
        <v>1740</v>
      </c>
      <c r="F54" s="2545">
        <f>'数据-取费表'!E29</f>
        <v>5.6000000000000001E-2</v>
      </c>
      <c r="G54" s="2546"/>
      <c r="H54" s="2951"/>
      <c r="I54" s="2950"/>
      <c r="J54" s="2825"/>
      <c r="K54" s="2506">
        <v>3</v>
      </c>
      <c r="L54" s="3413" t="s">
        <v>2698</v>
      </c>
      <c r="M54" s="3413"/>
      <c r="N54" s="2508">
        <f t="shared" ca="1" si="1"/>
        <v>599</v>
      </c>
      <c r="O54" s="2506" t="str">
        <f t="shared" si="1"/>
        <v>增值额×税（费）率</v>
      </c>
      <c r="P54" s="2510" t="str">
        <f t="shared" si="1"/>
        <v>——</v>
      </c>
      <c r="Q54" s="1278"/>
    </row>
    <row r="55" spans="1:17" ht="24" customHeight="1">
      <c r="A55" s="3437" t="s">
        <v>1742</v>
      </c>
      <c r="B55" s="3433"/>
      <c r="C55" s="3433"/>
      <c r="D55" s="12">
        <f ca="1">IF(H55="个人住宅",0,ROUND(D45*I55,0))</f>
        <v>3</v>
      </c>
      <c r="E55" s="2062" t="s">
        <v>1743</v>
      </c>
      <c r="F55" s="2545">
        <f>IF(H55="正常",I55,"免征")</f>
        <v>5.0000000000000001E-4</v>
      </c>
      <c r="G55" s="2546"/>
      <c r="H55" s="2537" t="s">
        <v>2822</v>
      </c>
      <c r="I55" s="74">
        <f>'数据-取费表'!E37</f>
        <v>5.0000000000000001E-4</v>
      </c>
      <c r="J55" s="2825"/>
      <c r="K55" s="2506">
        <f>IF(H59="非个人房产","",4)</f>
        <v>4</v>
      </c>
      <c r="L55" s="3413" t="str">
        <f>IF(H59="非个人房产","——","个人所得税")</f>
        <v>个人所得税</v>
      </c>
      <c r="M55" s="3413"/>
      <c r="N55" s="2511">
        <f ca="1">D59</f>
        <v>57</v>
      </c>
      <c r="O55" s="2512" t="str">
        <f>E59</f>
        <v>销售额×税（费）率</v>
      </c>
      <c r="P55" s="2513">
        <f>F59</f>
        <v>0.01</v>
      </c>
      <c r="Q55" s="1278"/>
    </row>
    <row r="56" spans="1:17" ht="25.2">
      <c r="A56" s="3437" t="s">
        <v>1745</v>
      </c>
      <c r="B56" s="3433"/>
      <c r="C56" s="3433"/>
      <c r="D56" s="12">
        <f ca="1">IF(H56="个人住宅",D57,D58)</f>
        <v>599</v>
      </c>
      <c r="E56" s="2062" t="s">
        <v>1746</v>
      </c>
      <c r="F56" s="2545" t="str">
        <f>IF(H56="正常",F58,"免征")</f>
        <v>——</v>
      </c>
      <c r="G56" s="2547" t="s">
        <v>1747</v>
      </c>
      <c r="H56" s="2548" t="s">
        <v>2822</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3.2">
      <c r="A57" s="2052" t="s">
        <v>1722</v>
      </c>
      <c r="B57" s="3484" t="s">
        <v>1748</v>
      </c>
      <c r="C57" s="3473"/>
      <c r="D57" s="2538">
        <v>0</v>
      </c>
      <c r="E57" s="261" t="s">
        <v>1724</v>
      </c>
      <c r="F57" s="235"/>
      <c r="G57" s="2546"/>
      <c r="H57" s="2952"/>
      <c r="I57" s="2952"/>
      <c r="J57" s="2825"/>
      <c r="K57" s="3413">
        <f>IF(AND(K55="",K56=""),4,IF(项目基本情况!I6="上海银行",K56+1,K55+1))</f>
        <v>5</v>
      </c>
      <c r="L57" s="3413" t="s">
        <v>2699</v>
      </c>
      <c r="M57" s="2514" t="s">
        <v>2700</v>
      </c>
      <c r="N57" s="2515"/>
      <c r="O57" s="2516">
        <f ca="1">SUMIF(N52:N56,"&lt;9e307")</f>
        <v>775</v>
      </c>
      <c r="P57" s="2517"/>
      <c r="Q57" s="1276">
        <f ca="1">O57/N49</f>
        <v>0.13506448239804811</v>
      </c>
    </row>
    <row r="58" spans="1:17" ht="25.2">
      <c r="A58" s="2052" t="s">
        <v>1733</v>
      </c>
      <c r="B58" s="3484" t="s">
        <v>1751</v>
      </c>
      <c r="C58" s="3472"/>
      <c r="D58" s="12">
        <f ca="1">IF(H58="转让取得",C81,C97)</f>
        <v>599</v>
      </c>
      <c r="E58" s="2062" t="s">
        <v>1746</v>
      </c>
      <c r="F58" s="235" t="s">
        <v>48</v>
      </c>
      <c r="G58" s="2546"/>
      <c r="H58" s="2548" t="s">
        <v>3024</v>
      </c>
      <c r="I58" s="2952"/>
      <c r="J58" s="2825"/>
      <c r="K58" s="3413"/>
      <c r="L58" s="3413"/>
      <c r="M58" s="2514" t="s">
        <v>2701</v>
      </c>
      <c r="N58" s="2518"/>
      <c r="O58" s="2519" t="str">
        <f ca="1">IF(H19="元",NUMBERSTRING(INT(O57),2)&amp;"元整",NUMBERSTRING(INT(O57*10000),2)&amp;"元整")</f>
        <v>柒佰柒拾伍万元整</v>
      </c>
      <c r="P58" s="2520"/>
      <c r="Q58" s="1278"/>
    </row>
    <row r="59" spans="1:17" ht="24.6" thickBot="1">
      <c r="A59" s="3500" t="s">
        <v>1754</v>
      </c>
      <c r="B59" s="3501"/>
      <c r="C59" s="3501"/>
      <c r="D59" s="2549">
        <f ca="1">IF(H59="非个人房产","——",IF(H59="个人住宅（满五唯一有凭证）",0,IF(H59="个人其他（无凭证）",ROUND(D45*F59,0),ROUND(C67*F59,0))))</f>
        <v>57</v>
      </c>
      <c r="E59" s="2053" t="str">
        <f>IF(H59="非个人房产","——",IF(H59="个人其他（无凭证）","销售额×税（费）率",IF(H59="个人住宅（满五唯一有凭证）","免征","差额计税")))</f>
        <v>销售额×税（费）率</v>
      </c>
      <c r="F59" s="2550">
        <f>IF(OR(H59="非个人房产",H59="个人住宅（满五唯一有凭证）"),"——",IF(H59="个人其他（有凭证）",20%,1%))</f>
        <v>0.01</v>
      </c>
      <c r="G59" s="2795" t="s">
        <v>2754</v>
      </c>
      <c r="H59" s="2066" t="s">
        <v>2680</v>
      </c>
      <c r="I59" s="2854" t="s">
        <v>2764</v>
      </c>
      <c r="J59" s="2825"/>
      <c r="K59" s="3466">
        <f>K57+1</f>
        <v>6</v>
      </c>
      <c r="L59" s="3413" t="s">
        <v>2702</v>
      </c>
      <c r="M59" s="2506" t="s">
        <v>2700</v>
      </c>
      <c r="N59" s="2521"/>
      <c r="O59" s="2522">
        <f ca="1">N49-O57</f>
        <v>4963</v>
      </c>
      <c r="P59" s="2523"/>
      <c r="Q59" s="1278"/>
    </row>
    <row r="60" spans="1:17" ht="12" customHeight="1">
      <c r="A60" s="1427"/>
      <c r="B60" s="1431"/>
      <c r="C60" s="1431"/>
      <c r="D60" s="1431"/>
      <c r="E60" s="812"/>
      <c r="F60" s="2953"/>
      <c r="G60" s="2953"/>
      <c r="H60" s="2954"/>
      <c r="I60" s="31"/>
      <c r="K60" s="3467"/>
      <c r="L60" s="3413"/>
      <c r="M60" s="2514" t="s">
        <v>2701</v>
      </c>
      <c r="N60" s="2518"/>
      <c r="O60" s="2519" t="str">
        <f ca="1">IF(H19="元",NUMBERSTRING(INT(O59),2)&amp;"元整",NUMBERSTRING(INT(O59*10000),2)&amp;"元整")</f>
        <v>肆仟玖佰陆拾叁万元整</v>
      </c>
      <c r="P60" s="2520"/>
      <c r="Q60" s="1278"/>
    </row>
    <row r="61" spans="1:17" ht="13.8" thickBot="1">
      <c r="A61" s="3502" t="s">
        <v>1756</v>
      </c>
      <c r="B61" s="3502"/>
      <c r="C61" s="3502"/>
      <c r="D61" s="3502"/>
      <c r="E61" s="3502"/>
      <c r="F61" s="2953"/>
      <c r="G61" s="2953"/>
      <c r="H61" s="2955"/>
      <c r="I61" s="31"/>
      <c r="K61" s="2506">
        <f>K59+1</f>
        <v>7</v>
      </c>
      <c r="L61" s="3413" t="s">
        <v>2703</v>
      </c>
      <c r="M61" s="3413"/>
      <c r="N61" s="2524"/>
      <c r="O61" s="2525">
        <f ca="1">IF(H19="元",ROUND(O59/项目基本情况!C12,0),ROUND(O59*10000/项目基本情况!C12,0))</f>
        <v>58543</v>
      </c>
      <c r="P61" s="2526"/>
      <c r="Q61" s="1278"/>
    </row>
    <row r="62" spans="1:17" ht="13.2">
      <c r="A62" s="3451" t="s">
        <v>1758</v>
      </c>
      <c r="B62" s="3452"/>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5465</v>
      </c>
      <c r="D63" s="47"/>
      <c r="E63" s="48"/>
      <c r="F63" s="2953"/>
      <c r="G63" s="2953"/>
      <c r="H63" s="2955"/>
      <c r="I63" s="31"/>
      <c r="K63" s="3432" t="s">
        <v>2704</v>
      </c>
      <c r="L63" s="2528" t="s">
        <v>2705</v>
      </c>
      <c r="M63" s="2528">
        <f ca="1">IF(N49&gt;10000,N49*0.5%,IF(AND(N49&gt;1000,N49&lt;=10000),N49*1%,IF(AND(N49&gt;100,N49&lt;=1000),N49*3%,IF(AND(N49&gt;10,N49&lt;=100),N49*5%,N49*8%))))</f>
        <v>57.38</v>
      </c>
      <c r="N63" s="2529">
        <f ca="1">ROUND(M63,1)</f>
        <v>57.4</v>
      </c>
      <c r="O63" s="2527"/>
      <c r="P63" s="2527"/>
      <c r="Q63" s="1278"/>
    </row>
    <row r="64" spans="1:17" ht="13.2">
      <c r="A64" s="49" t="s">
        <v>71</v>
      </c>
      <c r="B64" s="50" t="s">
        <v>1764</v>
      </c>
      <c r="C64" s="2757">
        <f ca="1">D45</f>
        <v>5738</v>
      </c>
      <c r="D64" s="50" t="s">
        <v>41</v>
      </c>
      <c r="E64" s="52"/>
      <c r="F64" s="2953"/>
      <c r="G64" s="2953"/>
      <c r="H64" s="2955"/>
      <c r="I64" s="31"/>
      <c r="K64" s="3432"/>
      <c r="L64" s="2528" t="s">
        <v>2706</v>
      </c>
      <c r="M64" s="2528">
        <f ca="1">IF(N49&gt;2000,N49*0.5%,IF(AND(N49&gt;1000,N49&lt;=2000),N49*0.6%,IF(AND(N49&gt;500,N49&lt;=1000),N49*0.7%,IF(AND(N49&gt;200,N49&lt;=500),N49*0.8%,IF(AND(N49&gt;100,N49&lt;=200),N49*0.9%,IF(AND(N49&gt;50,N49&lt;=100),N49*1%,IF(AND(N49&gt;20,N49&lt;=50),N49*1.5%,IF(AND(N49&gt;10,N49&lt;=20),N49*2%,IF(AND(N49&gt;1,N49&lt;=10),N49*2.5%)))))))))</f>
        <v>28.69</v>
      </c>
      <c r="N64" s="2529">
        <f t="shared" ref="N64:N65" ca="1" si="2">ROUND(M64,1)</f>
        <v>28.7</v>
      </c>
      <c r="O64" s="2527" t="s">
        <v>2707</v>
      </c>
      <c r="P64" s="2527"/>
      <c r="Q64" s="1278"/>
    </row>
    <row r="65" spans="1:36" ht="13.2">
      <c r="A65" s="49" t="s">
        <v>72</v>
      </c>
      <c r="B65" s="50" t="s">
        <v>1767</v>
      </c>
      <c r="C65" s="2758"/>
      <c r="D65" s="50"/>
      <c r="E65" s="52"/>
      <c r="F65" s="2953"/>
      <c r="G65" s="2953"/>
      <c r="H65" s="2955"/>
      <c r="I65" s="31"/>
      <c r="K65" s="3432"/>
      <c r="L65" s="2528" t="s">
        <v>2708</v>
      </c>
      <c r="M65" s="2528">
        <f ca="1">IF(N49&gt;1000,N49*0.1%,IF(AND(N49&gt;500,N49&lt;=1000),N49*0.5%,IF(AND(N49&gt;50,N49&lt;=500),N49*1%,IF(AND(N49&gt;1,N49&lt;=50),N49*1.5%))))</f>
        <v>5.7380000000000004</v>
      </c>
      <c r="N65" s="2529">
        <f t="shared" ca="1" si="2"/>
        <v>5.7</v>
      </c>
      <c r="O65" s="2527" t="s">
        <v>2707</v>
      </c>
      <c r="P65" s="2527"/>
      <c r="Q65" s="1278"/>
    </row>
    <row r="66" spans="1:36" ht="25.2">
      <c r="A66" s="53" t="s">
        <v>47</v>
      </c>
      <c r="B66" s="54" t="s">
        <v>1769</v>
      </c>
      <c r="C66" s="2759">
        <f>C75</f>
        <v>3391</v>
      </c>
      <c r="D66" s="54" t="s">
        <v>41</v>
      </c>
      <c r="E66" s="1286" t="s">
        <v>1770</v>
      </c>
      <c r="F66" s="2953"/>
      <c r="G66" s="2953"/>
      <c r="H66" s="2955"/>
      <c r="I66" s="31"/>
      <c r="K66" s="3432"/>
      <c r="L66" s="2528" t="s">
        <v>2709</v>
      </c>
      <c r="M66" s="2528">
        <f ca="1">N49*0.5%</f>
        <v>28.69</v>
      </c>
      <c r="N66" s="2529">
        <f ca="1">IF(M66&gt;0.5,0.5,ROUND(M66,0))</f>
        <v>0.5</v>
      </c>
      <c r="O66" s="2527" t="s">
        <v>2710</v>
      </c>
      <c r="P66" s="2527"/>
      <c r="Q66" s="1278"/>
    </row>
    <row r="67" spans="1:36" ht="13.2">
      <c r="A67" s="53" t="s">
        <v>42</v>
      </c>
      <c r="B67" s="54" t="s">
        <v>1773</v>
      </c>
      <c r="C67" s="2760">
        <f ca="1">C63-C66</f>
        <v>2074</v>
      </c>
      <c r="D67" s="50" t="s">
        <v>41</v>
      </c>
      <c r="E67" s="52"/>
      <c r="F67" s="2953"/>
      <c r="G67" s="2953"/>
      <c r="H67" s="2955"/>
      <c r="I67" s="31"/>
      <c r="K67" s="3432"/>
      <c r="L67" s="2528" t="s">
        <v>2711</v>
      </c>
      <c r="M67" s="2528">
        <f ca="1">IF(N49&gt;=10000,(8.25+(N49-10000)*0.01%),IF(AND(N49&gt;=8000,N49&lt;10000),(7.85+(N49-8000)*0.02%),IF(AND(N49&gt;=5000,N49&lt;8000),(6.65+(N49-5000)*0.04%),IF(AND(N49&gt;=2000,N49&lt;5000),(4.25+(PN49-2000)*0.08%),IF(AND(N49&gt;=1000,N49&lt;2000),(2.75+(N49-1000)*0.15%),IF(AND(N49&gt;=100,N49&lt;1000),(0.5+(N49-100)*0.25%),IF(AND(N49&gt;0,N49&lt;100),N49*0.5%)))))))</f>
        <v>6.9452000000000007</v>
      </c>
      <c r="N67" s="2529">
        <f ca="1">ROUND(M67*0.9,1)</f>
        <v>6.3</v>
      </c>
      <c r="O67" s="2527"/>
      <c r="P67" s="2527"/>
      <c r="Q67" s="1278"/>
    </row>
    <row r="68" spans="1:36" ht="13.8" thickBot="1">
      <c r="A68" s="55" t="s">
        <v>46</v>
      </c>
      <c r="B68" s="56" t="s">
        <v>1775</v>
      </c>
      <c r="C68" s="2761">
        <f ca="1">IF(C67&lt;=0,0,ROUND(C67*D68,0))</f>
        <v>116</v>
      </c>
      <c r="D68" s="2212">
        <f>'数据-取费表'!E29</f>
        <v>5.6000000000000001E-2</v>
      </c>
      <c r="E68" s="57"/>
      <c r="F68" s="2953"/>
      <c r="G68" s="2953"/>
      <c r="H68" s="2955"/>
      <c r="I68" s="31"/>
      <c r="K68" s="3432"/>
      <c r="L68" s="2528" t="s">
        <v>2712</v>
      </c>
      <c r="M68" s="2528">
        <f ca="1">IF(N49&gt;10000,N49*0.5%,IF(AND(N49&gt;5000,N49&lt;=10000),N49*1%,IF(AND(N49&gt;1000,N49&lt;=5000),N49*2%,IF(AND(N49&gt;200,N49&lt;=1000),N49*3%,N49*5%))))</f>
        <v>57.38</v>
      </c>
      <c r="N68" s="2529">
        <f ca="1">ROUND(M68,1)</f>
        <v>57.4</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f ca="1">ROUND(SUM(N63:N68),0)</f>
        <v>156</v>
      </c>
      <c r="O69" s="2530">
        <f ca="1">N69/N49</f>
        <v>2.7187173231090971E-2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53" t="s">
        <v>1778</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51" t="s">
        <v>1758</v>
      </c>
      <c r="B71" s="3452"/>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5465</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3527</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3494</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f>ROUND(40000*项目基本情况!C12/10000,0)</f>
        <v>3391</v>
      </c>
      <c r="D75" s="50" t="s">
        <v>41</v>
      </c>
      <c r="E75" s="64" t="s">
        <v>1784</v>
      </c>
      <c r="F75" s="2764" t="s">
        <v>1785</v>
      </c>
      <c r="G75" s="64" t="s">
        <v>1786</v>
      </c>
      <c r="H75" s="2765">
        <v>0</v>
      </c>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4" t="s">
        <v>1788</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103</v>
      </c>
      <c r="D77" s="2767">
        <f>'数据-取费表'!E36+'数据-取费表'!E37</f>
        <v>3.0499999999999999E-2</v>
      </c>
      <c r="E77" s="12" t="s">
        <v>1790</v>
      </c>
      <c r="F77" s="2065"/>
      <c r="G77" s="1456" t="s">
        <v>3025</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33</v>
      </c>
      <c r="D78" s="2769">
        <f>'数据-取费表'!E31</f>
        <v>6.000000000000001E-3</v>
      </c>
      <c r="E78" s="3420" t="s">
        <v>1793</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1938</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0.54947547490785364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599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53" t="s">
        <v>1797</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51" t="s">
        <v>1758</v>
      </c>
      <c r="B84" s="3452"/>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5465</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33</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0" t="s">
        <v>2675</v>
      </c>
      <c r="H90" s="3460"/>
      <c r="I90" s="9"/>
      <c r="J90" s="2828"/>
      <c r="K90" s="2944"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0" t="s">
        <v>1805</v>
      </c>
      <c r="F91" s="3421"/>
      <c r="G91" s="342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0" t="s">
        <v>1808</v>
      </c>
      <c r="F92" s="3421"/>
      <c r="G92" s="3421"/>
      <c r="H92" s="3441"/>
      <c r="I92" s="9"/>
      <c r="J92" s="2828"/>
      <c r="K92" s="2945"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33</v>
      </c>
      <c r="D93" s="2769">
        <f>'数据-取费表'!E31</f>
        <v>6.000000000000001E-3</v>
      </c>
      <c r="E93" s="3420" t="s">
        <v>1793</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0" t="s">
        <v>1810</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5432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164.60606060606059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3248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38" t="s">
        <v>1812</v>
      </c>
      <c r="B99" s="3439"/>
      <c r="C99" s="3439"/>
      <c r="D99" s="3440"/>
      <c r="E99" s="1431"/>
      <c r="F99" s="3448" t="s">
        <v>1813</v>
      </c>
      <c r="G99" s="3449"/>
      <c r="H99" s="3449"/>
      <c r="I99" s="3450"/>
      <c r="J99" s="2831"/>
    </row>
    <row r="100" spans="1:36" ht="15">
      <c r="A100" s="3455" t="s">
        <v>1814</v>
      </c>
      <c r="B100" s="3456"/>
      <c r="C100" s="1277" t="str">
        <f>C4</f>
        <v>成本法</v>
      </c>
      <c r="D100" s="2779" t="str">
        <f>D4</f>
        <v>收益法</v>
      </c>
      <c r="E100" s="1431"/>
      <c r="F100" s="3457" t="s">
        <v>2718</v>
      </c>
      <c r="G100" s="3459"/>
      <c r="H100" s="3457" t="s">
        <v>2719</v>
      </c>
      <c r="I100" s="3458"/>
      <c r="J100" s="2832"/>
    </row>
    <row r="101" spans="1:36" ht="13.2">
      <c r="A101" s="3474" t="s">
        <v>2751</v>
      </c>
      <c r="B101" s="2277" t="str">
        <f>IF(H19="元","总价（元）","总价（万元）")</f>
        <v>总价（万元）</v>
      </c>
      <c r="C101" s="1277">
        <f ca="1">C19</f>
        <v>1810</v>
      </c>
      <c r="D101" s="2779">
        <f ca="1">D19</f>
        <v>1196</v>
      </c>
      <c r="E101" s="1431"/>
      <c r="F101" s="3457" t="str">
        <f>项目基本情况!I1</f>
        <v>北京市房地产</v>
      </c>
      <c r="G101" s="3459"/>
      <c r="H101" s="3461">
        <f>项目基本情况!C12</f>
        <v>847.76</v>
      </c>
      <c r="I101" s="3458"/>
      <c r="J101" s="2832"/>
    </row>
    <row r="102" spans="1:36" ht="13.2">
      <c r="A102" s="3474"/>
      <c r="B102" s="2277" t="s">
        <v>2752</v>
      </c>
      <c r="C102" s="2780">
        <f ca="1">C20</f>
        <v>84986</v>
      </c>
      <c r="D102" s="2781">
        <f ca="1">D20</f>
        <v>56160</v>
      </c>
      <c r="E102" s="1431"/>
      <c r="F102" s="3444" t="s">
        <v>2748</v>
      </c>
      <c r="G102" s="3445"/>
      <c r="H102" s="2789" t="str">
        <f>C106</f>
        <v>总价（万元）</v>
      </c>
      <c r="I102" s="2790">
        <f ca="1">H121</f>
        <v>5738</v>
      </c>
      <c r="J102" s="2832"/>
    </row>
    <row r="103" spans="1:36" ht="13.2">
      <c r="A103" s="3474" t="s">
        <v>2753</v>
      </c>
      <c r="B103" s="2215" t="str">
        <f>B101</f>
        <v>总价（万元）</v>
      </c>
      <c r="C103" s="2784">
        <f ca="1">H121</f>
        <v>5738</v>
      </c>
      <c r="D103" s="2782"/>
      <c r="E103" s="1431"/>
      <c r="F103" s="3444"/>
      <c r="G103" s="3445"/>
      <c r="H103" s="2789" t="s">
        <v>2721</v>
      </c>
      <c r="I103" s="52">
        <f ca="1">I121</f>
        <v>67690</v>
      </c>
      <c r="J103" s="2816"/>
    </row>
    <row r="104" spans="1:36" ht="13.8" thickBot="1">
      <c r="A104" s="3475"/>
      <c r="B104" s="2786" t="s">
        <v>2752</v>
      </c>
      <c r="C104" s="2787">
        <f ca="1">I121</f>
        <v>67690</v>
      </c>
      <c r="D104" s="2788"/>
      <c r="E104" s="1431"/>
      <c r="F104" s="3444"/>
      <c r="G104" s="3445"/>
      <c r="H104" s="3476"/>
      <c r="I104" s="3477"/>
      <c r="J104" s="2833"/>
    </row>
    <row r="105" spans="1:36" ht="13.8">
      <c r="A105" s="3438" t="s">
        <v>1815</v>
      </c>
      <c r="B105" s="3439"/>
      <c r="C105" s="3439"/>
      <c r="D105" s="3440"/>
      <c r="E105" s="1431"/>
      <c r="F105" s="3480" t="s">
        <v>2722</v>
      </c>
      <c r="G105" s="3481"/>
      <c r="H105" s="2791" t="str">
        <f>C108</f>
        <v>总额（万元）</v>
      </c>
      <c r="I105" s="2790">
        <f>SUMIF(I106:I108,"&lt;9E307")</f>
        <v>0</v>
      </c>
      <c r="J105" s="2832"/>
    </row>
    <row r="106" spans="1:36" ht="13.8">
      <c r="A106" s="3444" t="s">
        <v>2745</v>
      </c>
      <c r="B106" s="3445"/>
      <c r="C106" s="2789" t="str">
        <f>B101</f>
        <v>总价（万元）</v>
      </c>
      <c r="D106" s="2790">
        <f ca="1">H121</f>
        <v>5738</v>
      </c>
      <c r="E106" s="1431"/>
      <c r="F106" s="3446" t="s">
        <v>2723</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44"/>
      <c r="B107" s="3445"/>
      <c r="C107" s="2789" t="s">
        <v>2746</v>
      </c>
      <c r="D107" s="52">
        <f ca="1">I121</f>
        <v>67690</v>
      </c>
      <c r="E107" s="1431"/>
      <c r="F107" s="3446" t="s">
        <v>2724</v>
      </c>
      <c r="G107" s="3447"/>
      <c r="H107" s="2791" t="str">
        <f>C110</f>
        <v>总额（万元）</v>
      </c>
      <c r="I107" s="52">
        <f>C37</f>
        <v>0</v>
      </c>
      <c r="J107" s="2816"/>
    </row>
    <row r="108" spans="1:36" ht="13.2">
      <c r="A108" s="3515" t="s">
        <v>2722</v>
      </c>
      <c r="B108" s="3516"/>
      <c r="C108" s="2791" t="str">
        <f>IF(H19="元","总额（元）","总额（万元）")</f>
        <v>总额（万元）</v>
      </c>
      <c r="D108" s="2790">
        <f>IF(D36="正常操作",I106+I107+I108,I107+I108)</f>
        <v>0</v>
      </c>
      <c r="E108" s="1431"/>
      <c r="F108" s="3446" t="s">
        <v>2749</v>
      </c>
      <c r="G108" s="3447"/>
      <c r="H108" s="2791" t="str">
        <f>C111</f>
        <v>总额（万元）</v>
      </c>
      <c r="I108" s="52">
        <f>C38</f>
        <v>0</v>
      </c>
      <c r="J108" s="2816"/>
    </row>
    <row r="109" spans="1:36" ht="13.2">
      <c r="A109" s="3446" t="s">
        <v>2723</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2747</v>
      </c>
      <c r="B110" s="3447"/>
      <c r="C110" s="2791" t="str">
        <f>C108</f>
        <v>总额（万元）</v>
      </c>
      <c r="D110" s="52">
        <f>C37</f>
        <v>0</v>
      </c>
      <c r="E110" s="1431"/>
      <c r="F110" s="3427" t="str">
        <f>IF(项目基本情况!F5="已注销","——","3.房地产抵押价值")</f>
        <v>——</v>
      </c>
      <c r="G110" s="3428"/>
      <c r="H110" s="2777" t="str">
        <f>C112</f>
        <v>总价（万元）</v>
      </c>
      <c r="I110" s="2790" t="str">
        <f>IF(F110="——","——",I102-I105)</f>
        <v>——</v>
      </c>
      <c r="J110" s="2832"/>
    </row>
    <row r="111" spans="1:36" ht="13.2">
      <c r="A111" s="3446" t="s">
        <v>2726</v>
      </c>
      <c r="B111" s="3447"/>
      <c r="C111" s="2791" t="str">
        <f>C108</f>
        <v>总额（万元）</v>
      </c>
      <c r="D111" s="52">
        <f>C38</f>
        <v>0</v>
      </c>
      <c r="E111" s="1431"/>
      <c r="F111" s="3429"/>
      <c r="G111" s="3430"/>
      <c r="H111" s="2789" t="s">
        <v>2721</v>
      </c>
      <c r="I111" s="2793" t="e">
        <f ca="1">D113</f>
        <v>#VALUE!</v>
      </c>
      <c r="J111" s="2835"/>
    </row>
    <row r="112" spans="1:36" ht="26.25" customHeight="1">
      <c r="A112" s="3444" t="str">
        <f>IF(项目基本情况!F5="已注销","——","3.房地产抵押价值")</f>
        <v>——</v>
      </c>
      <c r="B112" s="3445"/>
      <c r="C112" s="2789" t="str">
        <f>B101</f>
        <v>总价（万元）</v>
      </c>
      <c r="D112" s="2790" t="str">
        <f>IF(A112="——","——",D106-D108)</f>
        <v>——</v>
      </c>
      <c r="E112" s="1431"/>
      <c r="F112" s="3427" t="str">
        <f>IF(项目基本情况!F5="已注销及未注销","4.抵押担保权已注销时的房地产抵押价值",IF(项目基本情况!F5="已注销","3.抵押担保权已注销时的房地产抵押价值","——"))</f>
        <v>3.抵押担保权已注销时的房地产抵押价值</v>
      </c>
      <c r="G112" s="3428"/>
      <c r="H112" s="2777" t="str">
        <f>C114</f>
        <v>总价（万元）</v>
      </c>
      <c r="I112" s="2790">
        <f ca="1">IF(F112="——","——",I102-I107-I108)</f>
        <v>5738</v>
      </c>
      <c r="J112" s="2832"/>
    </row>
    <row r="113" spans="1:16" ht="13.2">
      <c r="A113" s="3444"/>
      <c r="B113" s="3445"/>
      <c r="C113" s="2789" t="s">
        <v>2714</v>
      </c>
      <c r="D113" s="52" t="e">
        <f ca="1">ROUND(IF(D112=D106,D107,IF(H19="元",D112/项目基本情况!C12,D112*10000/项目基本情况!C12)),0)</f>
        <v>#VALUE!</v>
      </c>
      <c r="E113" s="1431"/>
      <c r="F113" s="3429"/>
      <c r="G113" s="3430"/>
      <c r="H113" s="2789" t="s">
        <v>2750</v>
      </c>
      <c r="I113" s="52">
        <f ca="1">D115</f>
        <v>67690</v>
      </c>
      <c r="J113" s="2816"/>
    </row>
    <row r="114" spans="1:16" ht="13.2">
      <c r="A114" s="3444" t="str">
        <f>IF(项目基本情况!F5="已注销及未注销","4.抵押担保权已注销时的房地产抵押价值",IF(项目基本情况!F5="已注销","3.抵押担保权已注销时的房地产抵押价值","——"))</f>
        <v>3.抵押担保权已注销时的房地产抵押价值</v>
      </c>
      <c r="B114" s="3445"/>
      <c r="C114" s="2789" t="str">
        <f>B101</f>
        <v>总价（万元）</v>
      </c>
      <c r="D114" s="2790">
        <f ca="1">IF(A114="——","——",D106-D110-D111)</f>
        <v>5738</v>
      </c>
      <c r="E114" s="1431"/>
      <c r="F114" s="3427" t="str">
        <f>IF(项目基本情况!G5="抵押净值",IF(OR(项目基本情况!F5="已注销",项目基本情况!F5="房地产抵押价值"),"4.抵押净值","5.抵押净值"),"——")</f>
        <v>4.抵押净值</v>
      </c>
      <c r="G114" s="3428"/>
      <c r="H114" s="2789" t="str">
        <f>C116</f>
        <v>总价（万元）</v>
      </c>
      <c r="I114" s="2790">
        <f ca="1">IF(F114="——","——",O59)</f>
        <v>4963</v>
      </c>
      <c r="J114" s="2832"/>
    </row>
    <row r="115" spans="1:16" ht="13.8" thickBot="1">
      <c r="A115" s="3444"/>
      <c r="B115" s="3445"/>
      <c r="C115" s="2789" t="s">
        <v>2714</v>
      </c>
      <c r="D115" s="52">
        <f ca="1">IF(A114="——","——",ROUND(IF(D114=D106,D107,IF(H19="元",D114/项目基本情况!C12,D114*10000/项目基本情况!C12)),0))</f>
        <v>67690</v>
      </c>
      <c r="E115" s="1431"/>
      <c r="F115" s="3507"/>
      <c r="G115" s="3508"/>
      <c r="H115" s="2794" t="s">
        <v>2714</v>
      </c>
      <c r="I115" s="2778">
        <f ca="1">D117</f>
        <v>58543</v>
      </c>
      <c r="J115" s="2816"/>
    </row>
    <row r="116" spans="1:16" ht="15.6">
      <c r="A116" s="3444" t="str">
        <f>IF(项目基本情况!G5="抵押净值",IF(OR(项目基本情况!F5="已注销",项目基本情况!F5="房地产抵押价值"),"4.抵押净值","5.抵押净值"),"——")</f>
        <v>4.抵押净值</v>
      </c>
      <c r="B116" s="3445"/>
      <c r="C116" s="2789" t="str">
        <f>B101</f>
        <v>总价（万元）</v>
      </c>
      <c r="D116" s="2790">
        <f ca="1">IF(A116="——","——",O59)</f>
        <v>4963</v>
      </c>
      <c r="E116" s="1431"/>
      <c r="F116" s="3422"/>
      <c r="G116" s="3422"/>
      <c r="H116" s="3463"/>
      <c r="I116" s="3463"/>
      <c r="J116" s="2836"/>
      <c r="O116" s="32"/>
      <c r="P116" s="32"/>
    </row>
    <row r="117" spans="1:16" ht="13.8" thickBot="1">
      <c r="A117" s="3513"/>
      <c r="B117" s="3514"/>
      <c r="C117" s="2794" t="s">
        <v>2714</v>
      </c>
      <c r="D117" s="2778">
        <f ca="1">IF(D116=D112,D113,IF(A116="——","——",O61))</f>
        <v>58543</v>
      </c>
      <c r="E117" s="1431"/>
      <c r="F117" s="3506" t="str">
        <f>IF(B32="总价","（以上估价结果中单价为总价除以建筑面积得出）","（以上估价结果中总价为楼面单价乘以建筑面积得出）")</f>
        <v>（以上估价结果中总价为楼面单价乘以建筑面积得出）</v>
      </c>
      <c r="G117" s="3506"/>
      <c r="H117" s="3506"/>
      <c r="I117" s="3506"/>
      <c r="J117" s="2837"/>
      <c r="O117" s="32"/>
      <c r="P117" s="32"/>
    </row>
    <row r="118" spans="1:16" ht="14.4">
      <c r="A118" s="3464" t="s">
        <v>1816</v>
      </c>
      <c r="B118" s="3465"/>
      <c r="C118" s="3465"/>
      <c r="D118" s="3465"/>
      <c r="E118" s="3465"/>
      <c r="F118" s="3465"/>
      <c r="G118" s="3465"/>
      <c r="H118" s="3465"/>
      <c r="I118" s="3465"/>
      <c r="J118" s="2838"/>
    </row>
    <row r="119" spans="1:16" ht="13.2">
      <c r="A119" s="3437" t="s">
        <v>2732</v>
      </c>
      <c r="B119" s="3435" t="s">
        <v>2742</v>
      </c>
      <c r="C119" s="3435" t="s">
        <v>2743</v>
      </c>
      <c r="D119" s="3442" t="s">
        <v>2734</v>
      </c>
      <c r="E119" s="3443"/>
      <c r="F119" s="3433" t="s">
        <v>2744</v>
      </c>
      <c r="G119" s="3433"/>
      <c r="H119" s="3433" t="s">
        <v>2735</v>
      </c>
      <c r="I119" s="3434"/>
      <c r="J119" s="2816"/>
    </row>
    <row r="120" spans="1:16" ht="13.2">
      <c r="A120" s="3437"/>
      <c r="B120" s="3436"/>
      <c r="C120" s="3436"/>
      <c r="D120" s="2062" t="s">
        <v>2736</v>
      </c>
      <c r="E120" s="2062" t="s">
        <v>2741</v>
      </c>
      <c r="F120" s="2062" t="s">
        <v>2736</v>
      </c>
      <c r="G120" s="2062" t="s">
        <v>2737</v>
      </c>
      <c r="H120" s="2062" t="s">
        <v>2736</v>
      </c>
      <c r="I120" s="52" t="s">
        <v>2737</v>
      </c>
      <c r="J120" s="2816"/>
    </row>
    <row r="121" spans="1:16" ht="13.2">
      <c r="A121" s="2052" t="str">
        <f>项目基本情况!I1</f>
        <v>北京市房地产</v>
      </c>
      <c r="B121" s="2062">
        <f>项目基本情况!C12</f>
        <v>847.76</v>
      </c>
      <c r="C121" s="2062">
        <f>项目基本情况!C13</f>
        <v>0</v>
      </c>
      <c r="D121" s="2062">
        <f ca="1">ROUND(IF(B32="总价",C34,IF('数据-取费表'!B3="万元",E121*B121/10000,E121*B121)),0)</f>
        <v>5274</v>
      </c>
      <c r="E121" s="2062">
        <f ca="1">ROUND(IF(B32="楼面单价",C34,IF(H19="元",D121/B121,D121*10000/B121)),0)</f>
        <v>62207</v>
      </c>
      <c r="F121" s="2062">
        <f ca="1">ROUND(IF(B32="总价",C35,IF('数据-取费表'!B3="万元",G121*B121/10000,G121*B121)),0)</f>
        <v>465</v>
      </c>
      <c r="G121" s="2062">
        <f ca="1">ROUND(IF(B32="楼面单价",C35,IF(H19="元",F121/B121,F121*10000/B121)),0)</f>
        <v>5483</v>
      </c>
      <c r="H121" s="2062">
        <f ca="1">ROUND(IF(B32="总价",C32,IF('数据-取费表'!B3="万元",I121*B121/10000,I121*B121)),0)</f>
        <v>5738</v>
      </c>
      <c r="I121" s="52">
        <f ca="1">ROUND(IF(B32="楼面单价",C32,IF(H19="元",H121/B121,H121*10000/B121)),0)</f>
        <v>67690</v>
      </c>
      <c r="J121" s="2816"/>
    </row>
    <row r="122" spans="1:16" ht="13.2">
      <c r="A122" s="3437" t="s">
        <v>2738</v>
      </c>
      <c r="B122" s="3433"/>
      <c r="C122" s="3433"/>
      <c r="D122" s="3468" t="str">
        <f ca="1">IF(H19="元",NUMBERSTRING(INT(D121),2)&amp;"元整",NUMBERSTRING(INT(D121*10000),2)&amp;"元整")</f>
        <v>伍仟贰佰柒拾肆万元整</v>
      </c>
      <c r="E122" s="3469"/>
      <c r="F122" s="3468" t="str">
        <f ca="1">IF(H19="元",NUMBERSTRING(INT(F121),2)&amp;"元整",NUMBERSTRING(INT(F121*10000),2)&amp;"元整")</f>
        <v>肆佰陆拾伍万元整</v>
      </c>
      <c r="G122" s="3469"/>
      <c r="H122" s="3468" t="str">
        <f ca="1">IF(H19="元",NUMBERSTRING(INT(H121),2)&amp;"元整",NUMBERSTRING(INT(H121*10000),2)&amp;"元整")</f>
        <v>伍仟柒佰叁拾捌万元整</v>
      </c>
      <c r="I122" s="3517"/>
      <c r="J122" s="2839"/>
    </row>
    <row r="123" spans="1:16" ht="13.2">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3.2">
      <c r="A124" s="3471" t="s">
        <v>2738</v>
      </c>
      <c r="B124" s="3472"/>
      <c r="C124" s="3473"/>
      <c r="D124" s="3509">
        <f>H109</f>
        <v>0</v>
      </c>
      <c r="E124" s="3510"/>
      <c r="F124" s="3510"/>
      <c r="G124" s="3510"/>
      <c r="H124" s="3510"/>
      <c r="I124" s="3511"/>
      <c r="J124" s="2840"/>
    </row>
    <row r="125" spans="1:16" ht="13.2">
      <c r="A125" s="3444" t="str">
        <f>IF(项目基本情况!D5="房地产市场价值","——",MID(A112,3,LEN(A112)-2))</f>
        <v/>
      </c>
      <c r="B125" s="3445"/>
      <c r="C125" s="3445"/>
      <c r="D125" s="3461" t="str">
        <f>I110</f>
        <v>——</v>
      </c>
      <c r="E125" s="3470"/>
      <c r="F125" s="3470"/>
      <c r="G125" s="3470"/>
      <c r="H125" s="3470"/>
      <c r="I125" s="3458"/>
      <c r="J125" s="2832"/>
    </row>
    <row r="126" spans="1:16" ht="13.2">
      <c r="A126" s="3437" t="s">
        <v>2738</v>
      </c>
      <c r="B126" s="3433"/>
      <c r="C126" s="3433"/>
      <c r="D126" s="3509" t="e">
        <f ca="1">I111</f>
        <v>#VALUE!</v>
      </c>
      <c r="E126" s="3510"/>
      <c r="F126" s="3510"/>
      <c r="G126" s="3510"/>
      <c r="H126" s="3510"/>
      <c r="I126" s="3511"/>
      <c r="J126" s="2840"/>
    </row>
    <row r="127" spans="1:16" ht="13.8" thickBot="1">
      <c r="A127" s="3444" t="str">
        <f>IF(项目基本情况!D5="房地产市场价值","——",MID(A114,3,LEN(A114)-2))</f>
        <v>抵押担保权已注销时的房地产抵押价值</v>
      </c>
      <c r="B127" s="3445"/>
      <c r="C127" s="3445"/>
      <c r="D127" s="3417">
        <f ca="1">I112</f>
        <v>5738</v>
      </c>
      <c r="E127" s="3418"/>
      <c r="F127" s="3418"/>
      <c r="G127" s="3418"/>
      <c r="H127" s="3418"/>
      <c r="I127" s="3419"/>
      <c r="J127" s="2832"/>
    </row>
    <row r="128" spans="1:16" ht="14.4" thickTop="1" thickBot="1">
      <c r="A128" s="3437" t="s">
        <v>2738</v>
      </c>
      <c r="B128" s="3433"/>
      <c r="C128" s="3484"/>
      <c r="D128" s="3462">
        <f ca="1">I113</f>
        <v>67690</v>
      </c>
      <c r="E128" s="3462"/>
      <c r="F128" s="3462"/>
      <c r="G128" s="3462"/>
      <c r="H128" s="3462"/>
      <c r="I128" s="3462"/>
      <c r="J128" s="2840"/>
    </row>
    <row r="129" spans="1:10" ht="14.4" thickTop="1" thickBot="1">
      <c r="A129" s="3444" t="str">
        <f>IF(项目基本情况!D5="房地产市场价值","——",MID(F114,3,LEN(F114)-2))</f>
        <v>抵押净值</v>
      </c>
      <c r="B129" s="3445"/>
      <c r="C129" s="3461"/>
      <c r="D129" s="3512">
        <f ca="1">I114</f>
        <v>4963</v>
      </c>
      <c r="E129" s="3512"/>
      <c r="F129" s="3512"/>
      <c r="G129" s="3512"/>
      <c r="H129" s="3512"/>
      <c r="I129" s="3512"/>
      <c r="J129" s="2832"/>
    </row>
    <row r="130" spans="1:10" ht="14.4" thickTop="1" thickBot="1">
      <c r="A130" s="3500" t="s">
        <v>2738</v>
      </c>
      <c r="B130" s="3501"/>
      <c r="C130" s="3501"/>
      <c r="D130" s="3518">
        <f>H116</f>
        <v>0</v>
      </c>
      <c r="E130" s="3519"/>
      <c r="F130" s="3519"/>
      <c r="G130" s="3519"/>
      <c r="H130" s="3519"/>
      <c r="I130" s="3520"/>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505" t="str">
        <f>IF(B32="总价","（以上估价结果中楼面单价为总价除以建筑面积得出）","（以上估价结果中总价为楼面单价乘以建筑面积得出）")</f>
        <v>（以上估价结果中总价为楼面单价乘以建筑面积得出）</v>
      </c>
      <c r="B132" s="3505"/>
      <c r="C132" s="3505"/>
      <c r="D132" s="3505"/>
      <c r="E132" s="3505"/>
      <c r="F132" s="3505"/>
      <c r="G132" s="3505"/>
      <c r="H132" s="3505"/>
      <c r="I132" s="350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27" t="s">
        <v>1825</v>
      </c>
      <c r="B2" s="3527"/>
      <c r="C2" s="3527"/>
      <c r="D2" s="3527"/>
      <c r="E2" s="3527"/>
      <c r="F2" s="3527"/>
      <c r="G2" s="3527"/>
      <c r="H2" s="3527"/>
      <c r="I2" s="3527"/>
      <c r="J2" s="2845"/>
    </row>
    <row r="3" spans="1:15" ht="13.2">
      <c r="A3" s="3487" t="s">
        <v>1653</v>
      </c>
      <c r="B3" s="3488"/>
      <c r="C3" s="3488"/>
      <c r="D3" s="3488"/>
      <c r="E3" s="3488"/>
      <c r="F3" s="3488"/>
      <c r="G3" s="3488"/>
      <c r="H3" s="3488"/>
      <c r="I3" s="3488"/>
      <c r="J3" s="2815"/>
    </row>
    <row r="4" spans="1:15" ht="14.4">
      <c r="A4" s="2683" t="s">
        <v>1654</v>
      </c>
      <c r="B4" s="2683" t="s">
        <v>1655</v>
      </c>
      <c r="C4" s="2684"/>
      <c r="D4" s="2684"/>
      <c r="E4" s="3484" t="s">
        <v>1826</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83" t="s">
        <v>1657</v>
      </c>
      <c r="B5" s="3483">
        <v>25</v>
      </c>
      <c r="C5" s="3489"/>
      <c r="D5" s="3486"/>
      <c r="E5" s="12" t="s">
        <v>1658</v>
      </c>
      <c r="F5" s="2059"/>
      <c r="G5" s="2059"/>
      <c r="H5" s="2059"/>
      <c r="I5" s="2054"/>
      <c r="J5" s="2816"/>
    </row>
    <row r="6" spans="1:15" ht="13.2">
      <c r="A6" s="3483"/>
      <c r="B6" s="3483"/>
      <c r="C6" s="3490"/>
      <c r="D6" s="3486"/>
      <c r="E6" s="12" t="s">
        <v>1659</v>
      </c>
      <c r="F6" s="2059"/>
      <c r="G6" s="2059"/>
      <c r="H6" s="2059"/>
      <c r="I6" s="2054"/>
      <c r="J6" s="2816"/>
    </row>
    <row r="7" spans="1:15" ht="13.2">
      <c r="A7" s="3483"/>
      <c r="B7" s="3483"/>
      <c r="C7" s="3491"/>
      <c r="D7" s="3486"/>
      <c r="E7" s="12" t="s">
        <v>1660</v>
      </c>
      <c r="F7" s="2059"/>
      <c r="G7" s="2059"/>
      <c r="H7" s="2059"/>
      <c r="I7" s="2054"/>
      <c r="J7" s="2816"/>
    </row>
    <row r="8" spans="1:15" ht="13.2">
      <c r="A8" s="3483" t="s">
        <v>1661</v>
      </c>
      <c r="B8" s="3483">
        <v>15</v>
      </c>
      <c r="C8" s="3489"/>
      <c r="D8" s="3486"/>
      <c r="E8" s="12" t="s">
        <v>1662</v>
      </c>
      <c r="F8" s="2059"/>
      <c r="G8" s="2059"/>
      <c r="H8" s="2059"/>
      <c r="I8" s="2054"/>
      <c r="J8" s="2816"/>
    </row>
    <row r="9" spans="1:15" ht="13.2">
      <c r="A9" s="3483"/>
      <c r="B9" s="3483"/>
      <c r="C9" s="3491"/>
      <c r="D9" s="3486"/>
      <c r="E9" s="12" t="s">
        <v>1663</v>
      </c>
      <c r="F9" s="2059"/>
      <c r="G9" s="2059"/>
      <c r="H9" s="2059"/>
      <c r="I9" s="2054"/>
      <c r="J9" s="2816"/>
    </row>
    <row r="10" spans="1:15" ht="13.2">
      <c r="A10" s="3483" t="s">
        <v>1664</v>
      </c>
      <c r="B10" s="3483">
        <v>15</v>
      </c>
      <c r="C10" s="3489"/>
      <c r="D10" s="3486"/>
      <c r="E10" s="12" t="s">
        <v>1665</v>
      </c>
      <c r="F10" s="2059"/>
      <c r="G10" s="2059"/>
      <c r="H10" s="2059"/>
      <c r="I10" s="2054"/>
      <c r="J10" s="2816"/>
    </row>
    <row r="11" spans="1:15" ht="13.2">
      <c r="A11" s="3483"/>
      <c r="B11" s="3483"/>
      <c r="C11" s="3491"/>
      <c r="D11" s="3486"/>
      <c r="E11" s="12" t="s">
        <v>1666</v>
      </c>
      <c r="F11" s="2059"/>
      <c r="G11" s="2059"/>
      <c r="H11" s="2059"/>
      <c r="I11" s="2054"/>
      <c r="J11" s="2816"/>
    </row>
    <row r="12" spans="1:15" ht="13.2">
      <c r="A12" s="3483" t="s">
        <v>1667</v>
      </c>
      <c r="B12" s="3483">
        <v>15</v>
      </c>
      <c r="C12" s="3489"/>
      <c r="D12" s="3486"/>
      <c r="E12" s="12" t="s">
        <v>1668</v>
      </c>
      <c r="F12" s="2059"/>
      <c r="G12" s="2059"/>
      <c r="H12" s="2059"/>
      <c r="I12" s="2054"/>
      <c r="J12" s="2816"/>
    </row>
    <row r="13" spans="1:15" ht="13.2">
      <c r="A13" s="3483"/>
      <c r="B13" s="3483"/>
      <c r="C13" s="3491"/>
      <c r="D13" s="3486"/>
      <c r="E13" s="12" t="s">
        <v>1669</v>
      </c>
      <c r="F13" s="2059"/>
      <c r="G13" s="2059"/>
      <c r="H13" s="2059"/>
      <c r="I13" s="2054"/>
      <c r="J13" s="2816"/>
    </row>
    <row r="14" spans="1:15" ht="13.2">
      <c r="A14" s="3483" t="s">
        <v>1670</v>
      </c>
      <c r="B14" s="3483">
        <v>30</v>
      </c>
      <c r="C14" s="3489"/>
      <c r="D14" s="3486"/>
      <c r="E14" s="12" t="s">
        <v>1671</v>
      </c>
      <c r="F14" s="2059"/>
      <c r="G14" s="2059"/>
      <c r="H14" s="2059"/>
      <c r="I14" s="2054"/>
      <c r="J14" s="2816"/>
    </row>
    <row r="15" spans="1:15" ht="13.2">
      <c r="A15" s="3483"/>
      <c r="B15" s="3483"/>
      <c r="C15" s="3490"/>
      <c r="D15" s="3486"/>
      <c r="E15" s="12" t="s">
        <v>1672</v>
      </c>
      <c r="F15" s="2059"/>
      <c r="G15" s="2059"/>
      <c r="H15" s="2059"/>
      <c r="I15" s="2054"/>
      <c r="J15" s="2816"/>
    </row>
    <row r="16" spans="1:15" ht="13.2">
      <c r="A16" s="3483"/>
      <c r="B16" s="3483"/>
      <c r="C16" s="3491"/>
      <c r="D16" s="3486"/>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503" t="s">
        <v>2757</v>
      </c>
      <c r="F18" s="3504"/>
      <c r="G18" s="3504"/>
      <c r="H18" s="3504"/>
      <c r="I18" s="3504"/>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2761</v>
      </c>
      <c r="F30" s="2533"/>
      <c r="G30" s="2533"/>
      <c r="H30" s="2533"/>
      <c r="I30" s="2533"/>
      <c r="J30" s="2817"/>
    </row>
    <row r="31" spans="1:36" s="2810" customFormat="1" ht="27.6"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49" t="s">
        <v>1829</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 ca="1">典型户型修正!R27</f>
        <v>67690</v>
      </c>
      <c r="D33" s="2533" t="s">
        <v>1831</v>
      </c>
      <c r="E33" s="947"/>
      <c r="F33" s="947"/>
      <c r="G33" s="947"/>
      <c r="H33" s="947"/>
      <c r="I33" s="947"/>
      <c r="J33" s="2817"/>
    </row>
    <row r="34" spans="1:16" ht="14.4">
      <c r="A34" s="1482" t="s">
        <v>1832</v>
      </c>
      <c r="B34" s="2748" t="s">
        <v>1833</v>
      </c>
      <c r="C34" s="2749">
        <f ca="1">典型户型修正!B2</f>
        <v>5738</v>
      </c>
      <c r="D34" s="2750" t="str">
        <f>IF('数据-取费表'!B3="万元","万元","元")</f>
        <v>万元</v>
      </c>
      <c r="E34" s="947"/>
      <c r="F34" s="947"/>
      <c r="G34" s="947"/>
      <c r="H34" s="947"/>
      <c r="I34" s="947"/>
      <c r="J34" s="2817"/>
    </row>
    <row r="35" spans="1:16" ht="15" thickBot="1">
      <c r="A35" s="1483"/>
      <c r="B35" s="2751" t="s">
        <v>1834</v>
      </c>
      <c r="C35" s="2700">
        <f ca="1">典型户型修正!B3</f>
        <v>67684</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92" t="s">
        <v>1838</v>
      </c>
      <c r="B38" s="1438" t="s">
        <v>1839</v>
      </c>
      <c r="C38" s="2727"/>
      <c r="D38" s="2728"/>
      <c r="E38" s="1650"/>
      <c r="F38" s="1650"/>
      <c r="G38" s="947"/>
      <c r="H38" s="947"/>
      <c r="I38" s="947"/>
      <c r="J38" s="2817"/>
    </row>
    <row r="39" spans="1:16" ht="15" thickBot="1">
      <c r="A39" s="3497"/>
      <c r="B39" s="2064" t="s">
        <v>1840</v>
      </c>
      <c r="C39" s="2729"/>
      <c r="D39" s="1281"/>
      <c r="E39" s="1281"/>
      <c r="F39" s="1650"/>
      <c r="G39" s="1281"/>
      <c r="H39" s="1281"/>
      <c r="I39" s="1281"/>
      <c r="J39" s="2821"/>
    </row>
    <row r="40" spans="1:16" ht="15" thickBot="1">
      <c r="A40" s="3498"/>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2756</v>
      </c>
      <c r="J46" s="2847"/>
      <c r="K46" s="1445" t="s">
        <v>1705</v>
      </c>
      <c r="L46" s="1446"/>
      <c r="M46" s="1446"/>
      <c r="N46" s="1446"/>
      <c r="O46" s="1446"/>
      <c r="P46" s="1446"/>
    </row>
    <row r="47" spans="1:16" ht="14.25" customHeight="1" thickBot="1">
      <c r="A47" s="3417" t="s">
        <v>1851</v>
      </c>
      <c r="B47" s="3418"/>
      <c r="C47" s="3428"/>
      <c r="D47" s="246">
        <f ca="1">ROUND(I104*F47,0)</f>
        <v>5738</v>
      </c>
      <c r="E47" s="1512" t="s">
        <v>1852</v>
      </c>
      <c r="F47" s="2531">
        <v>1</v>
      </c>
      <c r="G47" s="2532" t="s">
        <v>1853</v>
      </c>
      <c r="H47" s="947"/>
      <c r="I47" s="947"/>
      <c r="J47" s="2817"/>
      <c r="K47" s="3522" t="s">
        <v>1709</v>
      </c>
      <c r="L47" s="3522"/>
      <c r="M47" s="3522"/>
      <c r="N47" s="3522"/>
      <c r="O47" s="3522"/>
      <c r="P47" s="3522"/>
    </row>
    <row r="48" spans="1:16" ht="14.25" customHeight="1">
      <c r="A48" s="3494" t="s">
        <v>1710</v>
      </c>
      <c r="B48" s="3495"/>
      <c r="C48" s="3495"/>
      <c r="D48" s="3495"/>
      <c r="E48" s="3495"/>
      <c r="F48" s="3495"/>
      <c r="G48" s="3496"/>
      <c r="H48" s="2949"/>
      <c r="I48" s="947"/>
      <c r="J48" s="2817"/>
      <c r="K48" s="2483">
        <v>1</v>
      </c>
      <c r="L48" s="3523" t="s">
        <v>1711</v>
      </c>
      <c r="M48" s="3523"/>
      <c r="N48" s="3524"/>
      <c r="O48" s="3524"/>
      <c r="P48" s="3524"/>
    </row>
    <row r="49" spans="1:17" ht="12" customHeight="1">
      <c r="A49" s="38" t="s">
        <v>1712</v>
      </c>
      <c r="B49" s="39"/>
      <c r="C49" s="40"/>
      <c r="D49" s="1070" t="s">
        <v>1713</v>
      </c>
      <c r="E49" s="235" t="s">
        <v>1714</v>
      </c>
      <c r="F49" s="41" t="s">
        <v>1715</v>
      </c>
      <c r="G49" s="2534" t="s">
        <v>1716</v>
      </c>
      <c r="H49" s="2949"/>
      <c r="I49" s="947"/>
      <c r="J49" s="2817"/>
      <c r="K49" s="2483">
        <v>2</v>
      </c>
      <c r="L49" s="3523" t="s">
        <v>1717</v>
      </c>
      <c r="M49" s="3523"/>
      <c r="N49" s="3526">
        <f>'数据-取费表'!B2</f>
        <v>44571</v>
      </c>
      <c r="O49" s="3526"/>
      <c r="P49" s="3526"/>
    </row>
    <row r="50" spans="1:17" ht="26.4">
      <c r="A50" s="3499" t="s">
        <v>1718</v>
      </c>
      <c r="B50" s="3433"/>
      <c r="C50" s="3433"/>
      <c r="D50" s="12">
        <f ca="1">IF(H50="情况1",0,IF(H50="情况2",D54,IF(H50="情况3",D55,IF(H50="情况4",D56))))</f>
        <v>306</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3" t="s">
        <v>1721</v>
      </c>
      <c r="M50" s="3523"/>
      <c r="N50" s="3528">
        <f ca="1">I104</f>
        <v>5738</v>
      </c>
      <c r="O50" s="3528"/>
      <c r="P50" s="3528"/>
    </row>
    <row r="51" spans="1:17" ht="25.5" customHeight="1">
      <c r="A51" s="2061" t="s">
        <v>1722</v>
      </c>
      <c r="B51" s="3472" t="s">
        <v>1723</v>
      </c>
      <c r="C51" s="3472"/>
      <c r="D51" s="2538">
        <v>0</v>
      </c>
      <c r="E51" s="261" t="s">
        <v>1724</v>
      </c>
      <c r="F51" s="2539" t="s">
        <v>48</v>
      </c>
      <c r="G51" s="3414"/>
      <c r="H51" s="2540" t="s">
        <v>2681</v>
      </c>
      <c r="I51" s="2541"/>
      <c r="J51" s="2825"/>
      <c r="K51" s="2483">
        <v>4</v>
      </c>
      <c r="L51" s="3523" t="str">
        <f>IF(项目基本情况!F5="房地产抵押价值","房地产抵押价值","抵押担保权已注销时的房地产抵押价值")</f>
        <v>抵押担保权已注销时的房地产抵押价值</v>
      </c>
      <c r="M51" s="3523"/>
      <c r="N51" s="3528">
        <f ca="1">IF(项目基本情况!F5="房地产抵押价值",I112,I114)</f>
        <v>5738</v>
      </c>
      <c r="O51" s="3528"/>
      <c r="P51" s="3528"/>
    </row>
    <row r="52" spans="1:17" ht="25.5" customHeight="1">
      <c r="A52" s="2051"/>
      <c r="B52" s="3472" t="s">
        <v>1725</v>
      </c>
      <c r="C52" s="3472"/>
      <c r="D52" s="2542"/>
      <c r="E52" s="269"/>
      <c r="F52" s="2539"/>
      <c r="G52" s="3415"/>
      <c r="H52" s="2543" t="s">
        <v>2682</v>
      </c>
      <c r="I52" s="2541"/>
      <c r="J52" s="2825"/>
      <c r="K52" s="3523" t="s">
        <v>1726</v>
      </c>
      <c r="L52" s="3523"/>
      <c r="M52" s="3523"/>
      <c r="N52" s="3523"/>
      <c r="O52" s="3523"/>
      <c r="P52" s="3523"/>
    </row>
    <row r="53" spans="1:17" ht="20.399999999999999" customHeight="1">
      <c r="A53" s="2544"/>
      <c r="B53" s="3472" t="s">
        <v>1727</v>
      </c>
      <c r="C53" s="3472"/>
      <c r="D53" s="1070"/>
      <c r="E53" s="264"/>
      <c r="F53" s="2539"/>
      <c r="G53" s="3416"/>
      <c r="H53" s="2543" t="s">
        <v>2683</v>
      </c>
      <c r="I53" s="2541"/>
      <c r="J53" s="2825"/>
      <c r="K53" s="2484" t="s">
        <v>1728</v>
      </c>
      <c r="L53" s="3523" t="s">
        <v>1729</v>
      </c>
      <c r="M53" s="3523"/>
      <c r="N53" s="2484" t="s">
        <v>1730</v>
      </c>
      <c r="O53" s="2484" t="s">
        <v>1731</v>
      </c>
      <c r="P53" s="2484" t="s">
        <v>1732</v>
      </c>
    </row>
    <row r="54" spans="1:17" ht="24" customHeight="1">
      <c r="A54" s="2052" t="s">
        <v>1733</v>
      </c>
      <c r="B54" s="3472" t="s">
        <v>1734</v>
      </c>
      <c r="C54" s="3472"/>
      <c r="D54" s="1070">
        <f ca="1">ROUND(D47*'数据-取费表'!E29/(1+'数据-取费表'!F30),0)</f>
        <v>306</v>
      </c>
      <c r="E54" s="2062" t="s">
        <v>1735</v>
      </c>
      <c r="F54" s="2545">
        <f>'数据-取费表'!E29</f>
        <v>5.6000000000000001E-2</v>
      </c>
      <c r="G54" s="2546"/>
      <c r="H54" s="947"/>
      <c r="I54" s="2950"/>
      <c r="J54" s="2825"/>
      <c r="K54" s="2483">
        <v>1</v>
      </c>
      <c r="L54" s="3525" t="s">
        <v>1736</v>
      </c>
      <c r="M54" s="3525"/>
      <c r="N54" s="2485">
        <f ca="1">D50</f>
        <v>306</v>
      </c>
      <c r="O54" s="2483" t="str">
        <f>E50</f>
        <v>销售额×税（费）率</v>
      </c>
      <c r="P54" s="2486">
        <f>F50</f>
        <v>5.6000000000000001E-2</v>
      </c>
    </row>
    <row r="55" spans="1:17" ht="12" customHeight="1">
      <c r="A55" s="2052" t="s">
        <v>1737</v>
      </c>
      <c r="B55" s="3484" t="s">
        <v>2774</v>
      </c>
      <c r="C55" s="3473"/>
      <c r="D55" s="1070">
        <f ca="1">ROUND(D47*'数据-取费表'!E29/(1+'数据-取费表'!F30),0)</f>
        <v>306</v>
      </c>
      <c r="E55" s="2062" t="s">
        <v>1735</v>
      </c>
      <c r="F55" s="2545">
        <f>'数据-取费表'!E29</f>
        <v>5.6000000000000001E-2</v>
      </c>
      <c r="G55" s="2546"/>
      <c r="H55" s="947"/>
      <c r="I55" s="2950"/>
      <c r="J55" s="2825"/>
      <c r="K55" s="2483">
        <v>2</v>
      </c>
      <c r="L55" s="3525" t="s">
        <v>1738</v>
      </c>
      <c r="M55" s="3525"/>
      <c r="N55" s="2485">
        <f t="shared" ref="N55:P56" ca="1" si="1">D57</f>
        <v>3</v>
      </c>
      <c r="O55" s="2483" t="str">
        <f t="shared" si="1"/>
        <v>销售额×税（费）率</v>
      </c>
      <c r="P55" s="2486">
        <f t="shared" si="1"/>
        <v>5.0000000000000001E-4</v>
      </c>
    </row>
    <row r="56" spans="1:17" ht="12" customHeight="1">
      <c r="A56" s="2052" t="s">
        <v>1739</v>
      </c>
      <c r="B56" s="3484" t="s">
        <v>2775</v>
      </c>
      <c r="C56" s="3473"/>
      <c r="D56" s="1070">
        <f ca="1">C70</f>
        <v>306</v>
      </c>
      <c r="E56" s="264" t="s">
        <v>1740</v>
      </c>
      <c r="F56" s="2545">
        <f>'数据-取费表'!E29</f>
        <v>5.6000000000000001E-2</v>
      </c>
      <c r="G56" s="2546"/>
      <c r="H56" s="2951"/>
      <c r="I56" s="2950"/>
      <c r="J56" s="2825"/>
      <c r="K56" s="2483">
        <v>3</v>
      </c>
      <c r="L56" s="3525" t="s">
        <v>1741</v>
      </c>
      <c r="M56" s="3525"/>
      <c r="N56" s="2485">
        <f t="shared" ca="1" si="1"/>
        <v>3248</v>
      </c>
      <c r="O56" s="2483" t="str">
        <f t="shared" si="1"/>
        <v>增值额×税（费）率</v>
      </c>
      <c r="P56" s="2487" t="str">
        <f t="shared" si="1"/>
        <v>——</v>
      </c>
    </row>
    <row r="57" spans="1:17" ht="24" customHeight="1">
      <c r="A57" s="3437" t="s">
        <v>1742</v>
      </c>
      <c r="B57" s="3433"/>
      <c r="C57" s="3433"/>
      <c r="D57" s="12">
        <f ca="1">IF(H57="个人住宅",0,ROUND(D47*I57,0))</f>
        <v>3</v>
      </c>
      <c r="E57" s="2062" t="s">
        <v>1743</v>
      </c>
      <c r="F57" s="2545">
        <f>IF(H57="正常",I57,"免征")</f>
        <v>5.0000000000000001E-4</v>
      </c>
      <c r="G57" s="2546"/>
      <c r="H57" s="2537" t="s">
        <v>1744</v>
      </c>
      <c r="I57" s="74">
        <f>'数据-取费表'!E37</f>
        <v>5.0000000000000001E-4</v>
      </c>
      <c r="J57" s="2825"/>
      <c r="K57" s="2483">
        <f>IF(H61="非个人房产","",4)</f>
        <v>4</v>
      </c>
      <c r="L57" s="3525" t="str">
        <f>IF(H61="非个人房产","——","个人所得税")</f>
        <v>个人所得税</v>
      </c>
      <c r="M57" s="3525"/>
      <c r="N57" s="2488">
        <f ca="1">D61</f>
        <v>57</v>
      </c>
      <c r="O57" s="2489" t="str">
        <f>E61</f>
        <v>销售额×税（费）率</v>
      </c>
      <c r="P57" s="2490">
        <f>F61</f>
        <v>0.01</v>
      </c>
    </row>
    <row r="58" spans="1:17" ht="25.2">
      <c r="A58" s="3437" t="s">
        <v>1745</v>
      </c>
      <c r="B58" s="3433"/>
      <c r="C58" s="3433"/>
      <c r="D58" s="12">
        <f ca="1">IF(H58="个人住宅",D59,D60)</f>
        <v>3248</v>
      </c>
      <c r="E58" s="2062" t="s">
        <v>1746</v>
      </c>
      <c r="F58" s="2545" t="str">
        <f>IF(H58="正常",F60,"免征")</f>
        <v>——</v>
      </c>
      <c r="G58" s="2547" t="s">
        <v>1747</v>
      </c>
      <c r="H58" s="2548" t="s">
        <v>1744</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3.2">
      <c r="A59" s="2052" t="s">
        <v>1722</v>
      </c>
      <c r="B59" s="3484" t="s">
        <v>1748</v>
      </c>
      <c r="C59" s="3473"/>
      <c r="D59" s="2538">
        <v>0</v>
      </c>
      <c r="E59" s="261" t="s">
        <v>1724</v>
      </c>
      <c r="F59" s="235"/>
      <c r="G59" s="2546"/>
      <c r="H59" s="2952"/>
      <c r="I59" s="2952"/>
      <c r="J59" s="2825"/>
      <c r="K59" s="3525">
        <f>IF(AND(K57="",K58=""),4,IF(项目基本情况!I6="上海银行",K58+1,K57+1))</f>
        <v>5</v>
      </c>
      <c r="L59" s="3525" t="s">
        <v>1749</v>
      </c>
      <c r="M59" s="2491" t="s">
        <v>1750</v>
      </c>
      <c r="N59" s="2492"/>
      <c r="O59" s="2493">
        <f ca="1">SUMIF(N54:N58,"&lt;9e307")</f>
        <v>3614</v>
      </c>
      <c r="P59" s="2494"/>
      <c r="Q59" s="1276">
        <f ca="1">O59/N51</f>
        <v>0.62983617985360751</v>
      </c>
    </row>
    <row r="60" spans="1:17" ht="25.2">
      <c r="A60" s="2052" t="s">
        <v>1733</v>
      </c>
      <c r="B60" s="3484" t="s">
        <v>1751</v>
      </c>
      <c r="C60" s="3472"/>
      <c r="D60" s="12">
        <f ca="1">IF(H60="转让取得",C83,C99)</f>
        <v>3248</v>
      </c>
      <c r="E60" s="2062" t="s">
        <v>1746</v>
      </c>
      <c r="F60" s="235" t="s">
        <v>48</v>
      </c>
      <c r="G60" s="2546"/>
      <c r="H60" s="2548" t="s">
        <v>1752</v>
      </c>
      <c r="I60" s="2952"/>
      <c r="J60" s="2825"/>
      <c r="K60" s="3525"/>
      <c r="L60" s="3525"/>
      <c r="M60" s="2491" t="s">
        <v>1753</v>
      </c>
      <c r="N60" s="2495"/>
      <c r="O60" s="2496" t="str">
        <f ca="1">IF(H19="元",NUMBERSTRING(INT(O59),2)&amp;"元整",NUMBERSTRING(INT(O59*10000),2)&amp;"元整")</f>
        <v>叁仟陆佰壹拾肆万元整</v>
      </c>
      <c r="P60" s="2497"/>
    </row>
    <row r="61" spans="1:17" ht="27" thickBot="1">
      <c r="A61" s="3500" t="s">
        <v>1754</v>
      </c>
      <c r="B61" s="3501"/>
      <c r="C61" s="3501"/>
      <c r="D61" s="69">
        <f ca="1">IF(H61="非个人房产","——",IF(H61="个人住宅（满五唯一有凭证）",0,IF(H61="个人其他（无凭证）",ROUND(D47*F61,0),ROUND(C69*F61,0))))</f>
        <v>57</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2754</v>
      </c>
      <c r="H61" s="2066" t="s">
        <v>2680</v>
      </c>
      <c r="I61" s="2853" t="s">
        <v>2765</v>
      </c>
      <c r="J61" s="2825"/>
      <c r="K61" s="3531">
        <f>K59+1</f>
        <v>6</v>
      </c>
      <c r="L61" s="3525" t="s">
        <v>1755</v>
      </c>
      <c r="M61" s="2483" t="s">
        <v>1750</v>
      </c>
      <c r="N61" s="2498"/>
      <c r="O61" s="2499">
        <f ca="1">N51-O59</f>
        <v>2124</v>
      </c>
      <c r="P61" s="2500"/>
    </row>
    <row r="62" spans="1:17" ht="12" customHeight="1">
      <c r="A62" s="1427"/>
      <c r="B62" s="2533"/>
      <c r="C62" s="2533"/>
      <c r="D62" s="2533"/>
      <c r="E62" s="1427"/>
      <c r="F62" s="2952"/>
      <c r="G62" s="2952"/>
      <c r="H62" s="2947"/>
      <c r="I62" s="947"/>
      <c r="J62" s="2825"/>
      <c r="K62" s="3532"/>
      <c r="L62" s="3525"/>
      <c r="M62" s="2491" t="s">
        <v>1753</v>
      </c>
      <c r="N62" s="2495"/>
      <c r="O62" s="2496" t="str">
        <f ca="1">IF(H19="元",NUMBERSTRING(INT(O61),2)&amp;"元整",NUMBERSTRING(INT(O61*10000),2)&amp;"元整")</f>
        <v>贰仟壹佰贰拾肆万元整</v>
      </c>
      <c r="P62" s="2497"/>
    </row>
    <row r="63" spans="1:17" ht="13.8" thickBot="1">
      <c r="A63" s="3533" t="s">
        <v>1756</v>
      </c>
      <c r="B63" s="3533"/>
      <c r="C63" s="3533"/>
      <c r="D63" s="3533"/>
      <c r="E63" s="3533"/>
      <c r="F63" s="2952"/>
      <c r="G63" s="2952"/>
      <c r="H63" s="2947"/>
      <c r="I63" s="947"/>
      <c r="J63" s="2817"/>
      <c r="K63" s="2483">
        <f>K61+1</f>
        <v>7</v>
      </c>
      <c r="L63" s="3525" t="s">
        <v>1757</v>
      </c>
      <c r="M63" s="3525"/>
      <c r="N63" s="2501"/>
      <c r="O63" s="2502">
        <f ca="1">IF(H19="元",ROUND(O61/项目基本情况!C12,0),ROUND(O61*10000/项目基本情况!C12,0))</f>
        <v>25054</v>
      </c>
      <c r="P63" s="2503"/>
    </row>
    <row r="64" spans="1:17" ht="13.2">
      <c r="A64" s="3451" t="s">
        <v>1758</v>
      </c>
      <c r="B64" s="3452"/>
      <c r="C64" s="1577"/>
      <c r="D64" s="1577" t="s">
        <v>1759</v>
      </c>
      <c r="E64" s="45" t="s">
        <v>1760</v>
      </c>
      <c r="F64" s="2952"/>
      <c r="G64" s="2952"/>
      <c r="H64" s="2947"/>
      <c r="I64" s="947"/>
      <c r="J64" s="2817"/>
      <c r="K64" s="1278"/>
      <c r="L64" s="1278"/>
      <c r="M64" s="1278"/>
      <c r="N64" s="1278"/>
      <c r="O64" s="1278"/>
    </row>
    <row r="65" spans="1:36" ht="13.2">
      <c r="A65" s="46">
        <v>1</v>
      </c>
      <c r="B65" s="47" t="s">
        <v>1761</v>
      </c>
      <c r="C65" s="2756">
        <f ca="1">ROUND((C66+C67)/(1+'数据-取费表'!F30),0)</f>
        <v>5465</v>
      </c>
      <c r="D65" s="47"/>
      <c r="E65" s="48"/>
      <c r="F65" s="2952"/>
      <c r="G65" s="2952"/>
      <c r="H65" s="2947"/>
      <c r="I65" s="947"/>
      <c r="J65" s="2817"/>
      <c r="K65" s="3521" t="s">
        <v>1762</v>
      </c>
      <c r="L65" s="1277" t="s">
        <v>1763</v>
      </c>
      <c r="M65" s="1277">
        <f ca="1">IF(N51&gt;10000,N51*0.5%,IF(AND(N51&gt;1000,N51&lt;=10000),N51*1%,IF(AND(N51&gt;100,N51&lt;=1000),N51*3%,IF(AND(N51&gt;10,N51&lt;=100),N51*5%,N51*8%))))</f>
        <v>57.38</v>
      </c>
      <c r="N65" s="235">
        <f ca="1">ROUND(M65,1)</f>
        <v>57.4</v>
      </c>
      <c r="O65" s="2504"/>
    </row>
    <row r="66" spans="1:36" ht="13.2">
      <c r="A66" s="49" t="s">
        <v>71</v>
      </c>
      <c r="B66" s="50" t="s">
        <v>1764</v>
      </c>
      <c r="C66" s="2757">
        <f ca="1">D47</f>
        <v>5738</v>
      </c>
      <c r="D66" s="50" t="s">
        <v>41</v>
      </c>
      <c r="E66" s="52"/>
      <c r="F66" s="2952"/>
      <c r="G66" s="2952"/>
      <c r="H66" s="2947"/>
      <c r="I66" s="947"/>
      <c r="J66" s="2817"/>
      <c r="K66" s="3521"/>
      <c r="L66" s="1277" t="s">
        <v>1765</v>
      </c>
      <c r="M66" s="1277">
        <f ca="1">IF(N51&gt;2000,N51*0.5%,IF(AND(N51&gt;1000,N51&lt;=2000),N51*0.6%,IF(AND(N51&gt;500,N51&lt;=1000),N51*0.7%,IF(AND(N51&gt;200,N51&lt;=500),N51*0.8%,IF(AND(N51&gt;100,N51&lt;=200),N51*0.9%,IF(AND(N51&gt;50,N51&lt;=100),N51*1%,IF(AND(N51&gt;20,N51&lt;=50),N51*1.5%,IF(AND(N51&gt;10,N51&lt;=20),N51*2%,IF(AND(N51&gt;1,N51&lt;=10),N51*2.5%)))))))))</f>
        <v>28.69</v>
      </c>
      <c r="N66" s="235">
        <f t="shared" ref="N66:N67" ca="1" si="2">ROUND(M66,1)</f>
        <v>28.7</v>
      </c>
      <c r="O66" s="2504" t="s">
        <v>1766</v>
      </c>
    </row>
    <row r="67" spans="1:36" ht="13.2">
      <c r="A67" s="49" t="s">
        <v>72</v>
      </c>
      <c r="B67" s="50" t="s">
        <v>1767</v>
      </c>
      <c r="C67" s="2758"/>
      <c r="D67" s="50"/>
      <c r="E67" s="52"/>
      <c r="F67" s="2952"/>
      <c r="G67" s="2952"/>
      <c r="H67" s="2947"/>
      <c r="I67" s="947"/>
      <c r="J67" s="2817"/>
      <c r="K67" s="3521"/>
      <c r="L67" s="1277" t="s">
        <v>1768</v>
      </c>
      <c r="M67" s="1277">
        <f ca="1">IF(N51&gt;1000,N51*0.1%,IF(AND(N51&gt;500,N51&lt;=1000),N51*0.5%,IF(AND(N51&gt;50,N51&lt;=500),N51*1%,IF(AND(N51&gt;1,N51&lt;=50),N51*1.5%))))</f>
        <v>5.7380000000000004</v>
      </c>
      <c r="N67" s="235">
        <f t="shared" ca="1" si="2"/>
        <v>5.7</v>
      </c>
      <c r="O67" s="2504" t="s">
        <v>1766</v>
      </c>
    </row>
    <row r="68" spans="1:36" ht="13.2">
      <c r="A68" s="53" t="s">
        <v>47</v>
      </c>
      <c r="B68" s="54" t="s">
        <v>1769</v>
      </c>
      <c r="C68" s="2759"/>
      <c r="D68" s="54" t="s">
        <v>41</v>
      </c>
      <c r="E68" s="1286" t="s">
        <v>1770</v>
      </c>
      <c r="F68" s="2952"/>
      <c r="G68" s="2952"/>
      <c r="H68" s="2947"/>
      <c r="I68" s="947"/>
      <c r="J68" s="2817"/>
      <c r="K68" s="3521"/>
      <c r="L68" s="1277" t="s">
        <v>1771</v>
      </c>
      <c r="M68" s="1277">
        <f ca="1">N51*0.5%</f>
        <v>28.69</v>
      </c>
      <c r="N68" s="235">
        <f ca="1">IF(M68&gt;0.5,0.5,ROUND(M68,0))</f>
        <v>0.5</v>
      </c>
      <c r="O68" s="2504" t="s">
        <v>1772</v>
      </c>
    </row>
    <row r="69" spans="1:36" ht="13.2">
      <c r="A69" s="53" t="s">
        <v>42</v>
      </c>
      <c r="B69" s="54" t="s">
        <v>1773</v>
      </c>
      <c r="C69" s="2760">
        <f ca="1">C65-C68</f>
        <v>5465</v>
      </c>
      <c r="D69" s="50" t="s">
        <v>41</v>
      </c>
      <c r="E69" s="52"/>
      <c r="F69" s="2952"/>
      <c r="G69" s="2952"/>
      <c r="H69" s="2947"/>
      <c r="I69" s="947"/>
      <c r="J69" s="2817"/>
      <c r="K69" s="3521"/>
      <c r="L69" s="1277" t="s">
        <v>1774</v>
      </c>
      <c r="M69" s="1277">
        <f ca="1">IF(N51&gt;=10000,(8.25+(N51-10000)*0.01%),IF(AND(N51&gt;=8000,N51&lt;10000),(7.85+(N51-8000)*0.02%),IF(AND(N51&gt;=5000,N51&lt;8000),(6.65+(N51-5000)*0.04%),IF(AND(N51&gt;=2000,N51&lt;5000),(4.25+(PN51-2000)*0.08%),IF(AND(N51&gt;=1000,N51&lt;2000),(2.75+(N51-1000)*0.15%),IF(AND(N51&gt;=100,N51&lt;1000),(0.5+(N51-100)*0.25%),IF(AND(N51&gt;0,N51&lt;100),N51*0.5%)))))))</f>
        <v>6.9452000000000007</v>
      </c>
      <c r="N69" s="235">
        <f ca="1">ROUND(M69*0.9,1)</f>
        <v>6.3</v>
      </c>
      <c r="O69" s="2504"/>
    </row>
    <row r="70" spans="1:36" ht="13.8" thickBot="1">
      <c r="A70" s="55" t="s">
        <v>46</v>
      </c>
      <c r="B70" s="56" t="s">
        <v>1775</v>
      </c>
      <c r="C70" s="2761">
        <f ca="1">IF(C69&lt;=0,0,ROUND(C69*D70,0))</f>
        <v>306</v>
      </c>
      <c r="D70" s="2212">
        <f>'数据-取费表'!E29</f>
        <v>5.6000000000000001E-2</v>
      </c>
      <c r="E70" s="57"/>
      <c r="F70" s="2952"/>
      <c r="G70" s="2952"/>
      <c r="H70" s="2947"/>
      <c r="I70" s="947"/>
      <c r="J70" s="2817"/>
      <c r="K70" s="3521"/>
      <c r="L70" s="1277" t="s">
        <v>1776</v>
      </c>
      <c r="M70" s="1277">
        <f ca="1">IF(N51&gt;10000,N51*0.5%,IF(AND(N51&gt;5000,N51&lt;=10000),N51*1%,IF(AND(N51&gt;1000,N51&lt;=5000),N51*2%,IF(AND(N51&gt;200,N51&lt;=1000),N51*3%,N51*5%))))</f>
        <v>57.38</v>
      </c>
      <c r="N70" s="235">
        <f ca="1">ROUND(M70,1)</f>
        <v>57.4</v>
      </c>
      <c r="O70" s="2504"/>
    </row>
    <row r="71" spans="1:36" s="1435" customFormat="1" ht="7.5" customHeight="1">
      <c r="A71" s="1447"/>
      <c r="B71" s="1448"/>
      <c r="C71" s="2762"/>
      <c r="D71" s="2255"/>
      <c r="E71" s="1451"/>
      <c r="F71" s="1427"/>
      <c r="G71" s="1427"/>
      <c r="H71" s="1451"/>
      <c r="I71" s="2533"/>
      <c r="J71" s="2817"/>
      <c r="K71" s="3521"/>
      <c r="L71" s="1277" t="s">
        <v>1777</v>
      </c>
      <c r="M71" s="1277"/>
      <c r="N71" s="235">
        <f ca="1">ROUND(SUM(N65:N70),0)</f>
        <v>156</v>
      </c>
      <c r="O71" s="2505">
        <f ca="1">N71/N51</f>
        <v>2.7187173231090971E-2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38" t="s">
        <v>1778</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51" t="s">
        <v>1758</v>
      </c>
      <c r="B73" s="3452"/>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 ca="1">ROUND(D47/(1+'数据-取费表'!F30),0)</f>
        <v>5465</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 ca="1">C76+C80</f>
        <v>33</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4" t="s">
        <v>1788</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33</v>
      </c>
      <c r="D80" s="2769">
        <f>'数据-取费表'!E31</f>
        <v>6.000000000000001E-3</v>
      </c>
      <c r="E80" s="3420" t="s">
        <v>1793</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 ca="1">C74-C75</f>
        <v>5432</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 ca="1">IF(C81&lt;=0,0,C81/C75)</f>
        <v>164.60606060606059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 ca="1">ROUND(IF(C81&lt;=0,0,IF(C82&gt;=200%,C81*60%-C75*35%,IF(C82&gt;=100%,C81*50%-C75*15%,IF(C82&gt;=50%,C81*40%-C75*5%,IF(C82&lt;50%,C81*30%,0))))),0)</f>
        <v>3248</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38" t="s">
        <v>1797</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51" t="s">
        <v>1758</v>
      </c>
      <c r="B86" s="3452"/>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 ca="1">ROUND(D47/(1+'数据-取费表'!F30),0)</f>
        <v>5465</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 ca="1">IF(H90="仅含出让金",C89+C92+C93+C94+C95+C96,C89+C93+C94+C95+C96)</f>
        <v>33</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460" t="s">
        <v>2676</v>
      </c>
      <c r="H92" s="3540"/>
      <c r="I92" s="608"/>
      <c r="J92" s="2849"/>
      <c r="K92" s="2944"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0" t="s">
        <v>1805</v>
      </c>
      <c r="F93" s="3421"/>
      <c r="G93" s="342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0" t="s">
        <v>1808</v>
      </c>
      <c r="F94" s="3421"/>
      <c r="G94" s="3421"/>
      <c r="H94" s="3441"/>
      <c r="I94" s="608"/>
      <c r="J94" s="2849"/>
      <c r="K94" s="2945"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33</v>
      </c>
      <c r="D95" s="2769">
        <f>'数据-取费表'!E31</f>
        <v>6.000000000000001E-3</v>
      </c>
      <c r="E95" s="3420" t="s">
        <v>1793</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0" t="s">
        <v>1810</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 ca="1">ROUND(C87-C88,0)</f>
        <v>5432</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 ca="1">IF(C97&lt;=0,0,C97/C88)</f>
        <v>164.60606060606059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 ca="1">ROUND(IF(C97&lt;=0,0,IF(C98&gt;=200%,C97*60%-C88*35%,IF(C98&gt;=100%,C97*50%-C88*15%,IF(C98&gt;=50%,C97*40%-C88*5%,IF(C98&lt;50%,C97*30%,0))))),0)</f>
        <v>3248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38" t="s">
        <v>1812</v>
      </c>
      <c r="B101" s="3439"/>
      <c r="C101" s="3439"/>
      <c r="D101" s="3440"/>
      <c r="E101" s="1431"/>
      <c r="F101" s="3535" t="s">
        <v>2717</v>
      </c>
      <c r="G101" s="3536"/>
      <c r="H101" s="3536"/>
      <c r="I101" s="3537"/>
      <c r="J101" s="2852"/>
    </row>
    <row r="102" spans="1:36" ht="15">
      <c r="A102" s="3455" t="s">
        <v>1814</v>
      </c>
      <c r="B102" s="3456"/>
      <c r="C102" s="2775">
        <f>C4</f>
        <v>0</v>
      </c>
      <c r="D102" s="2776">
        <f>D4</f>
        <v>0</v>
      </c>
      <c r="E102" s="1431"/>
      <c r="F102" s="3457" t="s">
        <v>2718</v>
      </c>
      <c r="G102" s="3459"/>
      <c r="H102" s="3470" t="s">
        <v>2719</v>
      </c>
      <c r="I102" s="3458"/>
      <c r="J102" s="2832"/>
    </row>
    <row r="103" spans="1:36" ht="13.2">
      <c r="A103" s="3541" t="s">
        <v>2713</v>
      </c>
      <c r="B103" s="2277" t="str">
        <f>IF(H19="元","总价（元）","总价（万元）")</f>
        <v>总价（万元）</v>
      </c>
      <c r="C103" s="1277" t="e">
        <f ca="1">C19</f>
        <v>#REF!</v>
      </c>
      <c r="D103" s="2779" t="e">
        <f ca="1">D19</f>
        <v>#REF!</v>
      </c>
      <c r="E103" s="1431"/>
      <c r="F103" s="3542"/>
      <c r="G103" s="3543"/>
      <c r="H103" s="3461">
        <f>典型户型修正!B25</f>
        <v>847.76</v>
      </c>
      <c r="I103" s="3458"/>
      <c r="J103" s="2832"/>
    </row>
    <row r="104" spans="1:36" ht="13.2">
      <c r="A104" s="3541"/>
      <c r="B104" s="2277" t="s">
        <v>2714</v>
      </c>
      <c r="C104" s="2780" t="e">
        <f ca="1">C20</f>
        <v>#REF!</v>
      </c>
      <c r="D104" s="2781" t="e">
        <f ca="1">D20</f>
        <v>#REF!</v>
      </c>
      <c r="E104" s="1431"/>
      <c r="F104" s="3444" t="s">
        <v>2720</v>
      </c>
      <c r="G104" s="3445"/>
      <c r="H104" s="2789" t="str">
        <f>C110</f>
        <v>总价（万元）</v>
      </c>
      <c r="I104" s="2790">
        <f ca="1">H125</f>
        <v>5738</v>
      </c>
      <c r="J104" s="2832"/>
    </row>
    <row r="105" spans="1:36" ht="13.2">
      <c r="A105" s="3541" t="s">
        <v>2715</v>
      </c>
      <c r="B105" s="2215" t="str">
        <f>B103</f>
        <v>总价（万元）</v>
      </c>
      <c r="C105" s="12" t="e">
        <f ca="1">ROUND(IF('数据-取费表'!B4="总价",G19,IF(H19="元",G20*'数据-取费表'!E5,G20*'数据-取费表'!E5/10000)),0)</f>
        <v>#REF!</v>
      </c>
      <c r="D105" s="2782"/>
      <c r="E105" s="1431"/>
      <c r="F105" s="3444"/>
      <c r="G105" s="3445"/>
      <c r="H105" s="2789" t="s">
        <v>2721</v>
      </c>
      <c r="I105" s="52">
        <f ca="1">I125</f>
        <v>67684</v>
      </c>
      <c r="J105" s="2816"/>
    </row>
    <row r="106" spans="1:36" ht="13.2">
      <c r="A106" s="3541"/>
      <c r="B106" s="2277" t="s">
        <v>2714</v>
      </c>
      <c r="C106" s="1451" t="e">
        <f ca="1">ROUND(IF('数据-取费表'!B4="楼面单价",G20,IF(H19="元",G19/'数据-取费表'!E5,G19*10000/'数据-取费表'!E5)),0)</f>
        <v>#REF!</v>
      </c>
      <c r="D106" s="2782"/>
      <c r="E106" s="1431"/>
      <c r="F106" s="3444"/>
      <c r="G106" s="3445"/>
      <c r="H106" s="3476"/>
      <c r="I106" s="3477"/>
      <c r="J106" s="2833"/>
    </row>
    <row r="107" spans="1:36" ht="13.2">
      <c r="A107" s="3548" t="s">
        <v>2716</v>
      </c>
      <c r="B107" s="2783" t="str">
        <f>B103</f>
        <v>总价（万元）</v>
      </c>
      <c r="C107" s="2784">
        <f ca="1">H125</f>
        <v>5738</v>
      </c>
      <c r="D107" s="2785"/>
      <c r="E107" s="1431"/>
      <c r="F107" s="3480" t="s">
        <v>2722</v>
      </c>
      <c r="G107" s="3481"/>
      <c r="H107" s="2791" t="str">
        <f>C112</f>
        <v>总额（万元）</v>
      </c>
      <c r="I107" s="2790">
        <f>SUMIF(I108:I110,"&lt;9E307")</f>
        <v>0</v>
      </c>
      <c r="J107" s="2832"/>
    </row>
    <row r="108" spans="1:36" ht="14.4" thickBot="1">
      <c r="A108" s="3475"/>
      <c r="B108" s="2786" t="s">
        <v>2714</v>
      </c>
      <c r="C108" s="2787">
        <f ca="1">I125</f>
        <v>67684</v>
      </c>
      <c r="D108" s="2788"/>
      <c r="E108" s="1431"/>
      <c r="F108" s="3446" t="s">
        <v>2723</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44" t="s">
        <v>1815</v>
      </c>
      <c r="B109" s="3545"/>
      <c r="C109" s="3545"/>
      <c r="D109" s="3546"/>
      <c r="E109" s="1431"/>
      <c r="F109" s="3446" t="s">
        <v>2724</v>
      </c>
      <c r="G109" s="3447"/>
      <c r="H109" s="2791" t="str">
        <f>C114</f>
        <v>总额（万元）</v>
      </c>
      <c r="I109" s="52">
        <f>C39</f>
        <v>0</v>
      </c>
      <c r="J109" s="2816"/>
    </row>
    <row r="110" spans="1:36" ht="13.2">
      <c r="A110" s="3444" t="s">
        <v>2727</v>
      </c>
      <c r="B110" s="3445"/>
      <c r="C110" s="2789" t="str">
        <f>B103</f>
        <v>总价（万元）</v>
      </c>
      <c r="D110" s="2790">
        <f ca="1">H125</f>
        <v>5738</v>
      </c>
      <c r="E110" s="1431"/>
      <c r="F110" s="3446" t="s">
        <v>2725</v>
      </c>
      <c r="G110" s="3447"/>
      <c r="H110" s="2791" t="str">
        <f>C115</f>
        <v>总额（万元）</v>
      </c>
      <c r="I110" s="52">
        <f>C40</f>
        <v>0</v>
      </c>
      <c r="J110" s="2816"/>
    </row>
    <row r="111" spans="1:36" ht="13.2">
      <c r="A111" s="3444"/>
      <c r="B111" s="3445"/>
      <c r="C111" s="2789" t="s">
        <v>2728</v>
      </c>
      <c r="D111" s="52">
        <f ca="1">I125</f>
        <v>67684</v>
      </c>
      <c r="E111" s="1431"/>
      <c r="F111" s="3444"/>
      <c r="G111" s="3445"/>
      <c r="H111" s="3478"/>
      <c r="I111" s="3479"/>
      <c r="J111" s="2834"/>
    </row>
    <row r="112" spans="1:36" ht="28.5" customHeight="1">
      <c r="A112" s="3515" t="s">
        <v>2722</v>
      </c>
      <c r="B112" s="3516"/>
      <c r="C112" s="2791" t="str">
        <f>IF(H19="元","总额（元）","总额（万元）")</f>
        <v>总额（万元）</v>
      </c>
      <c r="D112" s="2790">
        <f>IF(D38="正常操作",I108+I109+I110,I109+I110)</f>
        <v>0</v>
      </c>
      <c r="E112" s="1431"/>
      <c r="F112" s="3427" t="str">
        <f>IF(项目基本情况!F5="已注销","——","3.房地产抵押价值")</f>
        <v>——</v>
      </c>
      <c r="G112" s="3428"/>
      <c r="H112" s="1451" t="str">
        <f>C116</f>
        <v>总价（万元）</v>
      </c>
      <c r="I112" s="2790" t="str">
        <f>IF(F112="——","——",I104-I107)</f>
        <v>——</v>
      </c>
      <c r="J112" s="2832"/>
    </row>
    <row r="113" spans="1:27" ht="13.2">
      <c r="A113" s="3446" t="s">
        <v>2729</v>
      </c>
      <c r="B113" s="3447"/>
      <c r="C113" s="2791" t="str">
        <f>C112</f>
        <v>总额（万元）</v>
      </c>
      <c r="D113" s="52">
        <f>IF(D38="同一抵押权人同一抵押物续贷",C38&amp;"（未扣减，详见特别提示）",C38)</f>
        <v>0</v>
      </c>
      <c r="E113" s="1431"/>
      <c r="F113" s="3429"/>
      <c r="G113" s="3430"/>
      <c r="H113" s="2789" t="s">
        <v>2721</v>
      </c>
      <c r="I113" s="2793" t="e">
        <f ca="1">D117</f>
        <v>#VALUE!</v>
      </c>
      <c r="J113" s="2835"/>
    </row>
    <row r="114" spans="1:27" ht="13.2">
      <c r="A114" s="3446" t="s">
        <v>2730</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3.抵押担保权已注销时的房地产抵押价值</v>
      </c>
      <c r="G114" s="3428"/>
      <c r="H114" s="1451" t="str">
        <f>C118</f>
        <v>总价（万元）</v>
      </c>
      <c r="I114" s="2790">
        <f ca="1">IF(F114="——","——",I104-I109-I110)</f>
        <v>5738</v>
      </c>
      <c r="J114" s="2832"/>
    </row>
    <row r="115" spans="1:27" ht="13.2">
      <c r="A115" s="3446" t="s">
        <v>2731</v>
      </c>
      <c r="B115" s="3447"/>
      <c r="C115" s="2791" t="str">
        <f>C112</f>
        <v>总额（万元）</v>
      </c>
      <c r="D115" s="52">
        <f>C40</f>
        <v>0</v>
      </c>
      <c r="E115" s="1431"/>
      <c r="F115" s="3429"/>
      <c r="G115" s="3430"/>
      <c r="H115" s="2789" t="s">
        <v>2721</v>
      </c>
      <c r="I115" s="52">
        <f ca="1">D119</f>
        <v>67684</v>
      </c>
      <c r="J115" s="2816"/>
    </row>
    <row r="116" spans="1:27" ht="13.2">
      <c r="A116" s="3444" t="str">
        <f>IF(项目基本情况!F5="已注销","——","3.房地产抵押价值")</f>
        <v>——</v>
      </c>
      <c r="B116" s="3445"/>
      <c r="C116" s="2789" t="str">
        <f>B103</f>
        <v>总价（万元）</v>
      </c>
      <c r="D116" s="2790" t="str">
        <f>IF(A116="——","——",D110-D112)</f>
        <v>——</v>
      </c>
      <c r="E116" s="1431"/>
      <c r="F116" s="3427" t="str">
        <f>IF(项目基本情况!G5="抵押净值",IF(OR(项目基本情况!F5="已注销",项目基本情况!F5="房地产抵押价值"),"4.抵押净值","5.抵押净值"),"——")</f>
        <v>4.抵押净值</v>
      </c>
      <c r="G116" s="3428"/>
      <c r="H116" s="2789" t="str">
        <f>C120</f>
        <v>总价（万元）</v>
      </c>
      <c r="I116" s="2790">
        <f ca="1">IF(F116="——","——",O61)</f>
        <v>2124</v>
      </c>
      <c r="J116" s="2832"/>
    </row>
    <row r="117" spans="1:27" ht="13.8" thickBot="1">
      <c r="A117" s="3444"/>
      <c r="B117" s="3445"/>
      <c r="C117" s="2789" t="s">
        <v>2728</v>
      </c>
      <c r="D117" s="52" t="e">
        <f ca="1">ROUND(IF(D116=D110,D111,IF(H19="元",D116/B125,D116*10000/B125)),0)</f>
        <v>#VALUE!</v>
      </c>
      <c r="E117" s="1431"/>
      <c r="F117" s="3507"/>
      <c r="G117" s="3508"/>
      <c r="H117" s="2794" t="s">
        <v>2721</v>
      </c>
      <c r="I117" s="2778">
        <f ca="1">D121</f>
        <v>25054</v>
      </c>
      <c r="J117" s="2816"/>
    </row>
    <row r="118" spans="1:27" ht="15.6">
      <c r="A118" s="3444" t="str">
        <f>IF(项目基本情况!F5="已注销及未注销","4.抵押担保权已注销时的房地产抵押价值",IF(项目基本情况!F5="已注销","3.抵押担保权已注销时的房地产抵押价值","——"))</f>
        <v>3.抵押担保权已注销时的房地产抵押价值</v>
      </c>
      <c r="B118" s="3445"/>
      <c r="C118" s="2789" t="str">
        <f>B103</f>
        <v>总价（万元）</v>
      </c>
      <c r="D118" s="2790">
        <f ca="1">IF(A118="——","——",D110-D114-D115)</f>
        <v>5738</v>
      </c>
      <c r="E118" s="1431"/>
      <c r="F118" s="3422"/>
      <c r="G118" s="3422"/>
      <c r="H118" s="3463"/>
      <c r="I118" s="3463"/>
      <c r="J118" s="2836"/>
      <c r="O118" s="32"/>
      <c r="P118" s="32"/>
    </row>
    <row r="119" spans="1:27" s="1278" customFormat="1" ht="13.2">
      <c r="A119" s="3444"/>
      <c r="B119" s="3445"/>
      <c r="C119" s="2789" t="s">
        <v>2728</v>
      </c>
      <c r="D119" s="52">
        <f ca="1">IF(A118="——","——",IF(H19="元",ROUND(D118/B125,0),ROUND(D118*10000/B125,0)))</f>
        <v>67684</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44" t="str">
        <f>IF(项目基本情况!G5="抵押净值",IF(OR(项目基本情况!F5="已注销",项目基本情况!F5="房地产抵押价值"),"4.抵押净值","5.抵押净值"),"——")</f>
        <v>4.抵押净值</v>
      </c>
      <c r="B120" s="3445"/>
      <c r="C120" s="2789" t="str">
        <f>B103</f>
        <v>总价（万元）</v>
      </c>
      <c r="D120" s="2790">
        <f ca="1">IF(A120="——","——",O61)</f>
        <v>2124</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513"/>
      <c r="B121" s="3514"/>
      <c r="C121" s="2794" t="s">
        <v>2728</v>
      </c>
      <c r="D121" s="2778">
        <f ca="1">IF(D120=D110,D111,IF(A120="——","——",O63))</f>
        <v>25054</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64" t="s">
        <v>1854</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37" t="s">
        <v>2732</v>
      </c>
      <c r="B123" s="3435" t="s">
        <v>2733</v>
      </c>
      <c r="C123" s="3435" t="s">
        <v>2739</v>
      </c>
      <c r="D123" s="3442" t="s">
        <v>2734</v>
      </c>
      <c r="E123" s="3443"/>
      <c r="F123" s="3433" t="s">
        <v>2740</v>
      </c>
      <c r="G123" s="3433"/>
      <c r="H123" s="3433" t="s">
        <v>2735</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37"/>
      <c r="B124" s="3436"/>
      <c r="C124" s="3436"/>
      <c r="D124" s="2062" t="s">
        <v>2736</v>
      </c>
      <c r="E124" s="2062" t="s">
        <v>2741</v>
      </c>
      <c r="F124" s="2062" t="s">
        <v>2736</v>
      </c>
      <c r="G124" s="2062" t="s">
        <v>2737</v>
      </c>
      <c r="H124" s="2062" t="s">
        <v>2736</v>
      </c>
      <c r="I124" s="52" t="s">
        <v>2737</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847.76</v>
      </c>
      <c r="C125" s="1426"/>
      <c r="D125" s="2062">
        <f>C36</f>
        <v>0</v>
      </c>
      <c r="E125" s="2062">
        <f>ROUND(IF(H19="元",D125/B125,D125*10000/B125),0)</f>
        <v>0</v>
      </c>
      <c r="F125" s="2062">
        <f>C37</f>
        <v>0</v>
      </c>
      <c r="G125" s="2062">
        <f>ROUND(IF(H19="元",F125/B125,F125*10000/B125),0)</f>
        <v>0</v>
      </c>
      <c r="H125" s="2062">
        <f ca="1">C34</f>
        <v>5738</v>
      </c>
      <c r="I125" s="52">
        <f ca="1">C35</f>
        <v>67684</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37" t="s">
        <v>2738</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 ca="1">IF(H19="元",NUMBERSTRING(INT(H125),2)&amp;"元整",NUMBERSTRING(INT(H125*10000),2)&amp;"元整")</f>
        <v>伍仟柒佰叁拾捌万元整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71" t="s">
        <v>2738</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44" t="str">
        <f>IF(项目基本情况!D5="房地产市场价值","——",MID(A116,3,LEN(A116)-2))</f>
        <v/>
      </c>
      <c r="B129" s="3445"/>
      <c r="C129" s="3445"/>
      <c r="D129" s="3461" t="str">
        <f>I112</f>
        <v>——</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37" t="s">
        <v>2738</v>
      </c>
      <c r="B130" s="3433"/>
      <c r="C130" s="3433"/>
      <c r="D130" s="3509" t="e">
        <f ca="1">I113</f>
        <v>#VALUE!</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44" t="str">
        <f>IF(项目基本情况!D5="房地产市场价值","——",MID(A118,3,LEN(A118)-2))</f>
        <v>抵押担保权已注销时的房地产抵押价值</v>
      </c>
      <c r="B131" s="3445"/>
      <c r="C131" s="3445"/>
      <c r="D131" s="3417">
        <f ca="1">I114</f>
        <v>5738</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37" t="s">
        <v>2738</v>
      </c>
      <c r="B132" s="3433"/>
      <c r="C132" s="3484"/>
      <c r="D132" s="3462">
        <f ca="1">I115</f>
        <v>67684</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44" t="str">
        <f>IF(项目基本情况!D5="房地产市场价值","——",MID(F116,3,LEN(F116)-2))</f>
        <v>抵押净值</v>
      </c>
      <c r="B133" s="3445"/>
      <c r="C133" s="3461"/>
      <c r="D133" s="3512">
        <f ca="1">I116</f>
        <v>2124</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500" t="s">
        <v>2738</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42" sqref="L42"/>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t="s">
        <v>3021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1810</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84986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12019661</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ROUND(基准地价修正!T2*基准地价修正!U2,0)+ROUND(基准地价修正!T3*基准地价修正!U3,0)</f>
        <v>11622571</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354488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42602</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42602</v>
      </c>
      <c r="D10" s="1143">
        <f>IF('数据-取费表'!B10&lt;&gt;"住宅",IF(B1="仅计算典型户型",'数据-取费表'!E5,'数据-取费表'!B5),0)</f>
        <v>213.01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213.01</v>
      </c>
      <c r="E19" s="111">
        <f>'数据-取费表'!E15</f>
        <v>200</v>
      </c>
      <c r="F19" s="112"/>
      <c r="G19" s="1488" t="s">
        <v>2998</v>
      </c>
    </row>
    <row r="20" spans="1:123" s="91" customFormat="1" ht="13.5" customHeight="1">
      <c r="A20" s="120" t="s">
        <v>1884</v>
      </c>
      <c r="B20" s="89" t="s">
        <v>1885</v>
      </c>
      <c r="C20" s="99">
        <f>ROUND((C5+C19)*F20,0)</f>
        <v>240393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1078912</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1068455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10457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2452011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2452011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17130589</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821686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745535</v>
      </c>
      <c r="D34" s="1138"/>
      <c r="E34" s="115"/>
      <c r="F34" s="1149" t="str">
        <f>IF('数据-取费表'!B26=0,"",'数据-取费表'!E20)</f>
        <v/>
      </c>
      <c r="G34" s="95"/>
    </row>
    <row r="35" spans="1:123" ht="13.5" customHeight="1">
      <c r="A35" s="92" t="s">
        <v>1867</v>
      </c>
      <c r="B35" s="93" t="s">
        <v>1916</v>
      </c>
      <c r="C35" s="115">
        <f>ROUND(C34*F35,0)</f>
        <v>22366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42602</v>
      </c>
      <c r="D37" s="1138">
        <f>IF(B1="仅计算典型户型",'数据-取费表'!E5,'数据-取费表'!B5)</f>
        <v>213.01</v>
      </c>
      <c r="E37" s="115">
        <f>'数据-取费表'!E23</f>
        <v>200</v>
      </c>
      <c r="F37" s="1150"/>
      <c r="G37" s="124" t="s">
        <v>1921</v>
      </c>
    </row>
    <row r="38" spans="1:123" ht="13.5" customHeight="1">
      <c r="A38" s="92" t="s">
        <v>1922</v>
      </c>
      <c r="B38" s="93" t="s">
        <v>1923</v>
      </c>
      <c r="C38" s="115">
        <f>ROUND(C34*F38,0)</f>
        <v>11183</v>
      </c>
      <c r="D38" s="115"/>
      <c r="E38" s="115"/>
      <c r="F38" s="1150">
        <f>'数据-取费表'!E24</f>
        <v>1.4999999999999999E-2</v>
      </c>
      <c r="G38" s="95" t="s">
        <v>1917</v>
      </c>
    </row>
    <row r="39" spans="1:123" s="91" customFormat="1" ht="13.5" customHeight="1">
      <c r="A39" s="120" t="s">
        <v>1882</v>
      </c>
      <c r="B39" s="89" t="s">
        <v>1885</v>
      </c>
      <c r="C39" s="99">
        <f>ROUND(C33*F20,0)</f>
        <v>16434</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36458</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35743</v>
      </c>
      <c r="D42" s="104"/>
      <c r="E42" s="104"/>
      <c r="F42" s="105"/>
      <c r="G42" s="3550" t="s">
        <v>1927</v>
      </c>
    </row>
    <row r="43" spans="1:123" ht="13.5" customHeight="1">
      <c r="A43" s="92" t="s">
        <v>1867</v>
      </c>
      <c r="B43" s="93" t="s">
        <v>1896</v>
      </c>
      <c r="C43" s="104">
        <f ca="1">ROUND(IF('数据-取费表'!B24&lt;=1,C39*F22*'数据-取费表'!B23/2,C39*(POWER((1+F22),'数据-取费表'!B23/2)-1)),0)</f>
        <v>715</v>
      </c>
      <c r="D43" s="104"/>
      <c r="E43" s="104"/>
      <c r="F43" s="105"/>
      <c r="G43" s="3551"/>
    </row>
    <row r="44" spans="1:123" ht="13.5" customHeight="1">
      <c r="A44" s="92" t="s">
        <v>1869</v>
      </c>
      <c r="B44" s="93" t="s">
        <v>1898</v>
      </c>
      <c r="C44" s="104">
        <f ca="1">ROUND(IF('数据-取费表'!B24&lt;=1,C40*F22*'数据-取费表'!B23/2,C40*(POWER((1+F22),'数据-取费表'!B23/2)-1)),4)</f>
        <v>8.9999999999999998E-4</v>
      </c>
      <c r="D44" s="104"/>
      <c r="E44" s="104"/>
      <c r="F44" s="105"/>
      <c r="G44" s="3552"/>
    </row>
    <row r="45" spans="1:123" s="91" customFormat="1" ht="13.5" customHeight="1">
      <c r="A45" s="120" t="s">
        <v>1891</v>
      </c>
      <c r="B45" s="110" t="s">
        <v>1903</v>
      </c>
      <c r="C45" s="111">
        <f>C46</f>
        <v>167624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167624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1130616</v>
      </c>
      <c r="D49" s="99"/>
      <c r="E49" s="99"/>
      <c r="F49" s="126"/>
      <c r="G49" s="100" t="s">
        <v>1935</v>
      </c>
    </row>
    <row r="50" spans="1:123" s="122" customFormat="1" ht="24">
      <c r="A50" s="994" t="s">
        <v>1936</v>
      </c>
      <c r="B50" s="89" t="s">
        <v>1937</v>
      </c>
      <c r="C50" s="99"/>
      <c r="D50" s="99"/>
      <c r="E50" s="99"/>
      <c r="F50" s="126">
        <f>IF('数据-取费表'!B26=0,'数据-取费表'!E20,1)</f>
        <v>0.86</v>
      </c>
      <c r="G50" s="113" t="s">
        <v>1938</v>
      </c>
    </row>
    <row r="51" spans="1:123" ht="16.5" customHeight="1">
      <c r="A51" s="994" t="s">
        <v>1939</v>
      </c>
      <c r="B51" s="89" t="s">
        <v>1940</v>
      </c>
      <c r="C51" s="99">
        <f ca="1">ROUND(C49*F50,0)</f>
        <v>972330</v>
      </c>
      <c r="D51" s="99"/>
      <c r="E51" s="99"/>
      <c r="F51" s="126"/>
      <c r="G51" s="100" t="s">
        <v>1941</v>
      </c>
    </row>
    <row r="52" spans="1:123" s="88" customFormat="1" ht="16.8" thickBot="1">
      <c r="A52" s="127" t="s">
        <v>1942</v>
      </c>
      <c r="B52" s="128"/>
      <c r="C52" s="129">
        <f ca="1">C31+C51</f>
        <v>18102919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5.3999999999999999E-2</v>
      </c>
    </row>
    <row r="57" spans="1:123">
      <c r="B57" s="135" t="s">
        <v>1945</v>
      </c>
      <c r="C57" s="137">
        <f ca="1">1-C56</f>
        <v>0.94599999999999995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492</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23084</v>
      </c>
      <c r="C3" s="1371" t="s">
        <v>1232</v>
      </c>
      <c r="D3" s="924"/>
      <c r="E3" s="924"/>
      <c r="F3" s="924"/>
      <c r="G3" s="924"/>
      <c r="H3" s="924"/>
      <c r="I3" s="924"/>
      <c r="J3" s="924"/>
      <c r="K3" s="924"/>
    </row>
    <row r="4" spans="1:33" s="143" customFormat="1" ht="16.5" customHeight="1">
      <c r="A4" s="140" t="s">
        <v>1233</v>
      </c>
      <c r="B4" s="141"/>
      <c r="C4" s="1094">
        <f>SUM(C8:K8)</f>
        <v>7455350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213.01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7455350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745535</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22366</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5964</v>
      </c>
      <c r="D14" s="164">
        <f>IF(C1="仅计算典型户型",'数据-取费表'!E5,'数据-取费表'!B5)</f>
        <v>213.01</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11183</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785048</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213.01</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42602</v>
      </c>
      <c r="D20" s="164">
        <f>IF('数据-取费表'!B10&lt;&gt;"住宅",IF(C1="仅计算典型户型",'数据-取费表'!E5,'数据-取费表'!B5),0)</f>
        <v>213.01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785048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15701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20875</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164325</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164325</v>
      </c>
      <c r="D30" s="193"/>
      <c r="E30" s="206"/>
      <c r="F30" s="203"/>
      <c r="G30" s="147"/>
      <c r="H30" s="170"/>
      <c r="I30" s="170"/>
      <c r="J30" s="170"/>
      <c r="K30" s="171"/>
    </row>
    <row r="31" spans="1:33" s="182" customFormat="1" ht="13.5" customHeight="1" thickBot="1">
      <c r="A31" s="1373" t="s">
        <v>1289</v>
      </c>
      <c r="B31" s="177" t="s">
        <v>1290</v>
      </c>
      <c r="C31" s="207">
        <f>ROUND(C4*F31/(1+'数据-取费表'!F30),0)</f>
        <v>397619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4917219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G39" sqref="G39"/>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3021</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1196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56160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665582</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664751</v>
      </c>
      <c r="D6" s="36" t="s">
        <v>2642</v>
      </c>
      <c r="E6" s="235" t="s">
        <v>1958</v>
      </c>
      <c r="F6" s="236">
        <f>'数据-取费表'!B30</f>
        <v>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213.01</v>
      </c>
      <c r="G7" s="951"/>
      <c r="H7" s="237"/>
      <c r="I7" s="238"/>
      <c r="J7" s="239"/>
      <c r="K7" s="240"/>
      <c r="L7" s="235" t="s">
        <v>1959</v>
      </c>
      <c r="M7" s="236">
        <f>IF('数据-取费表'!B42="",IF(D1="仅计算典型户型",'数据-取费表'!E5,'数据-取费表'!B5),'数据-取费表'!B42)</f>
        <v>213.01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831</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972330</v>
      </c>
      <c r="D13" s="1065" t="s">
        <v>1973</v>
      </c>
      <c r="E13" s="1065" t="s">
        <v>1974</v>
      </c>
      <c r="F13" s="1066">
        <f>'数据-取费表'!E20</f>
        <v>0.86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745535</v>
      </c>
      <c r="D14" s="1298" t="s">
        <v>1977</v>
      </c>
      <c r="E14" s="1299"/>
      <c r="F14" s="799"/>
      <c r="G14" s="952"/>
      <c r="H14" s="253" t="s">
        <v>1956</v>
      </c>
      <c r="I14" s="235" t="s">
        <v>1978</v>
      </c>
      <c r="J14" s="13">
        <f ca="1">C29</f>
        <v>1130616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22366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16959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42602</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11183</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821686</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16434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16959</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36458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-16959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167624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1130616</v>
      </c>
      <c r="D29" s="1076"/>
      <c r="E29" s="1074"/>
      <c r="F29" s="1077"/>
      <c r="G29" s="652"/>
      <c r="H29" s="271" t="s">
        <v>24</v>
      </c>
      <c r="I29" s="272" t="s">
        <v>2051</v>
      </c>
      <c r="J29" s="273">
        <f ca="1">ROUND(J26/(1+F40)^F41,0)</f>
        <v>0</v>
      </c>
      <c r="K29" s="274" t="s">
        <v>2052</v>
      </c>
      <c r="L29" s="275"/>
      <c r="M29" s="276">
        <f>IF(D1="仅计算典型户型",'数据-取费表'!E5,'数据-取费表'!B5)</f>
        <v>213.01</v>
      </c>
    </row>
    <row r="30" spans="1:37" ht="18" customHeight="1" thickTop="1">
      <c r="A30" s="1063" t="s">
        <v>14</v>
      </c>
      <c r="B30" s="1064" t="s">
        <v>2053</v>
      </c>
      <c r="C30" s="243">
        <f ca="1">ROUND(C31+C36+C37+C38,0)</f>
        <v>72718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44317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24</v>
      </c>
      <c r="G34" s="652"/>
      <c r="H34" s="931"/>
      <c r="I34" s="280" t="s">
        <v>2060</v>
      </c>
      <c r="J34" s="281">
        <f ca="1">ROUND(C13*J35,0)</f>
        <v>77786</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0.08</v>
      </c>
      <c r="K35" s="944"/>
      <c r="L35" s="943"/>
      <c r="M35" s="943"/>
    </row>
    <row r="36" spans="1:18" ht="18" customHeight="1">
      <c r="A36" s="1060" t="s">
        <v>1963</v>
      </c>
      <c r="B36" s="235" t="s">
        <v>2062</v>
      </c>
      <c r="C36" s="13">
        <f ca="1">ROUND(C29*F36,0)</f>
        <v>16959</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1458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9984</v>
      </c>
      <c r="D38" s="1076" t="s">
        <v>2028</v>
      </c>
      <c r="E38" s="1074" t="s">
        <v>2024</v>
      </c>
      <c r="F38" s="1069">
        <f>'数据-取费表'!B47</f>
        <v>1.4999999999999999E-2</v>
      </c>
      <c r="G38" s="652"/>
      <c r="H38" s="943"/>
      <c r="I38" s="280" t="s">
        <v>2066</v>
      </c>
      <c r="J38" s="136">
        <f ca="1">ROUND(J34/C39,3)</f>
        <v>0.13100000000000001</v>
      </c>
      <c r="K38" s="948"/>
      <c r="L38" s="943"/>
      <c r="M38" s="943"/>
    </row>
    <row r="39" spans="1:18" ht="18" customHeight="1" thickTop="1">
      <c r="A39" s="1063" t="s">
        <v>22</v>
      </c>
      <c r="B39" s="1078" t="s">
        <v>2067</v>
      </c>
      <c r="C39" s="243">
        <f ca="1">C5-C30</f>
        <v>592864</v>
      </c>
      <c r="D39" s="1079" t="s">
        <v>2068</v>
      </c>
      <c r="E39" s="1080"/>
      <c r="F39" s="1081"/>
      <c r="G39" s="652"/>
      <c r="H39" s="943"/>
      <c r="I39" s="280" t="s">
        <v>2069</v>
      </c>
      <c r="J39" s="136">
        <f ca="1">1-J38</f>
        <v>0.86899999999999999</v>
      </c>
      <c r="K39" s="948"/>
      <c r="L39" s="943"/>
      <c r="M39" s="943"/>
    </row>
    <row r="40" spans="1:18" s="652" customFormat="1" ht="18" customHeight="1">
      <c r="A40" s="232" t="s">
        <v>23</v>
      </c>
      <c r="B40" s="233" t="s">
        <v>2070</v>
      </c>
      <c r="C40" s="234">
        <f ca="1">ROUND(C39*(1-((1+F42)/(1+F40))^F41)/(F40-F42),0)</f>
        <v>11962554</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3000</v>
      </c>
      <c r="F41" s="270">
        <f>IF('数据-取费表'!B29="租赁期内按合同租金",'数据-取费表'!B35,IF(E41="收益年期(n)",'数据-取费表'!B34,'数据-取费表'!B13))</f>
        <v>27</v>
      </c>
      <c r="H41" s="950"/>
      <c r="I41" s="135" t="s">
        <v>1944</v>
      </c>
      <c r="J41" s="136">
        <f ca="1">ROUND(C13/C40,3)</f>
        <v>8.1000000000000003E-2</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0.91900000000000004</v>
      </c>
      <c r="K42" s="947"/>
      <c r="L42" s="950"/>
      <c r="M42" s="950"/>
      <c r="Q42" s="656"/>
    </row>
    <row r="43" spans="1:18" s="652" customFormat="1" ht="18" customHeight="1" thickBot="1">
      <c r="A43" s="271" t="s">
        <v>24</v>
      </c>
      <c r="B43" s="272" t="s">
        <v>2073</v>
      </c>
      <c r="C43" s="273">
        <f ca="1">ROUND(C40/F43,0)</f>
        <v>56160</v>
      </c>
      <c r="D43" s="274" t="s">
        <v>2074</v>
      </c>
      <c r="E43" s="275" t="s">
        <v>2075</v>
      </c>
      <c r="F43" s="276">
        <f>IF(D1="仅计算典型户型",'数据-取费表'!E5,'数据-取费表'!B5)</f>
        <v>213.01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11962554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2.2" thickBot="1">
      <c r="A47" s="1497" t="s">
        <v>2085</v>
      </c>
      <c r="C47" s="992">
        <f ca="1">IF(C2="元",C69-C40,ROUND((C69-C40)/10000,0))</f>
        <v>-1222</v>
      </c>
      <c r="D47" s="1498" t="str">
        <f>C2</f>
        <v>万元</v>
      </c>
      <c r="E47" s="649"/>
      <c r="F47" s="649"/>
      <c r="I47" s="1499" t="s">
        <v>2086</v>
      </c>
      <c r="J47" s="1023"/>
      <c r="K47" s="1024"/>
      <c r="L47" s="1037" t="str">
        <f>IF(M48="住宅",0,IF(L49&gt;J52,L61,J61))</f>
        <v>0</v>
      </c>
      <c r="O47" s="1051" t="s">
        <v>951</v>
      </c>
      <c r="P47" s="1048" t="s">
        <v>2087</v>
      </c>
      <c r="Q47" s="1049">
        <f ca="1">C29</f>
        <v>1130616</v>
      </c>
      <c r="R47" s="1050" t="s">
        <v>2082</v>
      </c>
    </row>
    <row r="48" spans="1:18" s="652" customFormat="1" ht="16.2" thickBot="1">
      <c r="A48" s="228" t="s">
        <v>2088</v>
      </c>
      <c r="B48" s="229" t="s">
        <v>2089</v>
      </c>
      <c r="C48" s="229" t="s">
        <v>2090</v>
      </c>
      <c r="D48" s="229" t="s">
        <v>2091</v>
      </c>
      <c r="E48" s="986" t="s">
        <v>2092</v>
      </c>
      <c r="F48" s="987"/>
      <c r="I48" s="1500" t="s">
        <v>2093</v>
      </c>
      <c r="J48" s="1501" t="s">
        <v>2984</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6.2" thickBot="1">
      <c r="A49" s="1098" t="s">
        <v>963</v>
      </c>
      <c r="B49" s="233" t="s">
        <v>2096</v>
      </c>
      <c r="C49" s="1099">
        <f ca="1">C50+C54+C56</f>
        <v>0</v>
      </c>
      <c r="D49" s="1100"/>
      <c r="E49" s="44"/>
      <c r="F49" s="15"/>
      <c r="I49" s="1503" t="s">
        <v>2097</v>
      </c>
      <c r="J49" s="1504" t="s">
        <v>2985</v>
      </c>
      <c r="K49" s="1505" t="s">
        <v>2098</v>
      </c>
      <c r="L49" s="863">
        <f>'数据-取费表'!B13</f>
        <v>27</v>
      </c>
      <c r="O49" s="1051" t="s">
        <v>953</v>
      </c>
      <c r="P49" s="1048" t="s">
        <v>2099</v>
      </c>
      <c r="Q49" s="1052">
        <f>J53</f>
        <v>0</v>
      </c>
      <c r="R49" s="1050"/>
    </row>
    <row r="50" spans="1:18" s="652" customFormat="1" ht="16.2"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6.2" thickBot="1">
      <c r="A51" s="237"/>
      <c r="B51" s="238"/>
      <c r="C51" s="239"/>
      <c r="D51" s="240"/>
      <c r="E51" s="255" t="s">
        <v>1959</v>
      </c>
      <c r="F51" s="985">
        <f>F7</f>
        <v>213.01</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1196</v>
      </c>
      <c r="R51" s="1050" t="s">
        <v>956</v>
      </c>
    </row>
    <row r="52" spans="1:18" s="652" customFormat="1" ht="16.2" thickBot="1">
      <c r="A52" s="237"/>
      <c r="B52" s="238"/>
      <c r="C52" s="239"/>
      <c r="D52" s="240"/>
      <c r="E52" s="235" t="s">
        <v>1961</v>
      </c>
      <c r="F52" s="236">
        <f>F8</f>
        <v>365</v>
      </c>
      <c r="I52" s="1508" t="s">
        <v>2108</v>
      </c>
      <c r="J52" s="1028">
        <f>IF(J50="",J51,J50+J51-YEAR('数据-取费表'!B2))</f>
        <v>49</v>
      </c>
      <c r="K52" s="1509" t="s">
        <v>2109</v>
      </c>
      <c r="L52" s="1029">
        <f ca="1">ROUND(-PV('数据-取费表'!B15,J52,(C40-C13*J35)),0)</f>
        <v>215931035</v>
      </c>
      <c r="O52" s="1041" t="s">
        <v>2110</v>
      </c>
      <c r="P52" s="1042"/>
      <c r="Q52" s="1038"/>
      <c r="R52" s="1042"/>
    </row>
    <row r="53" spans="1:18" s="652" customFormat="1" ht="16.2"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2651</v>
      </c>
      <c r="J54" s="1031">
        <f>IF(M48="住宅",IF(E1="——",MAX(J52,L49),MAX(J52,L49-'数据-取费表'!B26)),IF(E1="——",MIN(J52,L49),MIN(J52,L49-'数据-取费表'!B26)))</f>
        <v>27</v>
      </c>
      <c r="K54" s="3553" t="s">
        <v>2641</v>
      </c>
      <c r="L54" s="3554"/>
      <c r="O54" s="1047" t="s">
        <v>949</v>
      </c>
      <c r="P54" s="1048" t="s">
        <v>2081</v>
      </c>
      <c r="Q54" s="1049">
        <f ca="1">C40+J29</f>
        <v>11962554</v>
      </c>
      <c r="R54" s="1050" t="s">
        <v>2082</v>
      </c>
    </row>
    <row r="55" spans="1:18" s="652" customFormat="1" ht="19.2"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2"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972330</v>
      </c>
      <c r="D57" s="983"/>
      <c r="E57" s="984"/>
      <c r="F57" s="991"/>
      <c r="I57" s="1517" t="s">
        <v>2118</v>
      </c>
      <c r="J57" s="1035" t="s">
        <v>2986</v>
      </c>
      <c r="K57" s="1503" t="s">
        <v>2119</v>
      </c>
      <c r="L57" s="863" t="str">
        <f>IF(L49&lt;J52,"——",L49-J52)</f>
        <v>——</v>
      </c>
      <c r="O57" s="1051" t="s">
        <v>952</v>
      </c>
      <c r="P57" s="1048" t="s">
        <v>2120</v>
      </c>
      <c r="Q57" s="1052">
        <f>L53</f>
        <v>0</v>
      </c>
      <c r="R57" s="1050"/>
    </row>
    <row r="58" spans="1:18" s="652" customFormat="1" ht="31.8" thickBot="1">
      <c r="A58" s="990"/>
      <c r="B58" s="235" t="s">
        <v>2050</v>
      </c>
      <c r="C58" s="104">
        <f ca="1">C29</f>
        <v>1130616</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31.8" thickBot="1">
      <c r="A59" s="248" t="s">
        <v>14</v>
      </c>
      <c r="B59" s="249" t="s">
        <v>2053</v>
      </c>
      <c r="C59" s="250">
        <f ca="1">ROUND(C60+C65+C66+C67,0)</f>
        <v>18417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1196</v>
      </c>
      <c r="R60" s="1050" t="s">
        <v>956</v>
      </c>
    </row>
    <row r="61" spans="1:18" s="652" customFormat="1" ht="16.2"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6.2"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t="str">
        <f>IF(项目基本情况!B7="自然人","——",ROUND(F63*F64,0))</f>
        <v>——</v>
      </c>
      <c r="D63" s="261" t="s">
        <v>2134</v>
      </c>
      <c r="E63" s="235" t="s">
        <v>2135</v>
      </c>
      <c r="F63" s="262">
        <f t="shared" si="0"/>
        <v>24</v>
      </c>
      <c r="I63" s="1521" t="s">
        <v>2136</v>
      </c>
      <c r="J63" s="1293" t="s">
        <v>2137</v>
      </c>
      <c r="K63" s="1293" t="s">
        <v>2138</v>
      </c>
      <c r="L63" s="1293" t="s">
        <v>2139</v>
      </c>
      <c r="M63" s="1292" t="s">
        <v>2140</v>
      </c>
      <c r="O63" s="1047" t="s">
        <v>949</v>
      </c>
      <c r="P63" s="1048" t="s">
        <v>2081</v>
      </c>
      <c r="Q63" s="1049">
        <f ca="1">C40+J29</f>
        <v>11962554</v>
      </c>
      <c r="R63" s="1050" t="s">
        <v>2082</v>
      </c>
    </row>
    <row r="64" spans="1:18" s="652" customFormat="1" ht="19.2"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16959</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215931035</v>
      </c>
      <c r="R65" s="1054" t="s">
        <v>2144</v>
      </c>
    </row>
    <row r="66" spans="1:18" s="652" customFormat="1" ht="19.2" thickBot="1">
      <c r="A66" s="253" t="s">
        <v>20</v>
      </c>
      <c r="B66" s="235" t="s">
        <v>2022</v>
      </c>
      <c r="C66" s="13">
        <f ca="1">ROUND(C57*F66,0)</f>
        <v>1458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515078</v>
      </c>
      <c r="R66" s="1050"/>
    </row>
    <row r="67" spans="1:18" s="652" customFormat="1" ht="16.2" thickBot="1">
      <c r="A67" s="253" t="s">
        <v>21</v>
      </c>
      <c r="B67" s="235" t="s">
        <v>2005</v>
      </c>
      <c r="C67" s="13">
        <f ca="1">ROUND(C49*F67,0)</f>
        <v>0</v>
      </c>
      <c r="D67" s="1301" t="s">
        <v>2028</v>
      </c>
      <c r="E67" s="235" t="s">
        <v>2024</v>
      </c>
      <c r="F67" s="245">
        <f t="shared" si="0"/>
        <v>1.4999999999999999E-2</v>
      </c>
      <c r="O67" s="1051" t="s">
        <v>957</v>
      </c>
      <c r="P67" s="1055" t="s">
        <v>2147</v>
      </c>
      <c r="Q67" s="1049">
        <f ca="1">C39</f>
        <v>592864</v>
      </c>
      <c r="R67" s="1050" t="s">
        <v>2082</v>
      </c>
    </row>
    <row r="68" spans="1:18" ht="24.6" thickBot="1">
      <c r="A68" s="248" t="s">
        <v>22</v>
      </c>
      <c r="B68" s="41" t="s">
        <v>2032</v>
      </c>
      <c r="C68" s="250">
        <f ca="1">C49-C59</f>
        <v>-18417</v>
      </c>
      <c r="D68" s="1298" t="s">
        <v>2033</v>
      </c>
      <c r="E68" s="1300"/>
      <c r="F68" s="268"/>
      <c r="H68" s="652"/>
      <c r="I68" s="652"/>
      <c r="J68" s="652"/>
      <c r="K68" s="652"/>
      <c r="L68" s="652"/>
      <c r="M68" s="652"/>
      <c r="O68" s="1051" t="s">
        <v>958</v>
      </c>
      <c r="P68" s="1055" t="s">
        <v>2148</v>
      </c>
      <c r="Q68" s="1049">
        <f ca="1">C13</f>
        <v>972330</v>
      </c>
      <c r="R68" s="1050" t="s">
        <v>2082</v>
      </c>
    </row>
    <row r="69" spans="1:18" ht="16.2" thickBot="1">
      <c r="A69" s="232" t="s">
        <v>23</v>
      </c>
      <c r="B69" s="233" t="s">
        <v>2070</v>
      </c>
      <c r="C69" s="234">
        <f ca="1">ROUND(C68*(1-((1+F71)/(1+F69))^F70)/(F69-F71),0)</f>
        <v>-255961</v>
      </c>
      <c r="D69" s="261" t="s">
        <v>2038</v>
      </c>
      <c r="E69" s="235" t="s">
        <v>2039</v>
      </c>
      <c r="F69" s="245">
        <f>F40</f>
        <v>5.5E-2</v>
      </c>
      <c r="H69" s="652"/>
      <c r="I69" s="652"/>
      <c r="J69" s="652"/>
      <c r="K69" s="652"/>
      <c r="L69" s="652"/>
      <c r="M69" s="652"/>
      <c r="O69" s="1051" t="s">
        <v>959</v>
      </c>
      <c r="P69" s="1055" t="s">
        <v>2149</v>
      </c>
      <c r="Q69" s="1052">
        <f>J35</f>
        <v>0.08</v>
      </c>
      <c r="R69" s="1050"/>
    </row>
    <row r="70" spans="1:18" ht="16.2"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-1202</v>
      </c>
      <c r="D72" s="274" t="s">
        <v>2074</v>
      </c>
      <c r="E72" s="275" t="s">
        <v>2075</v>
      </c>
      <c r="F72" s="276">
        <f>F43</f>
        <v>213.01</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收益价值(万元)</v>
      </c>
      <c r="Q73" s="1049">
        <f ca="1">ROUND(IF(C2="元",Q63+Q64,(Q63+Q64)/10000),0)</f>
        <v>1196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2974</v>
      </c>
      <c r="B1" s="3135"/>
      <c r="C1" s="3141"/>
      <c r="D1" s="3141"/>
      <c r="E1" s="3136"/>
      <c r="F1" s="3137"/>
      <c r="G1" s="3230"/>
      <c r="J1" s="3233" t="s">
        <v>2830</v>
      </c>
      <c r="K1" s="3234"/>
      <c r="L1" s="3234"/>
      <c r="M1" s="3234"/>
      <c r="N1" s="3234"/>
      <c r="O1" s="3234"/>
      <c r="P1" s="3234"/>
      <c r="Q1" s="3234"/>
      <c r="R1" s="3235"/>
      <c r="S1" s="3236"/>
      <c r="T1" s="3236"/>
      <c r="U1" s="3236"/>
    </row>
    <row r="2" spans="1:23" s="3144" customFormat="1" ht="13.2" customHeight="1">
      <c r="A2" s="3139" t="s">
        <v>2831</v>
      </c>
      <c r="B2" s="3140" t="e">
        <f>C40</f>
        <v>#DIV/0!</v>
      </c>
      <c r="C2" s="3141" t="s">
        <v>2832</v>
      </c>
      <c r="D2" s="3141"/>
      <c r="E2" s="3142"/>
      <c r="F2" s="3143"/>
      <c r="G2" s="3237"/>
      <c r="H2" s="3238"/>
      <c r="I2" s="3239"/>
      <c r="J2" s="3561" t="s">
        <v>2833</v>
      </c>
      <c r="K2" s="3562"/>
      <c r="L2" s="3240" t="s">
        <v>2834</v>
      </c>
      <c r="M2" s="3240" t="s">
        <v>2835</v>
      </c>
      <c r="N2" s="3240" t="s">
        <v>2836</v>
      </c>
      <c r="O2" s="3240" t="s">
        <v>2837</v>
      </c>
      <c r="P2" s="3240" t="s">
        <v>2838</v>
      </c>
      <c r="Q2" s="3241" t="s">
        <v>2839</v>
      </c>
      <c r="R2" s="3242" t="s">
        <v>2840</v>
      </c>
      <c r="S2" s="3236"/>
      <c r="T2" s="3236"/>
      <c r="U2" s="3236"/>
      <c r="V2" s="3239"/>
      <c r="W2" s="3238"/>
    </row>
    <row r="3" spans="1:23" s="3144" customFormat="1" ht="13.2" customHeight="1">
      <c r="A3" s="3146" t="s">
        <v>2841</v>
      </c>
      <c r="B3" s="3147" t="e">
        <f>ROUND(B2*10000/B4,0)</f>
        <v>#DIV/0!</v>
      </c>
      <c r="C3" s="3141" t="s">
        <v>2842</v>
      </c>
      <c r="D3" s="3141"/>
      <c r="E3" s="3142"/>
      <c r="F3" s="3143"/>
      <c r="G3" s="3237"/>
      <c r="H3" s="3238"/>
      <c r="I3" s="3239"/>
      <c r="J3" s="3563" t="s">
        <v>2843</v>
      </c>
      <c r="K3" s="3564"/>
      <c r="L3" s="3243"/>
      <c r="M3" s="3243"/>
      <c r="N3" s="3243"/>
      <c r="O3" s="3243"/>
      <c r="P3" s="3243"/>
      <c r="Q3" s="3244"/>
      <c r="R3" s="3245">
        <f>SUM(L3:Q3)</f>
        <v>0</v>
      </c>
      <c r="S3" s="3236"/>
      <c r="T3" s="3236"/>
      <c r="U3" s="3236"/>
      <c r="V3" s="3239"/>
      <c r="W3" s="3238"/>
    </row>
    <row r="4" spans="1:23" s="3144" customFormat="1" ht="13.2" customHeight="1">
      <c r="A4" s="3148" t="s">
        <v>2844</v>
      </c>
      <c r="B4" s="3205"/>
      <c r="C4" s="3141"/>
      <c r="D4" s="3141"/>
      <c r="E4" s="3142"/>
      <c r="F4" s="3143"/>
      <c r="G4" s="3237"/>
      <c r="H4" s="3238"/>
      <c r="I4" s="3239"/>
      <c r="J4" s="3563" t="s">
        <v>2845</v>
      </c>
      <c r="K4" s="3564"/>
      <c r="L4" s="3246"/>
      <c r="M4" s="3246"/>
      <c r="N4" s="3246"/>
      <c r="O4" s="3246"/>
      <c r="P4" s="3246"/>
      <c r="Q4" s="3247"/>
      <c r="R4" s="3248">
        <f>SUM(L4:Q4)</f>
        <v>0</v>
      </c>
      <c r="S4" s="3236"/>
      <c r="T4" s="3236"/>
      <c r="U4" s="3236"/>
      <c r="V4" s="3239"/>
      <c r="W4" s="3238"/>
    </row>
    <row r="5" spans="1:23" s="3144" customFormat="1" ht="13.2" customHeight="1" thickBot="1">
      <c r="A5" s="3149" t="s">
        <v>2846</v>
      </c>
      <c r="B5" s="3206"/>
      <c r="C5" s="3141"/>
      <c r="D5" s="3150"/>
      <c r="E5" s="3143"/>
      <c r="F5" s="3143"/>
      <c r="G5" s="3237"/>
      <c r="H5" s="3238"/>
      <c r="I5" s="3239"/>
      <c r="J5" s="3249" t="s">
        <v>2847</v>
      </c>
      <c r="K5" s="3250"/>
      <c r="L5" s="3250"/>
      <c r="M5" s="3251"/>
      <c r="N5" s="3251"/>
      <c r="O5" s="3251"/>
      <c r="P5" s="3251"/>
      <c r="Q5" s="3251"/>
      <c r="R5" s="3242">
        <f>SUM(R14,R19,R24,R25,R27,R28)</f>
        <v>0</v>
      </c>
      <c r="S5" s="3236"/>
      <c r="T5" s="3236" t="s">
        <v>2848</v>
      </c>
      <c r="U5" s="3236" t="e">
        <f>ROUND(R5*10000/365/R3,1)</f>
        <v>#DIV/0!</v>
      </c>
      <c r="V5" s="3239"/>
      <c r="W5" s="3238"/>
    </row>
    <row r="6" spans="1:23" s="3144" customFormat="1" ht="13.2" customHeight="1" thickBot="1">
      <c r="A6" s="3569" t="s">
        <v>2849</v>
      </c>
      <c r="B6" s="3570"/>
      <c r="C6" s="3571"/>
      <c r="D6" s="3207"/>
      <c r="E6" s="3151"/>
      <c r="F6" s="3152"/>
      <c r="G6" s="3252"/>
      <c r="H6" s="3238"/>
      <c r="I6" s="3239"/>
      <c r="J6" s="3555">
        <v>1</v>
      </c>
      <c r="K6" s="3556" t="s">
        <v>2850</v>
      </c>
      <c r="L6" s="3253" t="s">
        <v>2851</v>
      </c>
      <c r="M6" s="3254" t="s">
        <v>2852</v>
      </c>
      <c r="N6" s="3254" t="s">
        <v>2853</v>
      </c>
      <c r="O6" s="3254" t="s">
        <v>2854</v>
      </c>
      <c r="P6" s="3254" t="s">
        <v>2855</v>
      </c>
      <c r="Q6" s="3254" t="s">
        <v>2856</v>
      </c>
      <c r="R6" s="3245" t="s">
        <v>2857</v>
      </c>
      <c r="S6" s="3236"/>
      <c r="T6" s="3236" t="s">
        <v>2858</v>
      </c>
      <c r="U6" s="3236"/>
      <c r="V6" s="3239"/>
      <c r="W6" s="3238"/>
    </row>
    <row r="7" spans="1:23" s="3144" customFormat="1" ht="13.2" customHeight="1">
      <c r="A7" s="3154" t="s">
        <v>2859</v>
      </c>
      <c r="B7" s="3155"/>
      <c r="C7" s="3156"/>
      <c r="D7" s="3157">
        <f>SUM(D9,D10,D11,D17,0)</f>
        <v>0</v>
      </c>
      <c r="E7" s="3158" t="e">
        <f>E9+E10+E11+E17</f>
        <v>#DIV/0!</v>
      </c>
      <c r="F7" s="3159"/>
      <c r="G7" s="3255"/>
      <c r="H7" s="3238"/>
      <c r="I7" s="3239"/>
      <c r="J7" s="3555"/>
      <c r="K7" s="3557"/>
      <c r="L7" s="3256" t="s">
        <v>2959</v>
      </c>
      <c r="M7" s="3257"/>
      <c r="N7" s="3257"/>
      <c r="O7" s="3258"/>
      <c r="P7" s="3258"/>
      <c r="Q7" s="3259">
        <v>365</v>
      </c>
      <c r="R7" s="3260">
        <f>ROUND(M7*N7*O7*P7*Q7/10000,0)</f>
        <v>0</v>
      </c>
      <c r="S7" s="3236"/>
      <c r="T7" s="3236" t="s">
        <v>2860</v>
      </c>
      <c r="U7" s="3236"/>
      <c r="V7" s="3239"/>
      <c r="W7" s="3238"/>
    </row>
    <row r="8" spans="1:23" s="3144" customFormat="1" ht="13.2" customHeight="1">
      <c r="A8" s="3160" t="s">
        <v>2861</v>
      </c>
      <c r="B8" s="3572" t="s">
        <v>2862</v>
      </c>
      <c r="C8" s="3573"/>
      <c r="D8" s="3161" t="s">
        <v>2863</v>
      </c>
      <c r="E8" s="3162" t="s">
        <v>2864</v>
      </c>
      <c r="F8" s="3145" t="s">
        <v>2865</v>
      </c>
      <c r="G8" s="3315" t="s">
        <v>2973</v>
      </c>
      <c r="H8" s="3238"/>
      <c r="I8" s="3239"/>
      <c r="J8" s="3555"/>
      <c r="K8" s="3557"/>
      <c r="L8" s="3256" t="s">
        <v>2960</v>
      </c>
      <c r="M8" s="3257"/>
      <c r="N8" s="3257"/>
      <c r="O8" s="3258"/>
      <c r="P8" s="3258"/>
      <c r="Q8" s="3259">
        <v>365</v>
      </c>
      <c r="R8" s="3260">
        <f t="shared" ref="R8:R13" si="0">ROUND(M8*N8*O8*P8*Q8/10000,0)</f>
        <v>0</v>
      </c>
      <c r="S8" s="3236"/>
      <c r="T8" s="3236" t="s">
        <v>2866</v>
      </c>
      <c r="U8" s="3236"/>
      <c r="V8" s="3239"/>
      <c r="W8" s="3238"/>
    </row>
    <row r="9" spans="1:23" s="3144" customFormat="1" ht="13.2" customHeight="1">
      <c r="A9" s="3160">
        <v>1</v>
      </c>
      <c r="B9" s="3572" t="s">
        <v>2867</v>
      </c>
      <c r="C9" s="3573"/>
      <c r="D9" s="3161">
        <f>ROUND(D6*E9,0)</f>
        <v>0</v>
      </c>
      <c r="E9" s="3208"/>
      <c r="F9" s="3163" t="s">
        <v>2868</v>
      </c>
      <c r="G9" s="3261" t="s">
        <v>2971</v>
      </c>
      <c r="H9" s="3238"/>
      <c r="I9" s="3239"/>
      <c r="J9" s="3555"/>
      <c r="K9" s="3557"/>
      <c r="L9" s="3256" t="s">
        <v>2961</v>
      </c>
      <c r="M9" s="3257"/>
      <c r="N9" s="3257"/>
      <c r="O9" s="3258"/>
      <c r="P9" s="3258"/>
      <c r="Q9" s="3259">
        <v>365</v>
      </c>
      <c r="R9" s="3260">
        <f t="shared" si="0"/>
        <v>0</v>
      </c>
      <c r="S9" s="3236"/>
      <c r="T9" s="3236"/>
      <c r="U9" s="3236"/>
      <c r="V9" s="3239"/>
      <c r="W9" s="3238"/>
    </row>
    <row r="10" spans="1:23" s="3144" customFormat="1" ht="13.2" customHeight="1">
      <c r="A10" s="3160">
        <v>2</v>
      </c>
      <c r="B10" s="3572" t="s">
        <v>2869</v>
      </c>
      <c r="C10" s="3573"/>
      <c r="D10" s="3161">
        <f>ROUND(D6*E10,0)</f>
        <v>0</v>
      </c>
      <c r="E10" s="3208"/>
      <c r="F10" s="3163" t="s">
        <v>2870</v>
      </c>
      <c r="G10" s="3261" t="s">
        <v>2972</v>
      </c>
      <c r="H10" s="3238"/>
      <c r="I10" s="3239"/>
      <c r="J10" s="3555"/>
      <c r="K10" s="3557"/>
      <c r="L10" s="3256" t="s">
        <v>2962</v>
      </c>
      <c r="M10" s="3257"/>
      <c r="N10" s="3257"/>
      <c r="O10" s="3258"/>
      <c r="P10" s="3258"/>
      <c r="Q10" s="3259">
        <v>365</v>
      </c>
      <c r="R10" s="3260">
        <f t="shared" si="0"/>
        <v>0</v>
      </c>
      <c r="S10" s="3236"/>
      <c r="T10" s="3236"/>
      <c r="U10" s="3236"/>
      <c r="V10" s="3239"/>
      <c r="W10" s="3238"/>
    </row>
    <row r="11" spans="1:23" s="3144" customFormat="1" ht="13.2" customHeight="1">
      <c r="A11" s="3160">
        <v>3</v>
      </c>
      <c r="B11" s="3572" t="s">
        <v>2871</v>
      </c>
      <c r="C11" s="3573"/>
      <c r="D11" s="3161">
        <f>D12+D14+D15+D16</f>
        <v>0</v>
      </c>
      <c r="E11" s="3164" t="e">
        <f>D11/D6</f>
        <v>#DIV/0!</v>
      </c>
      <c r="F11" s="3145"/>
      <c r="G11" s="3261"/>
      <c r="H11" s="3238"/>
      <c r="I11" s="3239"/>
      <c r="J11" s="3555"/>
      <c r="K11" s="3557"/>
      <c r="L11" s="3256" t="s">
        <v>2963</v>
      </c>
      <c r="M11" s="3257"/>
      <c r="N11" s="3257"/>
      <c r="O11" s="3258"/>
      <c r="P11" s="3258"/>
      <c r="Q11" s="3259">
        <v>365</v>
      </c>
      <c r="R11" s="3260">
        <f t="shared" si="0"/>
        <v>0</v>
      </c>
      <c r="S11" s="3236"/>
      <c r="T11" s="3236"/>
      <c r="U11" s="3236"/>
      <c r="V11" s="3239"/>
      <c r="W11" s="3238"/>
    </row>
    <row r="12" spans="1:23" s="3144" customFormat="1" ht="13.2" customHeight="1">
      <c r="A12" s="3165" t="s">
        <v>2872</v>
      </c>
      <c r="B12" s="3565" t="s">
        <v>2873</v>
      </c>
      <c r="C12" s="3566"/>
      <c r="D12" s="3166">
        <f>ROUND(D13*1.2%*(1-30%),0)</f>
        <v>0</v>
      </c>
      <c r="E12" s="3167">
        <v>1.2E-2</v>
      </c>
      <c r="F12" s="3145" t="s">
        <v>2874</v>
      </c>
      <c r="G12" s="3261"/>
      <c r="H12" s="3238"/>
      <c r="I12" s="3239"/>
      <c r="J12" s="3555"/>
      <c r="K12" s="3557"/>
      <c r="L12" s="3256" t="s">
        <v>2964</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2875</v>
      </c>
      <c r="D13" s="3209"/>
      <c r="E13" s="3170"/>
      <c r="F13" s="3145"/>
      <c r="G13" s="3261"/>
      <c r="H13" s="3238"/>
      <c r="I13" s="3239"/>
      <c r="J13" s="3555"/>
      <c r="K13" s="3557"/>
      <c r="L13" s="3256" t="s">
        <v>2965</v>
      </c>
      <c r="M13" s="3257"/>
      <c r="N13" s="3257"/>
      <c r="O13" s="3258"/>
      <c r="P13" s="3258"/>
      <c r="Q13" s="3259">
        <v>365</v>
      </c>
      <c r="R13" s="3260">
        <f t="shared" si="0"/>
        <v>0</v>
      </c>
      <c r="S13" s="3236"/>
      <c r="T13" s="3236"/>
      <c r="U13" s="3236"/>
      <c r="V13" s="3239"/>
      <c r="W13" s="3238"/>
    </row>
    <row r="14" spans="1:23" s="3144" customFormat="1" ht="13.2" customHeight="1">
      <c r="A14" s="3165" t="s">
        <v>2876</v>
      </c>
      <c r="B14" s="3565" t="s">
        <v>2877</v>
      </c>
      <c r="C14" s="3566"/>
      <c r="D14" s="3166">
        <f>ROUND(E14*B5/10000,0)</f>
        <v>0</v>
      </c>
      <c r="E14" s="3210"/>
      <c r="F14" s="3145" t="s">
        <v>2878</v>
      </c>
      <c r="G14" s="3261"/>
      <c r="H14" s="3238"/>
      <c r="I14" s="3239"/>
      <c r="J14" s="3555"/>
      <c r="K14" s="3558"/>
      <c r="L14" s="3262" t="s">
        <v>2879</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2880</v>
      </c>
      <c r="B15" s="3565" t="s">
        <v>2881</v>
      </c>
      <c r="C15" s="3566"/>
      <c r="D15" s="3166">
        <f>ROUND(D6*E15,0)</f>
        <v>0</v>
      </c>
      <c r="E15" s="3167">
        <v>5.5E-2</v>
      </c>
      <c r="F15" s="3145" t="s">
        <v>2882</v>
      </c>
      <c r="G15" s="3261"/>
      <c r="H15" s="3238"/>
      <c r="I15" s="3239"/>
      <c r="J15" s="3555">
        <v>2</v>
      </c>
      <c r="K15" s="3556" t="s">
        <v>2883</v>
      </c>
      <c r="L15" s="3266" t="s">
        <v>2884</v>
      </c>
      <c r="M15" s="3267" t="s">
        <v>2885</v>
      </c>
      <c r="N15" s="3267" t="s">
        <v>2886</v>
      </c>
      <c r="O15" s="3268" t="s">
        <v>2887</v>
      </c>
      <c r="P15" s="3268" t="s">
        <v>2888</v>
      </c>
      <c r="Q15" s="3205" t="s">
        <v>2889</v>
      </c>
      <c r="R15" s="3269" t="s">
        <v>2890</v>
      </c>
      <c r="S15" s="3236"/>
      <c r="T15" s="3236"/>
      <c r="U15" s="3236"/>
      <c r="V15" s="3239"/>
      <c r="W15" s="3238"/>
    </row>
    <row r="16" spans="1:23" s="3144" customFormat="1" ht="13.2" customHeight="1">
      <c r="A16" s="3165" t="s">
        <v>2891</v>
      </c>
      <c r="B16" s="3565" t="s">
        <v>2892</v>
      </c>
      <c r="C16" s="3566"/>
      <c r="D16" s="3211">
        <f>D6*E16</f>
        <v>0</v>
      </c>
      <c r="E16" s="3212"/>
      <c r="F16" s="3163" t="s">
        <v>2893</v>
      </c>
      <c r="G16" s="3261"/>
      <c r="H16" s="3238"/>
      <c r="I16" s="3239"/>
      <c r="J16" s="3555"/>
      <c r="K16" s="3557"/>
      <c r="L16" s="3256" t="s">
        <v>2966</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567" t="s">
        <v>2894</v>
      </c>
      <c r="C17" s="3568"/>
      <c r="D17" s="3172">
        <f>ROUND(D6*E17,0)</f>
        <v>0</v>
      </c>
      <c r="E17" s="3213"/>
      <c r="F17" s="3173" t="s">
        <v>2895</v>
      </c>
      <c r="G17" s="3314">
        <v>0.1</v>
      </c>
      <c r="H17" s="3238"/>
      <c r="I17" s="3239"/>
      <c r="J17" s="3555"/>
      <c r="K17" s="3557"/>
      <c r="L17" s="3256" t="s">
        <v>2967</v>
      </c>
      <c r="M17" s="3257"/>
      <c r="N17" s="3257"/>
      <c r="O17" s="3258"/>
      <c r="P17" s="3259">
        <v>365</v>
      </c>
      <c r="Q17" s="3257"/>
      <c r="R17" s="3270">
        <f>ROUND(M17*N17*O17*P17/10000,0)</f>
        <v>0</v>
      </c>
      <c r="S17" s="3236"/>
      <c r="T17" s="3236"/>
      <c r="U17" s="3236"/>
      <c r="V17" s="3239"/>
      <c r="W17" s="3238"/>
    </row>
    <row r="18" spans="1:23" s="3144" customFormat="1" ht="13.2" customHeight="1" thickBot="1">
      <c r="A18" s="3154" t="s">
        <v>2896</v>
      </c>
      <c r="B18" s="3155"/>
      <c r="C18" s="3155"/>
      <c r="D18" s="3174">
        <f>ROUND(D6*E18,0)</f>
        <v>0</v>
      </c>
      <c r="E18" s="3214"/>
      <c r="F18" s="3175" t="s">
        <v>2897</v>
      </c>
      <c r="G18" s="3314">
        <v>0.05</v>
      </c>
      <c r="H18" s="3238"/>
      <c r="I18" s="3239"/>
      <c r="J18" s="3555"/>
      <c r="K18" s="3557"/>
      <c r="L18" s="3256" t="s">
        <v>2968</v>
      </c>
      <c r="M18" s="3257"/>
      <c r="N18" s="3257"/>
      <c r="O18" s="3258"/>
      <c r="P18" s="3259">
        <v>365</v>
      </c>
      <c r="Q18" s="3257"/>
      <c r="R18" s="3270">
        <f>ROUND(M18*N18*O18*P18/10000,0)</f>
        <v>0</v>
      </c>
      <c r="S18" s="3236"/>
      <c r="T18" s="3236"/>
      <c r="U18" s="3236"/>
      <c r="V18" s="3239"/>
      <c r="W18" s="3238"/>
    </row>
    <row r="19" spans="1:23" s="3144" customFormat="1" ht="13.2" customHeight="1" thickBot="1">
      <c r="A19" s="3176" t="s">
        <v>2898</v>
      </c>
      <c r="B19" s="3151"/>
      <c r="C19" s="3151"/>
      <c r="D19" s="3151"/>
      <c r="E19" s="3151"/>
      <c r="F19" s="3152"/>
      <c r="G19" s="3261"/>
      <c r="H19" s="3238"/>
      <c r="I19" s="3239"/>
      <c r="J19" s="3555"/>
      <c r="K19" s="3558"/>
      <c r="L19" s="3262" t="s">
        <v>2879</v>
      </c>
      <c r="M19" s="3263"/>
      <c r="N19" s="3263">
        <f>SUM(N16:N18)</f>
        <v>0</v>
      </c>
      <c r="O19" s="3264"/>
      <c r="P19" s="3271" t="s">
        <v>2969</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555">
        <v>3</v>
      </c>
      <c r="K20" s="3556" t="s">
        <v>2899</v>
      </c>
      <c r="L20" s="3266" t="s">
        <v>2900</v>
      </c>
      <c r="M20" s="3267" t="s">
        <v>2901</v>
      </c>
      <c r="N20" s="3273" t="s">
        <v>2902</v>
      </c>
      <c r="O20" s="3268" t="s">
        <v>2903</v>
      </c>
      <c r="P20" s="3210" t="s">
        <v>2888</v>
      </c>
      <c r="Q20" s="3205" t="s">
        <v>2889</v>
      </c>
      <c r="R20" s="3269" t="s">
        <v>2890</v>
      </c>
      <c r="S20" s="3274"/>
      <c r="T20" s="3274"/>
      <c r="U20" s="3274"/>
      <c r="V20" s="3239"/>
      <c r="W20" s="3238"/>
    </row>
    <row r="21" spans="1:23" s="3144" customFormat="1" ht="13.2" customHeight="1">
      <c r="A21" s="3154"/>
      <c r="B21" s="3155"/>
      <c r="C21" s="3178" t="s">
        <v>2904</v>
      </c>
      <c r="D21" s="3179" t="s">
        <v>2905</v>
      </c>
      <c r="E21" s="3180" t="s">
        <v>2906</v>
      </c>
      <c r="F21" s="3177"/>
      <c r="G21" s="3261"/>
      <c r="H21" s="3238"/>
      <c r="I21" s="3239"/>
      <c r="J21" s="3555"/>
      <c r="K21" s="3557"/>
      <c r="L21" s="3266" t="s">
        <v>2907</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2908</v>
      </c>
      <c r="D22" s="3216" t="s">
        <v>2909</v>
      </c>
      <c r="E22" s="3217" t="s">
        <v>2910</v>
      </c>
      <c r="F22" s="3177"/>
      <c r="G22" s="3276"/>
      <c r="H22" s="3238"/>
      <c r="I22" s="3239"/>
      <c r="J22" s="3555"/>
      <c r="K22" s="3557"/>
      <c r="L22" s="3266" t="s">
        <v>2911</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2912</v>
      </c>
      <c r="C23" s="3182">
        <f>D6</f>
        <v>0</v>
      </c>
      <c r="D23" s="3183">
        <f>C23*(1+D24)</f>
        <v>0</v>
      </c>
      <c r="E23" s="3184">
        <f>D23*(1+E24)</f>
        <v>0</v>
      </c>
      <c r="F23" s="3185"/>
      <c r="G23" s="3277"/>
      <c r="H23" s="3238"/>
      <c r="I23" s="3239"/>
      <c r="J23" s="3555"/>
      <c r="K23" s="3557"/>
      <c r="L23" s="3266" t="s">
        <v>2913</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2914</v>
      </c>
      <c r="C24" s="3188"/>
      <c r="D24" s="3218"/>
      <c r="E24" s="3219"/>
      <c r="F24" s="3189"/>
      <c r="G24" s="3277"/>
      <c r="H24" s="3238"/>
      <c r="I24" s="3239"/>
      <c r="J24" s="3555"/>
      <c r="K24" s="3558"/>
      <c r="L24" s="3262" t="s">
        <v>2879</v>
      </c>
      <c r="M24" s="3263">
        <f>SUM(M21:M23)</f>
        <v>0</v>
      </c>
      <c r="N24" s="3263"/>
      <c r="O24" s="3264"/>
      <c r="P24" s="3271" t="s">
        <v>2969</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2915</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2916</v>
      </c>
      <c r="C26" s="3182">
        <f>D7</f>
        <v>0</v>
      </c>
      <c r="D26" s="3183">
        <f>D23*D27</f>
        <v>0</v>
      </c>
      <c r="E26" s="3184">
        <f>E23*E27</f>
        <v>0</v>
      </c>
      <c r="F26" s="3185"/>
      <c r="G26" s="3277"/>
      <c r="H26" s="3238"/>
      <c r="I26" s="3239"/>
      <c r="J26" s="3559">
        <v>5</v>
      </c>
      <c r="K26" s="3285" t="s">
        <v>2917</v>
      </c>
      <c r="L26" s="3286"/>
      <c r="M26" s="3287"/>
      <c r="N26" s="3288" t="s">
        <v>2918</v>
      </c>
      <c r="O26" s="3288" t="s">
        <v>2919</v>
      </c>
      <c r="P26" s="3289" t="s">
        <v>2920</v>
      </c>
      <c r="Q26" s="3289" t="s">
        <v>2921</v>
      </c>
      <c r="R26" s="3245" t="s">
        <v>2890</v>
      </c>
      <c r="S26" s="3290"/>
      <c r="T26" s="3290"/>
      <c r="U26" s="3290"/>
      <c r="V26" s="3283"/>
      <c r="W26" s="3284"/>
    </row>
    <row r="27" spans="1:23" s="3144" customFormat="1" ht="13.2" customHeight="1">
      <c r="A27" s="3186"/>
      <c r="B27" s="3187" t="s">
        <v>2922</v>
      </c>
      <c r="C27" s="3191" t="e">
        <f>E7</f>
        <v>#DIV/0!</v>
      </c>
      <c r="D27" s="3218"/>
      <c r="E27" s="3219"/>
      <c r="F27" s="3189"/>
      <c r="G27" s="3277"/>
      <c r="H27" s="3284"/>
      <c r="I27" s="3283"/>
      <c r="J27" s="3560"/>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2923</v>
      </c>
      <c r="F28" s="3189"/>
      <c r="G28" s="3276"/>
      <c r="H28" s="3284"/>
      <c r="I28" s="3283"/>
      <c r="J28" s="3296">
        <v>6</v>
      </c>
      <c r="K28" s="3297" t="s">
        <v>2924</v>
      </c>
      <c r="L28" s="3298" t="s">
        <v>2925</v>
      </c>
      <c r="M28" s="3299"/>
      <c r="N28" s="3298" t="s">
        <v>2926</v>
      </c>
      <c r="O28" s="3300"/>
      <c r="P28" s="3298" t="s">
        <v>2927</v>
      </c>
      <c r="Q28" s="3301">
        <v>1.4999999999999999E-2</v>
      </c>
      <c r="R28" s="3302"/>
      <c r="S28" s="3274"/>
      <c r="T28" s="3274"/>
      <c r="U28" s="3274"/>
      <c r="V28" s="3283"/>
      <c r="W28" s="3284"/>
    </row>
    <row r="29" spans="1:23" s="3190" customFormat="1" ht="13.2" customHeight="1">
      <c r="A29" s="3181">
        <v>3</v>
      </c>
      <c r="B29" s="3153" t="s">
        <v>2928</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2922</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2929</v>
      </c>
      <c r="K31" s="3234"/>
      <c r="L31" s="3234"/>
      <c r="M31" s="3234"/>
      <c r="N31" s="3234"/>
      <c r="O31" s="3234"/>
      <c r="P31" s="3234"/>
      <c r="Q31" s="3234"/>
      <c r="R31" s="3235"/>
      <c r="S31" s="3274"/>
      <c r="T31" s="3236"/>
      <c r="U31" s="3236"/>
      <c r="V31" s="3283"/>
      <c r="W31" s="3284"/>
    </row>
    <row r="32" spans="1:23" s="3190" customFormat="1" ht="13.2" customHeight="1">
      <c r="A32" s="3181">
        <v>4</v>
      </c>
      <c r="B32" s="3153" t="s">
        <v>2930</v>
      </c>
      <c r="C32" s="3182">
        <f>C23-C26-C29</f>
        <v>0</v>
      </c>
      <c r="D32" s="3183">
        <f>D23-D26-D29</f>
        <v>0</v>
      </c>
      <c r="E32" s="3184">
        <f>E23-E26-E29</f>
        <v>0</v>
      </c>
      <c r="F32" s="3185"/>
      <c r="G32" s="3276"/>
      <c r="H32" s="3238"/>
      <c r="I32" s="3239"/>
      <c r="J32" s="3561" t="s">
        <v>2931</v>
      </c>
      <c r="K32" s="3562"/>
      <c r="L32" s="3240" t="s">
        <v>2932</v>
      </c>
      <c r="M32" s="3240" t="s">
        <v>2835</v>
      </c>
      <c r="N32" s="3240" t="s">
        <v>2836</v>
      </c>
      <c r="O32" s="3240" t="s">
        <v>2837</v>
      </c>
      <c r="P32" s="3240" t="s">
        <v>2838</v>
      </c>
      <c r="Q32" s="3241" t="s">
        <v>2933</v>
      </c>
      <c r="R32" s="3303" t="s">
        <v>2934</v>
      </c>
      <c r="S32" s="3274"/>
      <c r="T32" s="3236"/>
      <c r="U32" s="3236"/>
      <c r="V32" s="3283"/>
      <c r="W32" s="3284"/>
    </row>
    <row r="33" spans="1:23" s="3144" customFormat="1" ht="13.2" customHeight="1">
      <c r="A33" s="3181"/>
      <c r="B33" s="3153"/>
      <c r="C33" s="3182"/>
      <c r="D33" s="3193"/>
      <c r="E33" s="3194"/>
      <c r="F33" s="3185"/>
      <c r="G33" s="3276"/>
      <c r="H33" s="3284"/>
      <c r="I33" s="3283"/>
      <c r="J33" s="3563" t="s">
        <v>2935</v>
      </c>
      <c r="K33" s="3564"/>
      <c r="L33" s="3243"/>
      <c r="M33" s="3243"/>
      <c r="N33" s="3243"/>
      <c r="O33" s="3243"/>
      <c r="P33" s="3243"/>
      <c r="Q33" s="3244"/>
      <c r="R33" s="3304">
        <f>SUM(L33:Q33)</f>
        <v>0</v>
      </c>
      <c r="S33" s="3274"/>
      <c r="T33" s="3236"/>
      <c r="U33" s="3236"/>
      <c r="V33" s="3239"/>
      <c r="W33" s="3238"/>
    </row>
    <row r="34" spans="1:23" s="3144" customFormat="1" ht="13.2" customHeight="1">
      <c r="A34" s="3181">
        <v>5</v>
      </c>
      <c r="B34" s="3153" t="s">
        <v>2936</v>
      </c>
      <c r="C34" s="3221"/>
      <c r="D34" s="3222"/>
      <c r="E34" s="3223"/>
      <c r="F34" s="3185"/>
      <c r="G34" s="3276"/>
      <c r="H34" s="3284"/>
      <c r="I34" s="3283"/>
      <c r="J34" s="3563" t="s">
        <v>2937</v>
      </c>
      <c r="K34" s="3564"/>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2938</v>
      </c>
      <c r="C35" s="3224"/>
      <c r="D35" s="3225"/>
      <c r="E35" s="3226"/>
      <c r="F35" s="3185"/>
      <c r="G35" s="3306"/>
      <c r="H35" s="3238"/>
      <c r="I35" s="3283"/>
      <c r="J35" s="3249" t="s">
        <v>2939</v>
      </c>
      <c r="K35" s="3250"/>
      <c r="L35" s="3250"/>
      <c r="M35" s="3251"/>
      <c r="N35" s="3251"/>
      <c r="O35" s="3251"/>
      <c r="P35" s="3251"/>
      <c r="Q35" s="3251"/>
      <c r="R35" s="3307">
        <f>R40+R41+R43</f>
        <v>0</v>
      </c>
      <c r="S35" s="3274"/>
      <c r="T35" s="3236" t="s">
        <v>2940</v>
      </c>
      <c r="U35" s="3236"/>
      <c r="V35" s="3239"/>
      <c r="W35" s="3238"/>
    </row>
    <row r="36" spans="1:23" s="3144" customFormat="1" ht="13.2" customHeight="1" thickBot="1">
      <c r="A36" s="3181">
        <v>7</v>
      </c>
      <c r="B36" s="3195" t="s">
        <v>2941</v>
      </c>
      <c r="C36" s="3227"/>
      <c r="D36" s="3228"/>
      <c r="E36" s="3229"/>
      <c r="F36" s="3196">
        <f>C36+D36+E36</f>
        <v>0</v>
      </c>
      <c r="G36" s="3276"/>
      <c r="H36" s="3238"/>
      <c r="I36" s="3239"/>
      <c r="J36" s="3555">
        <v>1</v>
      </c>
      <c r="K36" s="3556" t="s">
        <v>2942</v>
      </c>
      <c r="L36" s="3253"/>
      <c r="M36" s="3254"/>
      <c r="N36" s="3254"/>
      <c r="O36" s="3254"/>
      <c r="P36" s="3254"/>
      <c r="Q36" s="3254"/>
      <c r="R36" s="3245" t="s">
        <v>2890</v>
      </c>
      <c r="S36" s="3274"/>
      <c r="T36" s="3236" t="s">
        <v>2943</v>
      </c>
      <c r="U36" s="3236"/>
      <c r="V36" s="3239"/>
      <c r="W36" s="3238"/>
    </row>
    <row r="37" spans="1:23" s="3144" customFormat="1" ht="13.2" customHeight="1">
      <c r="A37" s="3181"/>
      <c r="B37" s="3153"/>
      <c r="C37" s="3153"/>
      <c r="D37" s="3153"/>
      <c r="E37" s="3153"/>
      <c r="F37" s="3185"/>
      <c r="G37" s="3276"/>
      <c r="H37" s="3238"/>
      <c r="I37" s="3239"/>
      <c r="J37" s="3555"/>
      <c r="K37" s="3557"/>
      <c r="L37" s="3266"/>
      <c r="M37" s="3267"/>
      <c r="N37" s="3205"/>
      <c r="O37" s="3268"/>
      <c r="P37" s="3268"/>
      <c r="Q37" s="3210"/>
      <c r="R37" s="3308"/>
      <c r="S37" s="3274"/>
      <c r="T37" s="3236" t="s">
        <v>2944</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555"/>
      <c r="K38" s="3557"/>
      <c r="L38" s="3266"/>
      <c r="M38" s="3267"/>
      <c r="N38" s="3205"/>
      <c r="O38" s="3268"/>
      <c r="P38" s="3268"/>
      <c r="Q38" s="3210"/>
      <c r="R38" s="3308"/>
      <c r="S38" s="3274"/>
      <c r="T38" s="3236" t="s">
        <v>2866</v>
      </c>
      <c r="U38" s="3236"/>
      <c r="V38" s="3239"/>
      <c r="W38" s="3238"/>
    </row>
    <row r="39" spans="1:23" s="3144" customFormat="1" ht="13.2" customHeight="1">
      <c r="A39" s="3181">
        <v>9</v>
      </c>
      <c r="B39" s="3153" t="s">
        <v>2945</v>
      </c>
      <c r="C39" s="3166" t="e">
        <f>C38</f>
        <v>#DIV/0!</v>
      </c>
      <c r="D39" s="3153">
        <f>D38/(1+D34)^C36</f>
        <v>0</v>
      </c>
      <c r="E39" s="3153">
        <f>E38/(1+E34)^(C36+D36)</f>
        <v>0</v>
      </c>
      <c r="F39" s="3185"/>
      <c r="G39" s="3309"/>
      <c r="H39" s="3238"/>
      <c r="I39" s="3239"/>
      <c r="J39" s="3555"/>
      <c r="K39" s="3557"/>
      <c r="L39" s="3266"/>
      <c r="M39" s="3267"/>
      <c r="N39" s="3205"/>
      <c r="O39" s="3268"/>
      <c r="P39" s="3268"/>
      <c r="Q39" s="3210"/>
      <c r="R39" s="3308"/>
      <c r="S39" s="3274"/>
      <c r="T39" s="3236"/>
      <c r="U39" s="3236"/>
      <c r="V39" s="3239"/>
      <c r="W39" s="3238"/>
    </row>
    <row r="40" spans="1:23" s="3144" customFormat="1" ht="13.2" customHeight="1">
      <c r="A40" s="3197">
        <v>10</v>
      </c>
      <c r="B40" s="3153" t="s">
        <v>2946</v>
      </c>
      <c r="C40" s="3198" t="e">
        <f>C39+D39+E39</f>
        <v>#DIV/0!</v>
      </c>
      <c r="D40" s="3199"/>
      <c r="E40" s="3199"/>
      <c r="F40" s="3200"/>
      <c r="G40" s="3276"/>
      <c r="H40" s="3238"/>
      <c r="I40" s="3239"/>
      <c r="J40" s="3555"/>
      <c r="K40" s="3558"/>
      <c r="L40" s="3262" t="s">
        <v>2947</v>
      </c>
      <c r="M40" s="3263"/>
      <c r="N40" s="3263"/>
      <c r="O40" s="3264"/>
      <c r="P40" s="3264"/>
      <c r="Q40" s="3265"/>
      <c r="R40" s="3242">
        <f>SUM(R37:R39)</f>
        <v>0</v>
      </c>
      <c r="S40" s="3274"/>
      <c r="T40" s="3236"/>
      <c r="U40" s="3236"/>
      <c r="V40" s="3239"/>
      <c r="W40" s="3238"/>
    </row>
    <row r="41" spans="1:23" s="3144" customFormat="1" ht="13.2" customHeight="1" thickBot="1">
      <c r="A41" s="3201">
        <v>11</v>
      </c>
      <c r="B41" s="3202" t="s">
        <v>2948</v>
      </c>
      <c r="C41" s="3202" t="e">
        <f>ROUND(C40*10000/B4,0)</f>
        <v>#DIV/0!</v>
      </c>
      <c r="D41" s="3203"/>
      <c r="E41" s="3203"/>
      <c r="F41" s="3204"/>
      <c r="G41" s="3310"/>
      <c r="H41" s="3238"/>
      <c r="I41" s="3239"/>
      <c r="J41" s="3278">
        <v>2</v>
      </c>
      <c r="K41" s="3279" t="s">
        <v>2949</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559">
        <v>3</v>
      </c>
      <c r="K42" s="3285" t="s">
        <v>2950</v>
      </c>
      <c r="L42" s="3286"/>
      <c r="M42" s="3287"/>
      <c r="N42" s="3288" t="s">
        <v>2951</v>
      </c>
      <c r="O42" s="3288" t="s">
        <v>2952</v>
      </c>
      <c r="P42" s="3289" t="s">
        <v>2953</v>
      </c>
      <c r="Q42" s="3289" t="s">
        <v>2954</v>
      </c>
      <c r="R42" s="3245" t="s">
        <v>2857</v>
      </c>
      <c r="S42" s="3290"/>
      <c r="T42" s="3290"/>
      <c r="U42" s="3236"/>
      <c r="V42" s="3239"/>
      <c r="W42" s="3238"/>
    </row>
    <row r="43" spans="1:23" ht="13.2" customHeight="1">
      <c r="A43" s="3144"/>
      <c r="B43" s="3144"/>
      <c r="C43" s="3144"/>
      <c r="D43" s="3144"/>
      <c r="E43" s="3144"/>
      <c r="F43" s="3144"/>
      <c r="I43" s="3231"/>
      <c r="J43" s="3560"/>
      <c r="K43" s="3291"/>
      <c r="L43" s="3292"/>
      <c r="M43" s="3293"/>
      <c r="N43" s="3267"/>
      <c r="O43" s="3267"/>
      <c r="P43" s="3267"/>
      <c r="Q43" s="3282"/>
      <c r="R43" s="3272">
        <f>ROUND(O43*N43*P43*(1-Q43)/10000,0)</f>
        <v>0</v>
      </c>
      <c r="S43" s="3274"/>
      <c r="T43" s="3236"/>
      <c r="V43" s="3312"/>
      <c r="W43" s="3232"/>
    </row>
    <row r="44" spans="1:23" ht="13.2" customHeight="1" thickBot="1">
      <c r="J44" s="3296">
        <v>6</v>
      </c>
      <c r="K44" s="3297" t="s">
        <v>2955</v>
      </c>
      <c r="L44" s="3313" t="s">
        <v>2956</v>
      </c>
      <c r="M44" s="3299"/>
      <c r="N44" s="3313" t="s">
        <v>2957</v>
      </c>
      <c r="O44" s="3299"/>
      <c r="P44" s="3313" t="s">
        <v>2958</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37" sqref="AC3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 ca="1">B23</f>
        <v>5738</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f ca="1">B24</f>
        <v>67684</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7" t="s">
        <v>2155</v>
      </c>
      <c r="D4" s="3578"/>
      <c r="E4" s="3578"/>
      <c r="F4" s="3578"/>
      <c r="G4" s="3578"/>
      <c r="H4" s="3578"/>
      <c r="I4" s="3578"/>
      <c r="J4" s="3578"/>
      <c r="K4" s="3578"/>
      <c r="L4" s="3578"/>
      <c r="M4" s="3578"/>
      <c r="N4" s="3578"/>
      <c r="O4" s="3578"/>
      <c r="P4" s="3578"/>
      <c r="Q4" s="3578"/>
      <c r="R4" s="3578"/>
      <c r="S4" s="3579"/>
      <c r="T4" s="575" t="s">
        <v>2156</v>
      </c>
      <c r="U4" s="999"/>
      <c r="V4" s="999"/>
      <c r="X4" s="999"/>
      <c r="Y4" s="999"/>
    </row>
    <row r="5" spans="1:44" s="587" customFormat="1" ht="39.6">
      <c r="A5" s="1003"/>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v>100</v>
      </c>
      <c r="D7" s="884">
        <f>C7+1</f>
        <v>101</v>
      </c>
      <c r="E7" s="884">
        <f t="shared" ref="E7:F7" si="7">D7+1</f>
        <v>102</v>
      </c>
      <c r="F7" s="884">
        <f t="shared" si="7"/>
        <v>103</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8">C9-$T$8</f>
        <v>100</v>
      </c>
      <c r="E9" s="879">
        <f t="shared" si="8"/>
        <v>100</v>
      </c>
      <c r="F9" s="879">
        <f t="shared" si="8"/>
        <v>100</v>
      </c>
      <c r="G9" s="879">
        <f t="shared" si="8"/>
        <v>100</v>
      </c>
      <c r="H9" s="879">
        <f t="shared" si="8"/>
        <v>100</v>
      </c>
      <c r="I9" s="879">
        <f t="shared" si="8"/>
        <v>100</v>
      </c>
      <c r="J9" s="879">
        <f t="shared" si="8"/>
        <v>100</v>
      </c>
      <c r="K9" s="879">
        <f t="shared" si="8"/>
        <v>100</v>
      </c>
      <c r="L9" s="879">
        <f t="shared" si="8"/>
        <v>100</v>
      </c>
      <c r="M9" s="880">
        <f t="shared" si="8"/>
        <v>100</v>
      </c>
      <c r="N9" s="880">
        <f t="shared" si="8"/>
        <v>100</v>
      </c>
      <c r="O9" s="879">
        <f t="shared" si="8"/>
        <v>100</v>
      </c>
      <c r="P9" s="879">
        <f t="shared" si="8"/>
        <v>100</v>
      </c>
      <c r="Q9" s="879">
        <f t="shared" si="8"/>
        <v>100</v>
      </c>
      <c r="R9" s="879">
        <f t="shared" si="8"/>
        <v>100</v>
      </c>
      <c r="S9" s="916">
        <f t="shared" si="8"/>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9">C11-$T$10</f>
        <v>100</v>
      </c>
      <c r="E11" s="879">
        <f t="shared" si="9"/>
        <v>100</v>
      </c>
      <c r="F11" s="879">
        <f t="shared" si="9"/>
        <v>100</v>
      </c>
      <c r="G11" s="879">
        <f t="shared" si="9"/>
        <v>100</v>
      </c>
      <c r="H11" s="879">
        <f t="shared" si="9"/>
        <v>100</v>
      </c>
      <c r="I11" s="879">
        <f t="shared" si="9"/>
        <v>100</v>
      </c>
      <c r="J11" s="879">
        <f t="shared" si="9"/>
        <v>100</v>
      </c>
      <c r="K11" s="879">
        <f t="shared" si="9"/>
        <v>100</v>
      </c>
      <c r="L11" s="879">
        <f t="shared" si="9"/>
        <v>100</v>
      </c>
      <c r="M11" s="880">
        <f t="shared" si="9"/>
        <v>100</v>
      </c>
      <c r="N11" s="880">
        <f t="shared" ref="N11:S11" si="10">M11-$T$10</f>
        <v>100</v>
      </c>
      <c r="O11" s="879">
        <f t="shared" si="10"/>
        <v>100</v>
      </c>
      <c r="P11" s="879">
        <f t="shared" si="10"/>
        <v>100</v>
      </c>
      <c r="Q11" s="879">
        <f t="shared" si="10"/>
        <v>100</v>
      </c>
      <c r="R11" s="879">
        <f t="shared" si="10"/>
        <v>100</v>
      </c>
      <c r="S11" s="916">
        <f t="shared" si="10"/>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1">C13-$T$12</f>
        <v>100</v>
      </c>
      <c r="E13" s="893">
        <f t="shared" si="11"/>
        <v>100</v>
      </c>
      <c r="F13" s="893">
        <f t="shared" si="11"/>
        <v>100</v>
      </c>
      <c r="G13" s="893">
        <f t="shared" si="11"/>
        <v>100</v>
      </c>
      <c r="H13" s="893">
        <f t="shared" si="11"/>
        <v>100</v>
      </c>
      <c r="I13" s="893">
        <f t="shared" si="11"/>
        <v>100</v>
      </c>
      <c r="J13" s="893">
        <f t="shared" si="11"/>
        <v>100</v>
      </c>
      <c r="K13" s="893">
        <f t="shared" si="11"/>
        <v>100</v>
      </c>
      <c r="L13" s="893">
        <f t="shared" si="11"/>
        <v>100</v>
      </c>
      <c r="M13" s="894">
        <f t="shared" si="11"/>
        <v>100</v>
      </c>
      <c r="N13" s="894">
        <f t="shared" ref="N13:S13" si="12">M13-$T$12</f>
        <v>100</v>
      </c>
      <c r="O13" s="893">
        <f t="shared" si="12"/>
        <v>100</v>
      </c>
      <c r="P13" s="893">
        <f t="shared" si="12"/>
        <v>100</v>
      </c>
      <c r="Q13" s="893">
        <f t="shared" si="12"/>
        <v>100</v>
      </c>
      <c r="R13" s="893">
        <f t="shared" si="12"/>
        <v>100</v>
      </c>
      <c r="S13" s="918">
        <f t="shared" si="12"/>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3">C15-$T$14</f>
        <v>100</v>
      </c>
      <c r="E15" s="879">
        <f t="shared" si="13"/>
        <v>100</v>
      </c>
      <c r="F15" s="879">
        <f t="shared" si="13"/>
        <v>100</v>
      </c>
      <c r="G15" s="879">
        <f t="shared" si="13"/>
        <v>100</v>
      </c>
      <c r="H15" s="879">
        <f t="shared" si="13"/>
        <v>100</v>
      </c>
      <c r="I15" s="879">
        <f t="shared" si="13"/>
        <v>100</v>
      </c>
      <c r="J15" s="879">
        <f t="shared" si="13"/>
        <v>100</v>
      </c>
      <c r="K15" s="879">
        <f t="shared" si="13"/>
        <v>100</v>
      </c>
      <c r="L15" s="879">
        <f t="shared" si="13"/>
        <v>100</v>
      </c>
      <c r="M15" s="880">
        <f t="shared" si="13"/>
        <v>100</v>
      </c>
      <c r="N15" s="880">
        <f t="shared" ref="N15:S15" si="14">M15-$T$14</f>
        <v>100</v>
      </c>
      <c r="O15" s="879">
        <f t="shared" si="14"/>
        <v>100</v>
      </c>
      <c r="P15" s="879">
        <f t="shared" si="14"/>
        <v>100</v>
      </c>
      <c r="Q15" s="879">
        <f t="shared" si="14"/>
        <v>100</v>
      </c>
      <c r="R15" s="879">
        <f t="shared" si="14"/>
        <v>100</v>
      </c>
      <c r="S15" s="916">
        <f t="shared" si="14"/>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 ca="1">IF(F23="——",IF(C23="万元",T25,S25),IF(C23="万元",T25-H23,S25-H23))</f>
        <v>5738</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2168</v>
      </c>
      <c r="B24" s="224">
        <f ca="1">ROUND(B23*10000/B25,0)</f>
        <v>67684</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847.76</v>
      </c>
      <c r="C25" s="3574" t="s">
        <v>45</v>
      </c>
      <c r="D25" s="3575"/>
      <c r="E25" s="3575"/>
      <c r="F25" s="3575"/>
      <c r="G25" s="3575"/>
      <c r="H25" s="3575"/>
      <c r="I25" s="3575"/>
      <c r="J25" s="3575"/>
      <c r="K25" s="3575"/>
      <c r="L25" s="3575"/>
      <c r="M25" s="3575"/>
      <c r="N25" s="3575"/>
      <c r="O25" s="3575"/>
      <c r="P25" s="3575"/>
      <c r="Q25" s="3576"/>
      <c r="R25" s="597">
        <f ca="1">IF(C23="万元",ROUND(T25*10000/B25,0),ROUND(S25/B25,0))</f>
        <v>67684</v>
      </c>
      <c r="S25" s="13">
        <f ca="1">SUM(S27:S10000)</f>
        <v>57384874</v>
      </c>
      <c r="T25" s="13">
        <f ca="1">SUM(T27:T10000)</f>
        <v>5738</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面积明细!B2</f>
        <v>西城区菜市口大街甲2号院3号楼1-2层105</v>
      </c>
      <c r="B27" s="600">
        <f>'数据-取费表'!E5</f>
        <v>213.01</v>
      </c>
      <c r="C27" s="901">
        <v>1</v>
      </c>
      <c r="D27" s="601"/>
      <c r="E27" s="901">
        <v>1</v>
      </c>
      <c r="F27" s="601"/>
      <c r="G27" s="901">
        <v>1</v>
      </c>
      <c r="H27" s="601"/>
      <c r="I27" s="901">
        <v>1</v>
      </c>
      <c r="J27" s="601"/>
      <c r="K27" s="901">
        <v>1</v>
      </c>
      <c r="L27" s="601"/>
      <c r="M27" s="901">
        <v>1</v>
      </c>
      <c r="N27" s="601"/>
      <c r="O27" s="901">
        <v>1</v>
      </c>
      <c r="P27" s="601"/>
      <c r="Q27" s="901">
        <v>1</v>
      </c>
      <c r="R27" s="907">
        <f ca="1">结果表!G20</f>
        <v>67690</v>
      </c>
      <c r="S27" s="600">
        <f ca="1">ROUND(R27*B27,0)</f>
        <v>14418647</v>
      </c>
      <c r="T27" s="600">
        <f ca="1">ROUND(R27*B27/10000,0)</f>
        <v>1442</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t="str">
        <f>面积明细!B3</f>
        <v>西城区菜市口大街甲2号院3号楼1-2层110</v>
      </c>
      <c r="B28" s="20">
        <f>面积明细!C3</f>
        <v>220.47</v>
      </c>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c r="Q28" s="13">
        <f t="shared" ref="Q28:Q91" si="22">(SUMIF($20:$20,P28,$21:$21)-SUMIF($20:$20,$P$27,$21:$21)+100)/100</f>
        <v>1</v>
      </c>
      <c r="R28" s="597">
        <f ca="1">IF(B28="",0,ROUND($R$27*C28*E28*G28*I28*K28*M28*O28*Q28,0))</f>
        <v>67690</v>
      </c>
      <c r="S28" s="250">
        <f ca="1">ROUND(R28*B28,0)</f>
        <v>14923614</v>
      </c>
      <c r="T28" s="901">
        <f ca="1">ROUND(R28*B28/10000,0)</f>
        <v>1492</v>
      </c>
      <c r="U28" s="2961">
        <f t="shared" ref="U28:U91" si="23">ROUND(W28*B28,0)</f>
        <v>0</v>
      </c>
      <c r="V28" s="2961">
        <f t="shared" ref="V28:V91" si="24">ROUND(W28*B28/10000,0)</f>
        <v>0</v>
      </c>
      <c r="W28" s="998"/>
      <c r="X28" s="2961">
        <f t="shared" ref="X28:X91" si="25">ROUND(Z28*B28,0)</f>
        <v>0</v>
      </c>
      <c r="Y28" s="2961">
        <f t="shared" ref="Y28:Y91" si="26">ROUND(Z28*B28/10000,0)</f>
        <v>0</v>
      </c>
      <c r="Z28" s="998"/>
    </row>
    <row r="29" spans="1:45">
      <c r="A29" s="599" t="str">
        <f>面积明细!B4</f>
        <v>西城区菜市口大街甲2号院3号楼1-2层111</v>
      </c>
      <c r="B29" s="20">
        <f>面积明细!C4</f>
        <v>205.32</v>
      </c>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1</v>
      </c>
      <c r="R29" s="597">
        <f t="shared" ref="R29:R92" ca="1" si="27">IF(B29="",0,ROUND($R$27*C29*E29*G29*I29*K29*M29*O29*Q29,0))</f>
        <v>67690</v>
      </c>
      <c r="S29" s="250">
        <f t="shared" ref="S29:S92" ca="1" si="28">ROUND(R29*B29,0)</f>
        <v>13898111</v>
      </c>
      <c r="T29" s="901">
        <f t="shared" ref="T29:T92" ca="1" si="29">ROUND(R29*B29/10000,0)</f>
        <v>1390</v>
      </c>
      <c r="U29" s="2961">
        <f t="shared" si="23"/>
        <v>0</v>
      </c>
      <c r="V29" s="2961">
        <f t="shared" si="24"/>
        <v>0</v>
      </c>
      <c r="W29" s="998"/>
      <c r="X29" s="2961">
        <f t="shared" si="25"/>
        <v>0</v>
      </c>
      <c r="Y29" s="2961">
        <f t="shared" si="26"/>
        <v>0</v>
      </c>
      <c r="Z29" s="998"/>
    </row>
    <row r="30" spans="1:45">
      <c r="A30" s="599" t="str">
        <f>面积明细!B5</f>
        <v>西城区菜市口大街甲2号院3号楼1-2层112</v>
      </c>
      <c r="B30" s="20">
        <f>面积明细!C5</f>
        <v>208.96</v>
      </c>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1</v>
      </c>
      <c r="R30" s="597">
        <f t="shared" ca="1" si="27"/>
        <v>67690</v>
      </c>
      <c r="S30" s="250">
        <f t="shared" ca="1" si="28"/>
        <v>14144502</v>
      </c>
      <c r="T30" s="901">
        <f t="shared" ca="1" si="29"/>
        <v>1414</v>
      </c>
      <c r="U30" s="2961">
        <f t="shared" si="23"/>
        <v>0</v>
      </c>
      <c r="V30" s="2961">
        <f t="shared" si="24"/>
        <v>0</v>
      </c>
      <c r="W30" s="998"/>
      <c r="X30" s="2961">
        <f t="shared" si="25"/>
        <v>0</v>
      </c>
      <c r="Y30" s="2961">
        <f t="shared" si="26"/>
        <v>0</v>
      </c>
      <c r="Z30" s="998"/>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1</v>
      </c>
      <c r="R31" s="597">
        <f t="shared" si="27"/>
        <v>0</v>
      </c>
      <c r="S31" s="250">
        <f t="shared" si="28"/>
        <v>0</v>
      </c>
      <c r="T31" s="901">
        <f t="shared" si="29"/>
        <v>0</v>
      </c>
      <c r="U31" s="2961">
        <f t="shared" si="23"/>
        <v>0</v>
      </c>
      <c r="V31" s="2961">
        <f t="shared" si="24"/>
        <v>0</v>
      </c>
      <c r="W31" s="998"/>
      <c r="X31" s="2961">
        <f t="shared" si="25"/>
        <v>0</v>
      </c>
      <c r="Y31" s="2961">
        <f t="shared" si="26"/>
        <v>0</v>
      </c>
      <c r="Z31" s="998"/>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1</v>
      </c>
      <c r="R32" s="597">
        <f t="shared" si="27"/>
        <v>0</v>
      </c>
      <c r="S32" s="250">
        <f t="shared" si="28"/>
        <v>0</v>
      </c>
      <c r="T32" s="901">
        <f t="shared" si="29"/>
        <v>0</v>
      </c>
      <c r="U32" s="2961">
        <f t="shared" si="23"/>
        <v>0</v>
      </c>
      <c r="V32" s="2961">
        <f t="shared" si="24"/>
        <v>0</v>
      </c>
      <c r="W32" s="998"/>
      <c r="X32" s="2961">
        <f t="shared" si="25"/>
        <v>0</v>
      </c>
      <c r="Y32" s="2961">
        <f t="shared" si="26"/>
        <v>0</v>
      </c>
      <c r="Z32" s="998"/>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1</v>
      </c>
      <c r="R33" s="597">
        <f t="shared" si="27"/>
        <v>0</v>
      </c>
      <c r="S33" s="250">
        <f t="shared" si="28"/>
        <v>0</v>
      </c>
      <c r="T33" s="901">
        <f t="shared" si="29"/>
        <v>0</v>
      </c>
      <c r="U33" s="2961">
        <f t="shared" si="23"/>
        <v>0</v>
      </c>
      <c r="V33" s="2961">
        <f t="shared" si="24"/>
        <v>0</v>
      </c>
      <c r="W33" s="998"/>
      <c r="X33" s="2961">
        <f t="shared" si="25"/>
        <v>0</v>
      </c>
      <c r="Y33" s="2961">
        <f t="shared" si="26"/>
        <v>0</v>
      </c>
      <c r="Z33" s="998"/>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1</v>
      </c>
      <c r="R34" s="597">
        <f t="shared" si="27"/>
        <v>0</v>
      </c>
      <c r="S34" s="250">
        <f t="shared" si="28"/>
        <v>0</v>
      </c>
      <c r="T34" s="901">
        <f t="shared" si="29"/>
        <v>0</v>
      </c>
      <c r="U34" s="2961">
        <f t="shared" si="23"/>
        <v>0</v>
      </c>
      <c r="V34" s="2961">
        <f t="shared" si="24"/>
        <v>0</v>
      </c>
      <c r="W34" s="998"/>
      <c r="X34" s="2961">
        <f t="shared" si="25"/>
        <v>0</v>
      </c>
      <c r="Y34" s="2961">
        <f t="shared" si="26"/>
        <v>0</v>
      </c>
      <c r="Z34" s="998"/>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1</v>
      </c>
      <c r="R35" s="597">
        <f t="shared" si="27"/>
        <v>0</v>
      </c>
      <c r="S35" s="250">
        <f t="shared" si="28"/>
        <v>0</v>
      </c>
      <c r="T35" s="901">
        <f t="shared" si="29"/>
        <v>0</v>
      </c>
      <c r="U35" s="2961">
        <f t="shared" si="23"/>
        <v>0</v>
      </c>
      <c r="V35" s="2961">
        <f t="shared" si="24"/>
        <v>0</v>
      </c>
      <c r="W35" s="998"/>
      <c r="X35" s="2961">
        <f t="shared" si="25"/>
        <v>0</v>
      </c>
      <c r="Y35" s="2961">
        <f t="shared" si="26"/>
        <v>0</v>
      </c>
      <c r="Z35" s="998"/>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1</v>
      </c>
      <c r="R36" s="597">
        <f t="shared" si="27"/>
        <v>0</v>
      </c>
      <c r="S36" s="250">
        <f t="shared" si="28"/>
        <v>0</v>
      </c>
      <c r="T36" s="901">
        <f t="shared" si="29"/>
        <v>0</v>
      </c>
      <c r="U36" s="2961">
        <f t="shared" si="23"/>
        <v>0</v>
      </c>
      <c r="V36" s="2961">
        <f t="shared" si="24"/>
        <v>0</v>
      </c>
      <c r="W36" s="998"/>
      <c r="X36" s="2961">
        <f t="shared" si="25"/>
        <v>0</v>
      </c>
      <c r="Y36" s="2961">
        <f t="shared" si="26"/>
        <v>0</v>
      </c>
      <c r="Z36" s="998"/>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1</v>
      </c>
      <c r="R37" s="597">
        <f t="shared" si="27"/>
        <v>0</v>
      </c>
      <c r="S37" s="250">
        <f t="shared" si="28"/>
        <v>0</v>
      </c>
      <c r="T37" s="901">
        <f t="shared" si="29"/>
        <v>0</v>
      </c>
      <c r="U37" s="2961">
        <f t="shared" si="23"/>
        <v>0</v>
      </c>
      <c r="V37" s="2961">
        <f t="shared" si="24"/>
        <v>0</v>
      </c>
      <c r="W37" s="998"/>
      <c r="X37" s="2961">
        <f t="shared" si="25"/>
        <v>0</v>
      </c>
      <c r="Y37" s="2961">
        <f t="shared" si="26"/>
        <v>0</v>
      </c>
      <c r="Z37" s="998"/>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1</v>
      </c>
      <c r="R38" s="597">
        <f t="shared" si="27"/>
        <v>0</v>
      </c>
      <c r="S38" s="250">
        <f t="shared" si="28"/>
        <v>0</v>
      </c>
      <c r="T38" s="901">
        <f t="shared" si="29"/>
        <v>0</v>
      </c>
      <c r="U38" s="2961">
        <f t="shared" si="23"/>
        <v>0</v>
      </c>
      <c r="V38" s="2961">
        <f t="shared" si="24"/>
        <v>0</v>
      </c>
      <c r="W38" s="998"/>
      <c r="X38" s="2961">
        <f t="shared" si="25"/>
        <v>0</v>
      </c>
      <c r="Y38" s="2961">
        <f t="shared" si="26"/>
        <v>0</v>
      </c>
      <c r="Z38" s="998"/>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1</v>
      </c>
      <c r="R39" s="597">
        <f t="shared" si="27"/>
        <v>0</v>
      </c>
      <c r="S39" s="250">
        <f t="shared" si="28"/>
        <v>0</v>
      </c>
      <c r="T39" s="901">
        <f t="shared" si="29"/>
        <v>0</v>
      </c>
      <c r="U39" s="2961">
        <f t="shared" si="23"/>
        <v>0</v>
      </c>
      <c r="V39" s="2961">
        <f t="shared" si="24"/>
        <v>0</v>
      </c>
      <c r="W39" s="998"/>
      <c r="X39" s="2961">
        <f t="shared" si="25"/>
        <v>0</v>
      </c>
      <c r="Y39" s="2961">
        <f t="shared" si="26"/>
        <v>0</v>
      </c>
      <c r="Z39" s="998"/>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1</v>
      </c>
      <c r="R40" s="597">
        <f t="shared" si="27"/>
        <v>0</v>
      </c>
      <c r="S40" s="250">
        <f t="shared" si="28"/>
        <v>0</v>
      </c>
      <c r="T40" s="901">
        <f t="shared" si="29"/>
        <v>0</v>
      </c>
      <c r="U40" s="2961">
        <f t="shared" si="23"/>
        <v>0</v>
      </c>
      <c r="V40" s="2961">
        <f t="shared" si="24"/>
        <v>0</v>
      </c>
      <c r="W40" s="998"/>
      <c r="X40" s="2961">
        <f t="shared" si="25"/>
        <v>0</v>
      </c>
      <c r="Y40" s="2961">
        <f t="shared" si="26"/>
        <v>0</v>
      </c>
      <c r="Z40" s="998"/>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1</v>
      </c>
      <c r="R41" s="597">
        <f t="shared" si="27"/>
        <v>0</v>
      </c>
      <c r="S41" s="250">
        <f t="shared" si="28"/>
        <v>0</v>
      </c>
      <c r="T41" s="901">
        <f t="shared" si="29"/>
        <v>0</v>
      </c>
      <c r="U41" s="2961">
        <f t="shared" si="23"/>
        <v>0</v>
      </c>
      <c r="V41" s="2961">
        <f t="shared" si="24"/>
        <v>0</v>
      </c>
      <c r="W41" s="998"/>
      <c r="X41" s="2961">
        <f t="shared" si="25"/>
        <v>0</v>
      </c>
      <c r="Y41" s="2961">
        <f t="shared" si="26"/>
        <v>0</v>
      </c>
      <c r="Z41" s="998"/>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1</v>
      </c>
      <c r="R42" s="597">
        <f t="shared" si="27"/>
        <v>0</v>
      </c>
      <c r="S42" s="250">
        <f t="shared" si="28"/>
        <v>0</v>
      </c>
      <c r="T42" s="901">
        <f t="shared" si="29"/>
        <v>0</v>
      </c>
      <c r="U42" s="2961">
        <f t="shared" si="23"/>
        <v>0</v>
      </c>
      <c r="V42" s="2961">
        <f t="shared" si="24"/>
        <v>0</v>
      </c>
      <c r="W42" s="998"/>
      <c r="X42" s="2961">
        <f t="shared" si="25"/>
        <v>0</v>
      </c>
      <c r="Y42" s="2961">
        <f t="shared" si="26"/>
        <v>0</v>
      </c>
      <c r="Z42" s="998"/>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1</v>
      </c>
      <c r="R43" s="597">
        <f t="shared" si="27"/>
        <v>0</v>
      </c>
      <c r="S43" s="250">
        <f t="shared" si="28"/>
        <v>0</v>
      </c>
      <c r="T43" s="901">
        <f t="shared" si="29"/>
        <v>0</v>
      </c>
      <c r="U43" s="2961">
        <f t="shared" si="23"/>
        <v>0</v>
      </c>
      <c r="V43" s="2961">
        <f t="shared" si="24"/>
        <v>0</v>
      </c>
      <c r="W43" s="998"/>
      <c r="X43" s="2961">
        <f t="shared" si="25"/>
        <v>0</v>
      </c>
      <c r="Y43" s="2961">
        <f t="shared" si="26"/>
        <v>0</v>
      </c>
      <c r="Z43" s="998"/>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1</v>
      </c>
      <c r="R44" s="597">
        <f t="shared" si="27"/>
        <v>0</v>
      </c>
      <c r="S44" s="250">
        <f t="shared" si="28"/>
        <v>0</v>
      </c>
      <c r="T44" s="901">
        <f t="shared" si="29"/>
        <v>0</v>
      </c>
      <c r="U44" s="2961">
        <f t="shared" si="23"/>
        <v>0</v>
      </c>
      <c r="V44" s="2961">
        <f t="shared" si="24"/>
        <v>0</v>
      </c>
      <c r="W44" s="998"/>
      <c r="X44" s="2961">
        <f t="shared" si="25"/>
        <v>0</v>
      </c>
      <c r="Y44" s="2961">
        <f t="shared" si="26"/>
        <v>0</v>
      </c>
      <c r="Z44" s="998"/>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1</v>
      </c>
      <c r="R45" s="597">
        <f t="shared" si="27"/>
        <v>0</v>
      </c>
      <c r="S45" s="250">
        <f t="shared" si="28"/>
        <v>0</v>
      </c>
      <c r="T45" s="901">
        <f t="shared" si="29"/>
        <v>0</v>
      </c>
      <c r="U45" s="2961">
        <f t="shared" si="23"/>
        <v>0</v>
      </c>
      <c r="V45" s="2961">
        <f t="shared" si="24"/>
        <v>0</v>
      </c>
      <c r="W45" s="998"/>
      <c r="X45" s="2961">
        <f t="shared" si="25"/>
        <v>0</v>
      </c>
      <c r="Y45" s="2961">
        <f t="shared" si="26"/>
        <v>0</v>
      </c>
      <c r="Z45" s="998"/>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1</v>
      </c>
      <c r="R46" s="597">
        <f t="shared" si="27"/>
        <v>0</v>
      </c>
      <c r="S46" s="250">
        <f t="shared" si="28"/>
        <v>0</v>
      </c>
      <c r="T46" s="901">
        <f t="shared" si="29"/>
        <v>0</v>
      </c>
      <c r="U46" s="2961">
        <f t="shared" si="23"/>
        <v>0</v>
      </c>
      <c r="V46" s="2961">
        <f t="shared" si="24"/>
        <v>0</v>
      </c>
      <c r="W46" s="998"/>
      <c r="X46" s="2961">
        <f t="shared" si="25"/>
        <v>0</v>
      </c>
      <c r="Y46" s="2961">
        <f t="shared" si="26"/>
        <v>0</v>
      </c>
      <c r="Z46" s="998"/>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1</v>
      </c>
      <c r="R47" s="597">
        <f t="shared" si="27"/>
        <v>0</v>
      </c>
      <c r="S47" s="250">
        <f t="shared" si="28"/>
        <v>0</v>
      </c>
      <c r="T47" s="901">
        <f t="shared" si="29"/>
        <v>0</v>
      </c>
      <c r="U47" s="2961">
        <f t="shared" si="23"/>
        <v>0</v>
      </c>
      <c r="V47" s="2961">
        <f t="shared" si="24"/>
        <v>0</v>
      </c>
      <c r="W47" s="998"/>
      <c r="X47" s="2961">
        <f t="shared" si="25"/>
        <v>0</v>
      </c>
      <c r="Y47" s="2961">
        <f t="shared" si="26"/>
        <v>0</v>
      </c>
      <c r="Z47" s="998"/>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1</v>
      </c>
      <c r="R48" s="597">
        <f t="shared" si="27"/>
        <v>0</v>
      </c>
      <c r="S48" s="250">
        <f t="shared" si="28"/>
        <v>0</v>
      </c>
      <c r="T48" s="901">
        <f t="shared" si="29"/>
        <v>0</v>
      </c>
      <c r="U48" s="2961">
        <f t="shared" si="23"/>
        <v>0</v>
      </c>
      <c r="V48" s="2961">
        <f t="shared" si="24"/>
        <v>0</v>
      </c>
      <c r="W48" s="998"/>
      <c r="X48" s="2961">
        <f t="shared" si="25"/>
        <v>0</v>
      </c>
      <c r="Y48" s="2961">
        <f t="shared" si="26"/>
        <v>0</v>
      </c>
      <c r="Z48" s="998"/>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1</v>
      </c>
      <c r="R49" s="597">
        <f t="shared" si="27"/>
        <v>0</v>
      </c>
      <c r="S49" s="250">
        <f t="shared" si="28"/>
        <v>0</v>
      </c>
      <c r="T49" s="901">
        <f t="shared" si="29"/>
        <v>0</v>
      </c>
      <c r="U49" s="2961">
        <f t="shared" si="23"/>
        <v>0</v>
      </c>
      <c r="V49" s="2961">
        <f t="shared" si="24"/>
        <v>0</v>
      </c>
      <c r="W49" s="998"/>
      <c r="X49" s="2961">
        <f t="shared" si="25"/>
        <v>0</v>
      </c>
      <c r="Y49" s="2961">
        <f t="shared" si="26"/>
        <v>0</v>
      </c>
      <c r="Z49" s="998"/>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1</v>
      </c>
      <c r="R50" s="597">
        <f t="shared" si="27"/>
        <v>0</v>
      </c>
      <c r="S50" s="250">
        <f t="shared" si="28"/>
        <v>0</v>
      </c>
      <c r="T50" s="901">
        <f t="shared" si="29"/>
        <v>0</v>
      </c>
      <c r="U50" s="2961">
        <f t="shared" si="23"/>
        <v>0</v>
      </c>
      <c r="V50" s="2961">
        <f t="shared" si="24"/>
        <v>0</v>
      </c>
      <c r="W50" s="998"/>
      <c r="X50" s="2961">
        <f t="shared" si="25"/>
        <v>0</v>
      </c>
      <c r="Y50" s="2961">
        <f t="shared" si="26"/>
        <v>0</v>
      </c>
      <c r="Z50" s="998"/>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1</v>
      </c>
      <c r="R51" s="597">
        <f t="shared" si="27"/>
        <v>0</v>
      </c>
      <c r="S51" s="250">
        <f t="shared" si="28"/>
        <v>0</v>
      </c>
      <c r="T51" s="901">
        <f t="shared" si="29"/>
        <v>0</v>
      </c>
      <c r="U51" s="2961">
        <f t="shared" si="23"/>
        <v>0</v>
      </c>
      <c r="V51" s="2961">
        <f t="shared" si="24"/>
        <v>0</v>
      </c>
      <c r="W51" s="998"/>
      <c r="X51" s="2961">
        <f t="shared" si="25"/>
        <v>0</v>
      </c>
      <c r="Y51" s="2961">
        <f t="shared" si="26"/>
        <v>0</v>
      </c>
      <c r="Z51" s="998"/>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1</v>
      </c>
      <c r="R52" s="597">
        <f t="shared" si="27"/>
        <v>0</v>
      </c>
      <c r="S52" s="250">
        <f t="shared" si="28"/>
        <v>0</v>
      </c>
      <c r="T52" s="901">
        <f t="shared" si="29"/>
        <v>0</v>
      </c>
      <c r="U52" s="2961">
        <f t="shared" si="23"/>
        <v>0</v>
      </c>
      <c r="V52" s="2961">
        <f t="shared" si="24"/>
        <v>0</v>
      </c>
      <c r="W52" s="998"/>
      <c r="X52" s="2961">
        <f t="shared" si="25"/>
        <v>0</v>
      </c>
      <c r="Y52" s="2961">
        <f t="shared" si="26"/>
        <v>0</v>
      </c>
      <c r="Z52" s="998"/>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1</v>
      </c>
      <c r="R53" s="597">
        <f t="shared" si="27"/>
        <v>0</v>
      </c>
      <c r="S53" s="250">
        <f t="shared" si="28"/>
        <v>0</v>
      </c>
      <c r="T53" s="901">
        <f t="shared" si="29"/>
        <v>0</v>
      </c>
      <c r="U53" s="2961">
        <f t="shared" si="23"/>
        <v>0</v>
      </c>
      <c r="V53" s="2961">
        <f t="shared" si="24"/>
        <v>0</v>
      </c>
      <c r="W53" s="998"/>
      <c r="X53" s="2961">
        <f t="shared" si="25"/>
        <v>0</v>
      </c>
      <c r="Y53" s="2961">
        <f t="shared" si="26"/>
        <v>0</v>
      </c>
      <c r="Z53" s="998"/>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1</v>
      </c>
      <c r="R54" s="597">
        <f t="shared" si="27"/>
        <v>0</v>
      </c>
      <c r="S54" s="250">
        <f t="shared" si="28"/>
        <v>0</v>
      </c>
      <c r="T54" s="901">
        <f t="shared" si="29"/>
        <v>0</v>
      </c>
      <c r="U54" s="2961">
        <f t="shared" si="23"/>
        <v>0</v>
      </c>
      <c r="V54" s="2961">
        <f t="shared" si="24"/>
        <v>0</v>
      </c>
      <c r="W54" s="998"/>
      <c r="X54" s="2961">
        <f t="shared" si="25"/>
        <v>0</v>
      </c>
      <c r="Y54" s="2961">
        <f t="shared" si="26"/>
        <v>0</v>
      </c>
      <c r="Z54" s="998"/>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1</v>
      </c>
      <c r="R55" s="597">
        <f t="shared" si="27"/>
        <v>0</v>
      </c>
      <c r="S55" s="250">
        <f t="shared" si="28"/>
        <v>0</v>
      </c>
      <c r="T55" s="901">
        <f t="shared" si="29"/>
        <v>0</v>
      </c>
      <c r="U55" s="2961">
        <f t="shared" si="23"/>
        <v>0</v>
      </c>
      <c r="V55" s="2961">
        <f t="shared" si="24"/>
        <v>0</v>
      </c>
      <c r="W55" s="998"/>
      <c r="X55" s="2961">
        <f t="shared" si="25"/>
        <v>0</v>
      </c>
      <c r="Y55" s="2961">
        <f t="shared" si="26"/>
        <v>0</v>
      </c>
      <c r="Z55" s="998"/>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1</v>
      </c>
      <c r="R56" s="597">
        <f t="shared" si="27"/>
        <v>0</v>
      </c>
      <c r="S56" s="250">
        <f t="shared" si="28"/>
        <v>0</v>
      </c>
      <c r="T56" s="901">
        <f t="shared" si="29"/>
        <v>0</v>
      </c>
      <c r="U56" s="2961">
        <f t="shared" si="23"/>
        <v>0</v>
      </c>
      <c r="V56" s="2961">
        <f t="shared" si="24"/>
        <v>0</v>
      </c>
      <c r="W56" s="998"/>
      <c r="X56" s="2961">
        <f t="shared" si="25"/>
        <v>0</v>
      </c>
      <c r="Y56" s="2961">
        <f t="shared" si="26"/>
        <v>0</v>
      </c>
      <c r="Z56" s="998"/>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1</v>
      </c>
      <c r="R57" s="597">
        <f t="shared" si="27"/>
        <v>0</v>
      </c>
      <c r="S57" s="250">
        <f t="shared" si="28"/>
        <v>0</v>
      </c>
      <c r="T57" s="901">
        <f t="shared" si="29"/>
        <v>0</v>
      </c>
      <c r="U57" s="2961">
        <f t="shared" si="23"/>
        <v>0</v>
      </c>
      <c r="V57" s="2961">
        <f t="shared" si="24"/>
        <v>0</v>
      </c>
      <c r="W57" s="998"/>
      <c r="X57" s="2961">
        <f t="shared" si="25"/>
        <v>0</v>
      </c>
      <c r="Y57" s="2961">
        <f t="shared" si="26"/>
        <v>0</v>
      </c>
      <c r="Z57" s="998"/>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1</v>
      </c>
      <c r="R58" s="597">
        <f t="shared" si="27"/>
        <v>0</v>
      </c>
      <c r="S58" s="250">
        <f t="shared" si="28"/>
        <v>0</v>
      </c>
      <c r="T58" s="901">
        <f t="shared" si="29"/>
        <v>0</v>
      </c>
      <c r="U58" s="2961">
        <f t="shared" si="23"/>
        <v>0</v>
      </c>
      <c r="V58" s="2961">
        <f t="shared" si="24"/>
        <v>0</v>
      </c>
      <c r="W58" s="998"/>
      <c r="X58" s="2961">
        <f t="shared" si="25"/>
        <v>0</v>
      </c>
      <c r="Y58" s="2961">
        <f t="shared" si="26"/>
        <v>0</v>
      </c>
      <c r="Z58" s="998"/>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1</v>
      </c>
      <c r="R59" s="597">
        <f t="shared" si="27"/>
        <v>0</v>
      </c>
      <c r="S59" s="250">
        <f t="shared" si="28"/>
        <v>0</v>
      </c>
      <c r="T59" s="901">
        <f t="shared" si="29"/>
        <v>0</v>
      </c>
      <c r="U59" s="2961">
        <f t="shared" si="23"/>
        <v>0</v>
      </c>
      <c r="V59" s="2961">
        <f t="shared" si="24"/>
        <v>0</v>
      </c>
      <c r="W59" s="998"/>
      <c r="X59" s="2961">
        <f t="shared" si="25"/>
        <v>0</v>
      </c>
      <c r="Y59" s="2961">
        <f t="shared" si="26"/>
        <v>0</v>
      </c>
      <c r="Z59" s="998"/>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1</v>
      </c>
      <c r="R60" s="597">
        <f t="shared" si="27"/>
        <v>0</v>
      </c>
      <c r="S60" s="250">
        <f t="shared" si="28"/>
        <v>0</v>
      </c>
      <c r="T60" s="901">
        <f t="shared" si="29"/>
        <v>0</v>
      </c>
      <c r="U60" s="2961">
        <f t="shared" si="23"/>
        <v>0</v>
      </c>
      <c r="V60" s="2961">
        <f t="shared" si="24"/>
        <v>0</v>
      </c>
      <c r="W60" s="998"/>
      <c r="X60" s="2961">
        <f t="shared" si="25"/>
        <v>0</v>
      </c>
      <c r="Y60" s="2961">
        <f t="shared" si="26"/>
        <v>0</v>
      </c>
      <c r="Z60" s="998"/>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1</v>
      </c>
      <c r="R61" s="597">
        <f t="shared" si="27"/>
        <v>0</v>
      </c>
      <c r="S61" s="250">
        <f t="shared" si="28"/>
        <v>0</v>
      </c>
      <c r="T61" s="901">
        <f t="shared" si="29"/>
        <v>0</v>
      </c>
      <c r="U61" s="2961">
        <f t="shared" si="23"/>
        <v>0</v>
      </c>
      <c r="V61" s="2961">
        <f t="shared" si="24"/>
        <v>0</v>
      </c>
      <c r="W61" s="998"/>
      <c r="X61" s="2961">
        <f t="shared" si="25"/>
        <v>0</v>
      </c>
      <c r="Y61" s="2961">
        <f t="shared" si="26"/>
        <v>0</v>
      </c>
      <c r="Z61" s="998"/>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1</v>
      </c>
      <c r="R62" s="597">
        <f t="shared" si="27"/>
        <v>0</v>
      </c>
      <c r="S62" s="250">
        <f t="shared" si="28"/>
        <v>0</v>
      </c>
      <c r="T62" s="901">
        <f t="shared" si="29"/>
        <v>0</v>
      </c>
      <c r="U62" s="2961">
        <f t="shared" si="23"/>
        <v>0</v>
      </c>
      <c r="V62" s="2961">
        <f t="shared" si="24"/>
        <v>0</v>
      </c>
      <c r="W62" s="998"/>
      <c r="X62" s="2961">
        <f t="shared" si="25"/>
        <v>0</v>
      </c>
      <c r="Y62" s="2961">
        <f t="shared" si="26"/>
        <v>0</v>
      </c>
      <c r="Z62" s="998"/>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1</v>
      </c>
      <c r="R63" s="597">
        <f t="shared" si="27"/>
        <v>0</v>
      </c>
      <c r="S63" s="250">
        <f t="shared" si="28"/>
        <v>0</v>
      </c>
      <c r="T63" s="901">
        <f t="shared" si="29"/>
        <v>0</v>
      </c>
      <c r="U63" s="2961">
        <f t="shared" si="23"/>
        <v>0</v>
      </c>
      <c r="V63" s="2961">
        <f t="shared" si="24"/>
        <v>0</v>
      </c>
      <c r="W63" s="998"/>
      <c r="X63" s="2961">
        <f t="shared" si="25"/>
        <v>0</v>
      </c>
      <c r="Y63" s="2961">
        <f t="shared" si="26"/>
        <v>0</v>
      </c>
      <c r="Z63" s="998"/>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1</v>
      </c>
      <c r="R64" s="597">
        <f t="shared" si="27"/>
        <v>0</v>
      </c>
      <c r="S64" s="250">
        <f t="shared" si="28"/>
        <v>0</v>
      </c>
      <c r="T64" s="901">
        <f t="shared" si="29"/>
        <v>0</v>
      </c>
      <c r="U64" s="2961">
        <f t="shared" si="23"/>
        <v>0</v>
      </c>
      <c r="V64" s="2961">
        <f t="shared" si="24"/>
        <v>0</v>
      </c>
      <c r="W64" s="998"/>
      <c r="X64" s="2961">
        <f t="shared" si="25"/>
        <v>0</v>
      </c>
      <c r="Y64" s="2961">
        <f t="shared" si="26"/>
        <v>0</v>
      </c>
      <c r="Z64" s="998"/>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1</v>
      </c>
      <c r="R65" s="597">
        <f t="shared" si="27"/>
        <v>0</v>
      </c>
      <c r="S65" s="250">
        <f t="shared" si="28"/>
        <v>0</v>
      </c>
      <c r="T65" s="901">
        <f t="shared" si="29"/>
        <v>0</v>
      </c>
      <c r="U65" s="2961">
        <f t="shared" si="23"/>
        <v>0</v>
      </c>
      <c r="V65" s="2961">
        <f t="shared" si="24"/>
        <v>0</v>
      </c>
      <c r="W65" s="998"/>
      <c r="X65" s="2961">
        <f t="shared" si="25"/>
        <v>0</v>
      </c>
      <c r="Y65" s="2961">
        <f t="shared" si="26"/>
        <v>0</v>
      </c>
      <c r="Z65" s="998"/>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1</v>
      </c>
      <c r="R66" s="597">
        <f t="shared" si="27"/>
        <v>0</v>
      </c>
      <c r="S66" s="250">
        <f t="shared" si="28"/>
        <v>0</v>
      </c>
      <c r="T66" s="901">
        <f t="shared" si="29"/>
        <v>0</v>
      </c>
      <c r="U66" s="2961">
        <f t="shared" si="23"/>
        <v>0</v>
      </c>
      <c r="V66" s="2961">
        <f t="shared" si="24"/>
        <v>0</v>
      </c>
      <c r="W66" s="998"/>
      <c r="X66" s="2961">
        <f t="shared" si="25"/>
        <v>0</v>
      </c>
      <c r="Y66" s="2961">
        <f t="shared" si="26"/>
        <v>0</v>
      </c>
      <c r="Z66" s="998"/>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1</v>
      </c>
      <c r="R67" s="597">
        <f t="shared" si="27"/>
        <v>0</v>
      </c>
      <c r="S67" s="250">
        <f t="shared" si="28"/>
        <v>0</v>
      </c>
      <c r="T67" s="901">
        <f t="shared" si="29"/>
        <v>0</v>
      </c>
      <c r="U67" s="2961">
        <f t="shared" si="23"/>
        <v>0</v>
      </c>
      <c r="V67" s="2961">
        <f t="shared" si="24"/>
        <v>0</v>
      </c>
      <c r="W67" s="998"/>
      <c r="X67" s="2961">
        <f t="shared" si="25"/>
        <v>0</v>
      </c>
      <c r="Y67" s="2961">
        <f t="shared" si="26"/>
        <v>0</v>
      </c>
      <c r="Z67" s="998"/>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1</v>
      </c>
      <c r="R68" s="597">
        <f t="shared" si="27"/>
        <v>0</v>
      </c>
      <c r="S68" s="250">
        <f t="shared" si="28"/>
        <v>0</v>
      </c>
      <c r="T68" s="901">
        <f t="shared" si="29"/>
        <v>0</v>
      </c>
      <c r="U68" s="2961">
        <f t="shared" si="23"/>
        <v>0</v>
      </c>
      <c r="V68" s="2961">
        <f t="shared" si="24"/>
        <v>0</v>
      </c>
      <c r="W68" s="998"/>
      <c r="X68" s="2961">
        <f t="shared" si="25"/>
        <v>0</v>
      </c>
      <c r="Y68" s="2961">
        <f t="shared" si="26"/>
        <v>0</v>
      </c>
      <c r="Z68" s="998"/>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1</v>
      </c>
      <c r="R69" s="597">
        <f t="shared" si="27"/>
        <v>0</v>
      </c>
      <c r="S69" s="250">
        <f t="shared" si="28"/>
        <v>0</v>
      </c>
      <c r="T69" s="901">
        <f t="shared" si="29"/>
        <v>0</v>
      </c>
      <c r="U69" s="2961">
        <f t="shared" si="23"/>
        <v>0</v>
      </c>
      <c r="V69" s="2961">
        <f t="shared" si="24"/>
        <v>0</v>
      </c>
      <c r="W69" s="998"/>
      <c r="X69" s="2961">
        <f t="shared" si="25"/>
        <v>0</v>
      </c>
      <c r="Y69" s="2961">
        <f t="shared" si="26"/>
        <v>0</v>
      </c>
      <c r="Z69" s="998"/>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1</v>
      </c>
      <c r="R70" s="597">
        <f t="shared" si="27"/>
        <v>0</v>
      </c>
      <c r="S70" s="250">
        <f t="shared" si="28"/>
        <v>0</v>
      </c>
      <c r="T70" s="901">
        <f t="shared" si="29"/>
        <v>0</v>
      </c>
      <c r="U70" s="2961">
        <f t="shared" si="23"/>
        <v>0</v>
      </c>
      <c r="V70" s="2961">
        <f t="shared" si="24"/>
        <v>0</v>
      </c>
      <c r="W70" s="998"/>
      <c r="X70" s="2961">
        <f t="shared" si="25"/>
        <v>0</v>
      </c>
      <c r="Y70" s="2961">
        <f t="shared" si="26"/>
        <v>0</v>
      </c>
      <c r="Z70" s="998"/>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1</v>
      </c>
      <c r="R71" s="597">
        <f t="shared" si="27"/>
        <v>0</v>
      </c>
      <c r="S71" s="250">
        <f t="shared" si="28"/>
        <v>0</v>
      </c>
      <c r="T71" s="901">
        <f t="shared" si="29"/>
        <v>0</v>
      </c>
      <c r="U71" s="2961">
        <f t="shared" si="23"/>
        <v>0</v>
      </c>
      <c r="V71" s="2961">
        <f t="shared" si="24"/>
        <v>0</v>
      </c>
      <c r="W71" s="998"/>
      <c r="X71" s="2961">
        <f t="shared" si="25"/>
        <v>0</v>
      </c>
      <c r="Y71" s="2961">
        <f t="shared" si="26"/>
        <v>0</v>
      </c>
      <c r="Z71" s="998"/>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1</v>
      </c>
      <c r="R72" s="597">
        <f t="shared" si="27"/>
        <v>0</v>
      </c>
      <c r="S72" s="250">
        <f t="shared" si="28"/>
        <v>0</v>
      </c>
      <c r="T72" s="901">
        <f t="shared" si="29"/>
        <v>0</v>
      </c>
      <c r="U72" s="2961">
        <f t="shared" si="23"/>
        <v>0</v>
      </c>
      <c r="V72" s="2961">
        <f t="shared" si="24"/>
        <v>0</v>
      </c>
      <c r="W72" s="998"/>
      <c r="X72" s="2961">
        <f t="shared" si="25"/>
        <v>0</v>
      </c>
      <c r="Y72" s="2961">
        <f t="shared" si="26"/>
        <v>0</v>
      </c>
      <c r="Z72" s="998"/>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1</v>
      </c>
      <c r="R73" s="597">
        <f t="shared" si="27"/>
        <v>0</v>
      </c>
      <c r="S73" s="250">
        <f t="shared" si="28"/>
        <v>0</v>
      </c>
      <c r="T73" s="901">
        <f t="shared" si="29"/>
        <v>0</v>
      </c>
      <c r="U73" s="2961">
        <f t="shared" si="23"/>
        <v>0</v>
      </c>
      <c r="V73" s="2961">
        <f t="shared" si="24"/>
        <v>0</v>
      </c>
      <c r="W73" s="998"/>
      <c r="X73" s="2961">
        <f t="shared" si="25"/>
        <v>0</v>
      </c>
      <c r="Y73" s="2961">
        <f t="shared" si="26"/>
        <v>0</v>
      </c>
      <c r="Z73" s="998"/>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1</v>
      </c>
      <c r="R74" s="597">
        <f t="shared" si="27"/>
        <v>0</v>
      </c>
      <c r="S74" s="250">
        <f t="shared" si="28"/>
        <v>0</v>
      </c>
      <c r="T74" s="901">
        <f t="shared" si="29"/>
        <v>0</v>
      </c>
      <c r="U74" s="2961">
        <f t="shared" si="23"/>
        <v>0</v>
      </c>
      <c r="V74" s="2961">
        <f t="shared" si="24"/>
        <v>0</v>
      </c>
      <c r="W74" s="998"/>
      <c r="X74" s="2961">
        <f t="shared" si="25"/>
        <v>0</v>
      </c>
      <c r="Y74" s="2961">
        <f t="shared" si="26"/>
        <v>0</v>
      </c>
      <c r="Z74" s="998"/>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1</v>
      </c>
      <c r="R75" s="597">
        <f t="shared" si="27"/>
        <v>0</v>
      </c>
      <c r="S75" s="250">
        <f t="shared" si="28"/>
        <v>0</v>
      </c>
      <c r="T75" s="901">
        <f t="shared" si="29"/>
        <v>0</v>
      </c>
      <c r="U75" s="2961">
        <f t="shared" si="23"/>
        <v>0</v>
      </c>
      <c r="V75" s="2961">
        <f t="shared" si="24"/>
        <v>0</v>
      </c>
      <c r="W75" s="998"/>
      <c r="X75" s="2961">
        <f t="shared" si="25"/>
        <v>0</v>
      </c>
      <c r="Y75" s="2961">
        <f t="shared" si="26"/>
        <v>0</v>
      </c>
      <c r="Z75" s="998"/>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1</v>
      </c>
      <c r="R76" s="597">
        <f t="shared" si="27"/>
        <v>0</v>
      </c>
      <c r="S76" s="250">
        <f t="shared" si="28"/>
        <v>0</v>
      </c>
      <c r="T76" s="901">
        <f t="shared" si="29"/>
        <v>0</v>
      </c>
      <c r="U76" s="2961">
        <f t="shared" si="23"/>
        <v>0</v>
      </c>
      <c r="V76" s="2961">
        <f t="shared" si="24"/>
        <v>0</v>
      </c>
      <c r="W76" s="998"/>
      <c r="X76" s="2961">
        <f t="shared" si="25"/>
        <v>0</v>
      </c>
      <c r="Y76" s="2961">
        <f t="shared" si="26"/>
        <v>0</v>
      </c>
      <c r="Z76" s="998"/>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1</v>
      </c>
      <c r="R77" s="597">
        <f t="shared" si="27"/>
        <v>0</v>
      </c>
      <c r="S77" s="250">
        <f t="shared" si="28"/>
        <v>0</v>
      </c>
      <c r="T77" s="901">
        <f t="shared" si="29"/>
        <v>0</v>
      </c>
      <c r="U77" s="2961">
        <f t="shared" si="23"/>
        <v>0</v>
      </c>
      <c r="V77" s="2961">
        <f t="shared" si="24"/>
        <v>0</v>
      </c>
      <c r="W77" s="998"/>
      <c r="X77" s="2961">
        <f t="shared" si="25"/>
        <v>0</v>
      </c>
      <c r="Y77" s="2961">
        <f t="shared" si="26"/>
        <v>0</v>
      </c>
      <c r="Z77" s="998"/>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1</v>
      </c>
      <c r="R78" s="597">
        <f t="shared" si="27"/>
        <v>0</v>
      </c>
      <c r="S78" s="250">
        <f t="shared" si="28"/>
        <v>0</v>
      </c>
      <c r="T78" s="901">
        <f t="shared" si="29"/>
        <v>0</v>
      </c>
      <c r="U78" s="2961">
        <f t="shared" si="23"/>
        <v>0</v>
      </c>
      <c r="V78" s="2961">
        <f t="shared" si="24"/>
        <v>0</v>
      </c>
      <c r="W78" s="998"/>
      <c r="X78" s="2961">
        <f t="shared" si="25"/>
        <v>0</v>
      </c>
      <c r="Y78" s="2961">
        <f t="shared" si="26"/>
        <v>0</v>
      </c>
      <c r="Z78" s="998"/>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1</v>
      </c>
      <c r="R79" s="597">
        <f t="shared" si="27"/>
        <v>0</v>
      </c>
      <c r="S79" s="250">
        <f t="shared" si="28"/>
        <v>0</v>
      </c>
      <c r="T79" s="901">
        <f t="shared" si="29"/>
        <v>0</v>
      </c>
      <c r="U79" s="2961">
        <f t="shared" si="23"/>
        <v>0</v>
      </c>
      <c r="V79" s="2961">
        <f t="shared" si="24"/>
        <v>0</v>
      </c>
      <c r="W79" s="998"/>
      <c r="X79" s="2961">
        <f t="shared" si="25"/>
        <v>0</v>
      </c>
      <c r="Y79" s="2961">
        <f t="shared" si="26"/>
        <v>0</v>
      </c>
      <c r="Z79" s="998"/>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1</v>
      </c>
      <c r="R80" s="597">
        <f t="shared" si="27"/>
        <v>0</v>
      </c>
      <c r="S80" s="250">
        <f t="shared" si="28"/>
        <v>0</v>
      </c>
      <c r="T80" s="901">
        <f t="shared" si="29"/>
        <v>0</v>
      </c>
      <c r="U80" s="2961">
        <f t="shared" si="23"/>
        <v>0</v>
      </c>
      <c r="V80" s="2961">
        <f t="shared" si="24"/>
        <v>0</v>
      </c>
      <c r="W80" s="998"/>
      <c r="X80" s="2961">
        <f t="shared" si="25"/>
        <v>0</v>
      </c>
      <c r="Y80" s="2961">
        <f t="shared" si="26"/>
        <v>0</v>
      </c>
      <c r="Z80" s="998"/>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1</v>
      </c>
      <c r="R81" s="597">
        <f t="shared" si="27"/>
        <v>0</v>
      </c>
      <c r="S81" s="250">
        <f t="shared" si="28"/>
        <v>0</v>
      </c>
      <c r="T81" s="901">
        <f t="shared" si="29"/>
        <v>0</v>
      </c>
      <c r="U81" s="2961">
        <f t="shared" si="23"/>
        <v>0</v>
      </c>
      <c r="V81" s="2961">
        <f t="shared" si="24"/>
        <v>0</v>
      </c>
      <c r="W81" s="998"/>
      <c r="X81" s="2961">
        <f t="shared" si="25"/>
        <v>0</v>
      </c>
      <c r="Y81" s="2961">
        <f t="shared" si="26"/>
        <v>0</v>
      </c>
      <c r="Z81" s="998"/>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1</v>
      </c>
      <c r="R82" s="597">
        <f t="shared" si="27"/>
        <v>0</v>
      </c>
      <c r="S82" s="250">
        <f t="shared" si="28"/>
        <v>0</v>
      </c>
      <c r="T82" s="901">
        <f t="shared" si="29"/>
        <v>0</v>
      </c>
      <c r="U82" s="2961">
        <f t="shared" si="23"/>
        <v>0</v>
      </c>
      <c r="V82" s="2961">
        <f t="shared" si="24"/>
        <v>0</v>
      </c>
      <c r="W82" s="998"/>
      <c r="X82" s="2961">
        <f t="shared" si="25"/>
        <v>0</v>
      </c>
      <c r="Y82" s="2961">
        <f t="shared" si="26"/>
        <v>0</v>
      </c>
      <c r="Z82" s="998"/>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1</v>
      </c>
      <c r="R83" s="597">
        <f t="shared" si="27"/>
        <v>0</v>
      </c>
      <c r="S83" s="250">
        <f t="shared" si="28"/>
        <v>0</v>
      </c>
      <c r="T83" s="901">
        <f t="shared" si="29"/>
        <v>0</v>
      </c>
      <c r="U83" s="2961">
        <f t="shared" si="23"/>
        <v>0</v>
      </c>
      <c r="V83" s="2961">
        <f t="shared" si="24"/>
        <v>0</v>
      </c>
      <c r="W83" s="998"/>
      <c r="X83" s="2961">
        <f t="shared" si="25"/>
        <v>0</v>
      </c>
      <c r="Y83" s="2961">
        <f t="shared" si="26"/>
        <v>0</v>
      </c>
      <c r="Z83" s="998"/>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1</v>
      </c>
      <c r="R84" s="597">
        <f t="shared" si="27"/>
        <v>0</v>
      </c>
      <c r="S84" s="250">
        <f t="shared" si="28"/>
        <v>0</v>
      </c>
      <c r="T84" s="901">
        <f t="shared" si="29"/>
        <v>0</v>
      </c>
      <c r="U84" s="2961">
        <f t="shared" si="23"/>
        <v>0</v>
      </c>
      <c r="V84" s="2961">
        <f t="shared" si="24"/>
        <v>0</v>
      </c>
      <c r="W84" s="998"/>
      <c r="X84" s="2961">
        <f t="shared" si="25"/>
        <v>0</v>
      </c>
      <c r="Y84" s="2961">
        <f t="shared" si="26"/>
        <v>0</v>
      </c>
      <c r="Z84" s="998"/>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1</v>
      </c>
      <c r="R85" s="597">
        <f t="shared" si="27"/>
        <v>0</v>
      </c>
      <c r="S85" s="250">
        <f t="shared" si="28"/>
        <v>0</v>
      </c>
      <c r="T85" s="901">
        <f t="shared" si="29"/>
        <v>0</v>
      </c>
      <c r="U85" s="2961">
        <f t="shared" si="23"/>
        <v>0</v>
      </c>
      <c r="V85" s="2961">
        <f t="shared" si="24"/>
        <v>0</v>
      </c>
      <c r="W85" s="998"/>
      <c r="X85" s="2961">
        <f t="shared" si="25"/>
        <v>0</v>
      </c>
      <c r="Y85" s="2961">
        <f t="shared" si="26"/>
        <v>0</v>
      </c>
      <c r="Z85" s="998"/>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1</v>
      </c>
      <c r="R86" s="597">
        <f t="shared" si="27"/>
        <v>0</v>
      </c>
      <c r="S86" s="250">
        <f t="shared" si="28"/>
        <v>0</v>
      </c>
      <c r="T86" s="901">
        <f t="shared" si="29"/>
        <v>0</v>
      </c>
      <c r="U86" s="2961">
        <f t="shared" si="23"/>
        <v>0</v>
      </c>
      <c r="V86" s="2961">
        <f t="shared" si="24"/>
        <v>0</v>
      </c>
      <c r="W86" s="998"/>
      <c r="X86" s="2961">
        <f t="shared" si="25"/>
        <v>0</v>
      </c>
      <c r="Y86" s="2961">
        <f t="shared" si="26"/>
        <v>0</v>
      </c>
      <c r="Z86" s="998"/>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1</v>
      </c>
      <c r="R87" s="597">
        <f t="shared" si="27"/>
        <v>0</v>
      </c>
      <c r="S87" s="250">
        <f t="shared" si="28"/>
        <v>0</v>
      </c>
      <c r="T87" s="901">
        <f t="shared" si="29"/>
        <v>0</v>
      </c>
      <c r="U87" s="2961">
        <f t="shared" si="23"/>
        <v>0</v>
      </c>
      <c r="V87" s="2961">
        <f t="shared" si="24"/>
        <v>0</v>
      </c>
      <c r="W87" s="998"/>
      <c r="X87" s="2961">
        <f t="shared" si="25"/>
        <v>0</v>
      </c>
      <c r="Y87" s="2961">
        <f t="shared" si="26"/>
        <v>0</v>
      </c>
      <c r="Z87" s="998"/>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1</v>
      </c>
      <c r="R88" s="597">
        <f t="shared" si="27"/>
        <v>0</v>
      </c>
      <c r="S88" s="250">
        <f t="shared" si="28"/>
        <v>0</v>
      </c>
      <c r="T88" s="901">
        <f t="shared" si="29"/>
        <v>0</v>
      </c>
      <c r="U88" s="2961">
        <f t="shared" si="23"/>
        <v>0</v>
      </c>
      <c r="V88" s="2961">
        <f t="shared" si="24"/>
        <v>0</v>
      </c>
      <c r="W88" s="998"/>
      <c r="X88" s="2961">
        <f t="shared" si="25"/>
        <v>0</v>
      </c>
      <c r="Y88" s="2961">
        <f t="shared" si="26"/>
        <v>0</v>
      </c>
      <c r="Z88" s="998"/>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1</v>
      </c>
      <c r="R89" s="597">
        <f t="shared" si="27"/>
        <v>0</v>
      </c>
      <c r="S89" s="250">
        <f t="shared" si="28"/>
        <v>0</v>
      </c>
      <c r="T89" s="901">
        <f t="shared" si="29"/>
        <v>0</v>
      </c>
      <c r="U89" s="2961">
        <f t="shared" si="23"/>
        <v>0</v>
      </c>
      <c r="V89" s="2961">
        <f t="shared" si="24"/>
        <v>0</v>
      </c>
      <c r="W89" s="998"/>
      <c r="X89" s="2961">
        <f t="shared" si="25"/>
        <v>0</v>
      </c>
      <c r="Y89" s="2961">
        <f t="shared" si="26"/>
        <v>0</v>
      </c>
      <c r="Z89" s="998"/>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1</v>
      </c>
      <c r="R90" s="597">
        <f t="shared" si="27"/>
        <v>0</v>
      </c>
      <c r="S90" s="250">
        <f t="shared" si="28"/>
        <v>0</v>
      </c>
      <c r="T90" s="901">
        <f t="shared" si="29"/>
        <v>0</v>
      </c>
      <c r="U90" s="2961">
        <f t="shared" si="23"/>
        <v>0</v>
      </c>
      <c r="V90" s="2961">
        <f t="shared" si="24"/>
        <v>0</v>
      </c>
      <c r="W90" s="998"/>
      <c r="X90" s="2961">
        <f t="shared" si="25"/>
        <v>0</v>
      </c>
      <c r="Y90" s="2961">
        <f t="shared" si="26"/>
        <v>0</v>
      </c>
      <c r="Z90" s="998"/>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1</v>
      </c>
      <c r="R91" s="597">
        <f t="shared" si="27"/>
        <v>0</v>
      </c>
      <c r="S91" s="250">
        <f t="shared" si="28"/>
        <v>0</v>
      </c>
      <c r="T91" s="901">
        <f t="shared" si="29"/>
        <v>0</v>
      </c>
      <c r="U91" s="2961">
        <f t="shared" si="23"/>
        <v>0</v>
      </c>
      <c r="V91" s="2961">
        <f t="shared" si="24"/>
        <v>0</v>
      </c>
      <c r="W91" s="998"/>
      <c r="X91" s="2961">
        <f t="shared" si="25"/>
        <v>0</v>
      </c>
      <c r="Y91" s="2961">
        <f t="shared" si="26"/>
        <v>0</v>
      </c>
      <c r="Z91" s="998"/>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1</v>
      </c>
      <c r="R92" s="597">
        <f t="shared" si="27"/>
        <v>0</v>
      </c>
      <c r="S92" s="250">
        <f t="shared" si="28"/>
        <v>0</v>
      </c>
      <c r="T92" s="901">
        <f t="shared" si="29"/>
        <v>0</v>
      </c>
      <c r="U92" s="2961">
        <f t="shared" ref="U92:U155" si="38">ROUND(W92*B92,0)</f>
        <v>0</v>
      </c>
      <c r="V92" s="2961">
        <f t="shared" ref="V92:V155" si="39">ROUND(W92*B92/10000,0)</f>
        <v>0</v>
      </c>
      <c r="W92" s="998"/>
      <c r="X92" s="2961">
        <f t="shared" ref="X92:X155" si="40">ROUND(Z92*B92,0)</f>
        <v>0</v>
      </c>
      <c r="Y92" s="2961">
        <f t="shared" ref="Y92:Y155" si="41">ROUND(Z92*B92/10000,0)</f>
        <v>0</v>
      </c>
      <c r="Z92" s="998"/>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1</v>
      </c>
      <c r="R93" s="597">
        <f t="shared" ref="R93:R156" si="42">IF(B93="",0,ROUND($R$27*C93*E93*G93*I93*K93*M93*O93*Q93,0))</f>
        <v>0</v>
      </c>
      <c r="S93" s="250">
        <f t="shared" ref="S93:S156" si="43">ROUND(R93*B93,0)</f>
        <v>0</v>
      </c>
      <c r="T93" s="901">
        <f t="shared" ref="T93:T156" si="44">ROUND(R93*B93/10000,0)</f>
        <v>0</v>
      </c>
      <c r="U93" s="2961">
        <f t="shared" si="38"/>
        <v>0</v>
      </c>
      <c r="V93" s="2961">
        <f t="shared" si="39"/>
        <v>0</v>
      </c>
      <c r="W93" s="998"/>
      <c r="X93" s="2961">
        <f t="shared" si="40"/>
        <v>0</v>
      </c>
      <c r="Y93" s="2961">
        <f t="shared" si="41"/>
        <v>0</v>
      </c>
      <c r="Z93" s="998"/>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1</v>
      </c>
      <c r="R94" s="597">
        <f t="shared" si="42"/>
        <v>0</v>
      </c>
      <c r="S94" s="250">
        <f t="shared" si="43"/>
        <v>0</v>
      </c>
      <c r="T94" s="901">
        <f t="shared" si="44"/>
        <v>0</v>
      </c>
      <c r="U94" s="2961">
        <f t="shared" si="38"/>
        <v>0</v>
      </c>
      <c r="V94" s="2961">
        <f t="shared" si="39"/>
        <v>0</v>
      </c>
      <c r="W94" s="998"/>
      <c r="X94" s="2961">
        <f t="shared" si="40"/>
        <v>0</v>
      </c>
      <c r="Y94" s="2961">
        <f t="shared" si="41"/>
        <v>0</v>
      </c>
      <c r="Z94" s="998"/>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1</v>
      </c>
      <c r="R95" s="597">
        <f t="shared" si="42"/>
        <v>0</v>
      </c>
      <c r="S95" s="250">
        <f t="shared" si="43"/>
        <v>0</v>
      </c>
      <c r="T95" s="901">
        <f t="shared" si="44"/>
        <v>0</v>
      </c>
      <c r="U95" s="2961">
        <f t="shared" si="38"/>
        <v>0</v>
      </c>
      <c r="V95" s="2961">
        <f t="shared" si="39"/>
        <v>0</v>
      </c>
      <c r="W95" s="998"/>
      <c r="X95" s="2961">
        <f t="shared" si="40"/>
        <v>0</v>
      </c>
      <c r="Y95" s="2961">
        <f t="shared" si="41"/>
        <v>0</v>
      </c>
      <c r="Z95" s="998"/>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1</v>
      </c>
      <c r="R96" s="597">
        <f t="shared" si="42"/>
        <v>0</v>
      </c>
      <c r="S96" s="250">
        <f t="shared" si="43"/>
        <v>0</v>
      </c>
      <c r="T96" s="901">
        <f t="shared" si="44"/>
        <v>0</v>
      </c>
      <c r="U96" s="2961">
        <f t="shared" si="38"/>
        <v>0</v>
      </c>
      <c r="V96" s="2961">
        <f t="shared" si="39"/>
        <v>0</v>
      </c>
      <c r="W96" s="998"/>
      <c r="X96" s="2961">
        <f t="shared" si="40"/>
        <v>0</v>
      </c>
      <c r="Y96" s="2961">
        <f t="shared" si="41"/>
        <v>0</v>
      </c>
      <c r="Z96" s="998"/>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1</v>
      </c>
      <c r="R97" s="597">
        <f t="shared" si="42"/>
        <v>0</v>
      </c>
      <c r="S97" s="250">
        <f t="shared" si="43"/>
        <v>0</v>
      </c>
      <c r="T97" s="901">
        <f t="shared" si="44"/>
        <v>0</v>
      </c>
      <c r="U97" s="2961">
        <f t="shared" si="38"/>
        <v>0</v>
      </c>
      <c r="V97" s="2961">
        <f t="shared" si="39"/>
        <v>0</v>
      </c>
      <c r="W97" s="998"/>
      <c r="X97" s="2961">
        <f t="shared" si="40"/>
        <v>0</v>
      </c>
      <c r="Y97" s="2961">
        <f t="shared" si="41"/>
        <v>0</v>
      </c>
      <c r="Z97" s="998"/>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1</v>
      </c>
      <c r="R98" s="597">
        <f t="shared" si="42"/>
        <v>0</v>
      </c>
      <c r="S98" s="250">
        <f t="shared" si="43"/>
        <v>0</v>
      </c>
      <c r="T98" s="901">
        <f t="shared" si="44"/>
        <v>0</v>
      </c>
      <c r="U98" s="2961">
        <f t="shared" si="38"/>
        <v>0</v>
      </c>
      <c r="V98" s="2961">
        <f t="shared" si="39"/>
        <v>0</v>
      </c>
      <c r="W98" s="998"/>
      <c r="X98" s="2961">
        <f t="shared" si="40"/>
        <v>0</v>
      </c>
      <c r="Y98" s="2961">
        <f t="shared" si="41"/>
        <v>0</v>
      </c>
      <c r="Z98" s="998"/>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1</v>
      </c>
      <c r="R99" s="597">
        <f t="shared" si="42"/>
        <v>0</v>
      </c>
      <c r="S99" s="250">
        <f t="shared" si="43"/>
        <v>0</v>
      </c>
      <c r="T99" s="901">
        <f t="shared" si="44"/>
        <v>0</v>
      </c>
      <c r="U99" s="2961">
        <f t="shared" si="38"/>
        <v>0</v>
      </c>
      <c r="V99" s="2961">
        <f t="shared" si="39"/>
        <v>0</v>
      </c>
      <c r="W99" s="998"/>
      <c r="X99" s="2961">
        <f t="shared" si="40"/>
        <v>0</v>
      </c>
      <c r="Y99" s="2961">
        <f t="shared" si="41"/>
        <v>0</v>
      </c>
      <c r="Z99" s="998"/>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1</v>
      </c>
      <c r="R100" s="597">
        <f t="shared" si="42"/>
        <v>0</v>
      </c>
      <c r="S100" s="250">
        <f t="shared" si="43"/>
        <v>0</v>
      </c>
      <c r="T100" s="901">
        <f t="shared" si="44"/>
        <v>0</v>
      </c>
      <c r="U100" s="2961">
        <f t="shared" si="38"/>
        <v>0</v>
      </c>
      <c r="V100" s="2961">
        <f t="shared" si="39"/>
        <v>0</v>
      </c>
      <c r="W100" s="998"/>
      <c r="X100" s="2961">
        <f t="shared" si="40"/>
        <v>0</v>
      </c>
      <c r="Y100" s="2961">
        <f t="shared" si="41"/>
        <v>0</v>
      </c>
      <c r="Z100" s="998"/>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1</v>
      </c>
      <c r="R101" s="597">
        <f t="shared" si="42"/>
        <v>0</v>
      </c>
      <c r="S101" s="250">
        <f t="shared" si="43"/>
        <v>0</v>
      </c>
      <c r="T101" s="901">
        <f t="shared" si="44"/>
        <v>0</v>
      </c>
      <c r="U101" s="2961">
        <f t="shared" si="38"/>
        <v>0</v>
      </c>
      <c r="V101" s="2961">
        <f t="shared" si="39"/>
        <v>0</v>
      </c>
      <c r="W101" s="998"/>
      <c r="X101" s="2961">
        <f t="shared" si="40"/>
        <v>0</v>
      </c>
      <c r="Y101" s="2961">
        <f t="shared" si="41"/>
        <v>0</v>
      </c>
      <c r="Z101" s="998"/>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1</v>
      </c>
      <c r="R102" s="597">
        <f t="shared" si="42"/>
        <v>0</v>
      </c>
      <c r="S102" s="250">
        <f t="shared" si="43"/>
        <v>0</v>
      </c>
      <c r="T102" s="901">
        <f t="shared" si="44"/>
        <v>0</v>
      </c>
      <c r="U102" s="2961">
        <f t="shared" si="38"/>
        <v>0</v>
      </c>
      <c r="V102" s="2961">
        <f t="shared" si="39"/>
        <v>0</v>
      </c>
      <c r="W102" s="998"/>
      <c r="X102" s="2961">
        <f t="shared" si="40"/>
        <v>0</v>
      </c>
      <c r="Y102" s="2961">
        <f t="shared" si="41"/>
        <v>0</v>
      </c>
      <c r="Z102" s="998"/>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1</v>
      </c>
      <c r="R103" s="597">
        <f t="shared" si="42"/>
        <v>0</v>
      </c>
      <c r="S103" s="250">
        <f t="shared" si="43"/>
        <v>0</v>
      </c>
      <c r="T103" s="901">
        <f t="shared" si="44"/>
        <v>0</v>
      </c>
      <c r="U103" s="2961">
        <f t="shared" si="38"/>
        <v>0</v>
      </c>
      <c r="V103" s="2961">
        <f t="shared" si="39"/>
        <v>0</v>
      </c>
      <c r="W103" s="998"/>
      <c r="X103" s="2961">
        <f t="shared" si="40"/>
        <v>0</v>
      </c>
      <c r="Y103" s="2961">
        <f t="shared" si="41"/>
        <v>0</v>
      </c>
      <c r="Z103" s="998"/>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1</v>
      </c>
      <c r="R104" s="597">
        <f t="shared" si="42"/>
        <v>0</v>
      </c>
      <c r="S104" s="250">
        <f t="shared" si="43"/>
        <v>0</v>
      </c>
      <c r="T104" s="901">
        <f t="shared" si="44"/>
        <v>0</v>
      </c>
      <c r="U104" s="2961">
        <f t="shared" si="38"/>
        <v>0</v>
      </c>
      <c r="V104" s="2961">
        <f t="shared" si="39"/>
        <v>0</v>
      </c>
      <c r="W104" s="998"/>
      <c r="X104" s="2961">
        <f t="shared" si="40"/>
        <v>0</v>
      </c>
      <c r="Y104" s="2961">
        <f t="shared" si="41"/>
        <v>0</v>
      </c>
      <c r="Z104" s="998"/>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1</v>
      </c>
      <c r="R105" s="597">
        <f t="shared" si="42"/>
        <v>0</v>
      </c>
      <c r="S105" s="250">
        <f t="shared" si="43"/>
        <v>0</v>
      </c>
      <c r="T105" s="901">
        <f t="shared" si="44"/>
        <v>0</v>
      </c>
      <c r="U105" s="2961">
        <f t="shared" si="38"/>
        <v>0</v>
      </c>
      <c r="V105" s="2961">
        <f t="shared" si="39"/>
        <v>0</v>
      </c>
      <c r="W105" s="998"/>
      <c r="X105" s="2961">
        <f t="shared" si="40"/>
        <v>0</v>
      </c>
      <c r="Y105" s="2961">
        <f t="shared" si="41"/>
        <v>0</v>
      </c>
      <c r="Z105" s="998"/>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1</v>
      </c>
      <c r="R106" s="597">
        <f t="shared" si="42"/>
        <v>0</v>
      </c>
      <c r="S106" s="250">
        <f t="shared" si="43"/>
        <v>0</v>
      </c>
      <c r="T106" s="901">
        <f t="shared" si="44"/>
        <v>0</v>
      </c>
      <c r="U106" s="2961">
        <f t="shared" si="38"/>
        <v>0</v>
      </c>
      <c r="V106" s="2961">
        <f t="shared" si="39"/>
        <v>0</v>
      </c>
      <c r="W106" s="998"/>
      <c r="X106" s="2961">
        <f t="shared" si="40"/>
        <v>0</v>
      </c>
      <c r="Y106" s="2961">
        <f t="shared" si="41"/>
        <v>0</v>
      </c>
      <c r="Z106" s="998"/>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1</v>
      </c>
      <c r="R107" s="597">
        <f t="shared" si="42"/>
        <v>0</v>
      </c>
      <c r="S107" s="250">
        <f t="shared" si="43"/>
        <v>0</v>
      </c>
      <c r="T107" s="901">
        <f t="shared" si="44"/>
        <v>0</v>
      </c>
      <c r="U107" s="2961">
        <f t="shared" si="38"/>
        <v>0</v>
      </c>
      <c r="V107" s="2961">
        <f t="shared" si="39"/>
        <v>0</v>
      </c>
      <c r="W107" s="998"/>
      <c r="X107" s="2961">
        <f t="shared" si="40"/>
        <v>0</v>
      </c>
      <c r="Y107" s="2961">
        <f t="shared" si="41"/>
        <v>0</v>
      </c>
      <c r="Z107" s="998"/>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1</v>
      </c>
      <c r="R108" s="597">
        <f t="shared" si="42"/>
        <v>0</v>
      </c>
      <c r="S108" s="250">
        <f t="shared" si="43"/>
        <v>0</v>
      </c>
      <c r="T108" s="901">
        <f t="shared" si="44"/>
        <v>0</v>
      </c>
      <c r="U108" s="2961">
        <f t="shared" si="38"/>
        <v>0</v>
      </c>
      <c r="V108" s="2961">
        <f t="shared" si="39"/>
        <v>0</v>
      </c>
      <c r="W108" s="998"/>
      <c r="X108" s="2961">
        <f t="shared" si="40"/>
        <v>0</v>
      </c>
      <c r="Y108" s="2961">
        <f t="shared" si="41"/>
        <v>0</v>
      </c>
      <c r="Z108" s="998"/>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1</v>
      </c>
      <c r="R109" s="597">
        <f t="shared" si="42"/>
        <v>0</v>
      </c>
      <c r="S109" s="250">
        <f t="shared" si="43"/>
        <v>0</v>
      </c>
      <c r="T109" s="901">
        <f t="shared" si="44"/>
        <v>0</v>
      </c>
      <c r="U109" s="2961">
        <f t="shared" si="38"/>
        <v>0</v>
      </c>
      <c r="V109" s="2961">
        <f t="shared" si="39"/>
        <v>0</v>
      </c>
      <c r="W109" s="998"/>
      <c r="X109" s="2961">
        <f t="shared" si="40"/>
        <v>0</v>
      </c>
      <c r="Y109" s="2961">
        <f t="shared" si="41"/>
        <v>0</v>
      </c>
      <c r="Z109" s="998"/>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1</v>
      </c>
      <c r="R110" s="597">
        <f t="shared" si="42"/>
        <v>0</v>
      </c>
      <c r="S110" s="250">
        <f t="shared" si="43"/>
        <v>0</v>
      </c>
      <c r="T110" s="901">
        <f t="shared" si="44"/>
        <v>0</v>
      </c>
      <c r="U110" s="2961">
        <f t="shared" si="38"/>
        <v>0</v>
      </c>
      <c r="V110" s="2961">
        <f t="shared" si="39"/>
        <v>0</v>
      </c>
      <c r="W110" s="998"/>
      <c r="X110" s="2961">
        <f t="shared" si="40"/>
        <v>0</v>
      </c>
      <c r="Y110" s="2961">
        <f t="shared" si="41"/>
        <v>0</v>
      </c>
      <c r="Z110" s="998"/>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1</v>
      </c>
      <c r="R111" s="597">
        <f t="shared" si="42"/>
        <v>0</v>
      </c>
      <c r="S111" s="250">
        <f t="shared" si="43"/>
        <v>0</v>
      </c>
      <c r="T111" s="901">
        <f t="shared" si="44"/>
        <v>0</v>
      </c>
      <c r="U111" s="2961">
        <f t="shared" si="38"/>
        <v>0</v>
      </c>
      <c r="V111" s="2961">
        <f t="shared" si="39"/>
        <v>0</v>
      </c>
      <c r="W111" s="998"/>
      <c r="X111" s="2961">
        <f t="shared" si="40"/>
        <v>0</v>
      </c>
      <c r="Y111" s="2961">
        <f t="shared" si="41"/>
        <v>0</v>
      </c>
      <c r="Z111" s="998"/>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1</v>
      </c>
      <c r="R112" s="597">
        <f t="shared" si="42"/>
        <v>0</v>
      </c>
      <c r="S112" s="250">
        <f t="shared" si="43"/>
        <v>0</v>
      </c>
      <c r="T112" s="901">
        <f t="shared" si="44"/>
        <v>0</v>
      </c>
      <c r="U112" s="2961">
        <f t="shared" si="38"/>
        <v>0</v>
      </c>
      <c r="V112" s="2961">
        <f t="shared" si="39"/>
        <v>0</v>
      </c>
      <c r="W112" s="998"/>
      <c r="X112" s="2961">
        <f t="shared" si="40"/>
        <v>0</v>
      </c>
      <c r="Y112" s="2961">
        <f t="shared" si="41"/>
        <v>0</v>
      </c>
      <c r="Z112" s="998"/>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1</v>
      </c>
      <c r="R113" s="597">
        <f t="shared" si="42"/>
        <v>0</v>
      </c>
      <c r="S113" s="250">
        <f t="shared" si="43"/>
        <v>0</v>
      </c>
      <c r="T113" s="901">
        <f t="shared" si="44"/>
        <v>0</v>
      </c>
      <c r="U113" s="2961">
        <f t="shared" si="38"/>
        <v>0</v>
      </c>
      <c r="V113" s="2961">
        <f t="shared" si="39"/>
        <v>0</v>
      </c>
      <c r="W113" s="998"/>
      <c r="X113" s="2961">
        <f t="shared" si="40"/>
        <v>0</v>
      </c>
      <c r="Y113" s="2961">
        <f t="shared" si="41"/>
        <v>0</v>
      </c>
      <c r="Z113" s="998"/>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1</v>
      </c>
      <c r="R114" s="597">
        <f t="shared" si="42"/>
        <v>0</v>
      </c>
      <c r="S114" s="250">
        <f t="shared" si="43"/>
        <v>0</v>
      </c>
      <c r="T114" s="901">
        <f t="shared" si="44"/>
        <v>0</v>
      </c>
      <c r="U114" s="2961">
        <f t="shared" si="38"/>
        <v>0</v>
      </c>
      <c r="V114" s="2961">
        <f t="shared" si="39"/>
        <v>0</v>
      </c>
      <c r="W114" s="998"/>
      <c r="X114" s="2961">
        <f t="shared" si="40"/>
        <v>0</v>
      </c>
      <c r="Y114" s="2961">
        <f t="shared" si="41"/>
        <v>0</v>
      </c>
      <c r="Z114" s="998"/>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1</v>
      </c>
      <c r="R115" s="597">
        <f t="shared" si="42"/>
        <v>0</v>
      </c>
      <c r="S115" s="250">
        <f t="shared" si="43"/>
        <v>0</v>
      </c>
      <c r="T115" s="901">
        <f t="shared" si="44"/>
        <v>0</v>
      </c>
      <c r="U115" s="2961">
        <f t="shared" si="38"/>
        <v>0</v>
      </c>
      <c r="V115" s="2961">
        <f t="shared" si="39"/>
        <v>0</v>
      </c>
      <c r="W115" s="998"/>
      <c r="X115" s="2961">
        <f t="shared" si="40"/>
        <v>0</v>
      </c>
      <c r="Y115" s="2961">
        <f t="shared" si="41"/>
        <v>0</v>
      </c>
      <c r="Z115" s="998"/>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1</v>
      </c>
      <c r="R116" s="597">
        <f t="shared" si="42"/>
        <v>0</v>
      </c>
      <c r="S116" s="250">
        <f t="shared" si="43"/>
        <v>0</v>
      </c>
      <c r="T116" s="901">
        <f t="shared" si="44"/>
        <v>0</v>
      </c>
      <c r="U116" s="2961">
        <f t="shared" si="38"/>
        <v>0</v>
      </c>
      <c r="V116" s="2961">
        <f t="shared" si="39"/>
        <v>0</v>
      </c>
      <c r="W116" s="998"/>
      <c r="X116" s="2961">
        <f t="shared" si="40"/>
        <v>0</v>
      </c>
      <c r="Y116" s="2961">
        <f t="shared" si="41"/>
        <v>0</v>
      </c>
      <c r="Z116" s="998"/>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1</v>
      </c>
      <c r="R117" s="597">
        <f t="shared" si="42"/>
        <v>0</v>
      </c>
      <c r="S117" s="250">
        <f t="shared" si="43"/>
        <v>0</v>
      </c>
      <c r="T117" s="901">
        <f t="shared" si="44"/>
        <v>0</v>
      </c>
      <c r="U117" s="2961">
        <f t="shared" si="38"/>
        <v>0</v>
      </c>
      <c r="V117" s="2961">
        <f t="shared" si="39"/>
        <v>0</v>
      </c>
      <c r="W117" s="998"/>
      <c r="X117" s="2961">
        <f t="shared" si="40"/>
        <v>0</v>
      </c>
      <c r="Y117" s="2961">
        <f t="shared" si="41"/>
        <v>0</v>
      </c>
      <c r="Z117" s="998"/>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1</v>
      </c>
      <c r="R118" s="597">
        <f t="shared" si="42"/>
        <v>0</v>
      </c>
      <c r="S118" s="250">
        <f t="shared" si="43"/>
        <v>0</v>
      </c>
      <c r="T118" s="901">
        <f t="shared" si="44"/>
        <v>0</v>
      </c>
      <c r="U118" s="2961">
        <f t="shared" si="38"/>
        <v>0</v>
      </c>
      <c r="V118" s="2961">
        <f t="shared" si="39"/>
        <v>0</v>
      </c>
      <c r="W118" s="998"/>
      <c r="X118" s="2961">
        <f t="shared" si="40"/>
        <v>0</v>
      </c>
      <c r="Y118" s="2961">
        <f t="shared" si="41"/>
        <v>0</v>
      </c>
      <c r="Z118" s="998"/>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1</v>
      </c>
      <c r="R119" s="597">
        <f t="shared" si="42"/>
        <v>0</v>
      </c>
      <c r="S119" s="250">
        <f t="shared" si="43"/>
        <v>0</v>
      </c>
      <c r="T119" s="901">
        <f t="shared" si="44"/>
        <v>0</v>
      </c>
      <c r="U119" s="2961">
        <f t="shared" si="38"/>
        <v>0</v>
      </c>
      <c r="V119" s="2961">
        <f t="shared" si="39"/>
        <v>0</v>
      </c>
      <c r="W119" s="998"/>
      <c r="X119" s="2961">
        <f t="shared" si="40"/>
        <v>0</v>
      </c>
      <c r="Y119" s="2961">
        <f t="shared" si="41"/>
        <v>0</v>
      </c>
      <c r="Z119" s="998"/>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1</v>
      </c>
      <c r="R120" s="597">
        <f t="shared" si="42"/>
        <v>0</v>
      </c>
      <c r="S120" s="250">
        <f t="shared" si="43"/>
        <v>0</v>
      </c>
      <c r="T120" s="901">
        <f t="shared" si="44"/>
        <v>0</v>
      </c>
      <c r="U120" s="2961">
        <f t="shared" si="38"/>
        <v>0</v>
      </c>
      <c r="V120" s="2961">
        <f t="shared" si="39"/>
        <v>0</v>
      </c>
      <c r="W120" s="998"/>
      <c r="X120" s="2961">
        <f t="shared" si="40"/>
        <v>0</v>
      </c>
      <c r="Y120" s="2961">
        <f t="shared" si="41"/>
        <v>0</v>
      </c>
      <c r="Z120" s="998"/>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1</v>
      </c>
      <c r="R121" s="597">
        <f t="shared" si="42"/>
        <v>0</v>
      </c>
      <c r="S121" s="250">
        <f t="shared" si="43"/>
        <v>0</v>
      </c>
      <c r="T121" s="901">
        <f t="shared" si="44"/>
        <v>0</v>
      </c>
      <c r="U121" s="2961">
        <f t="shared" si="38"/>
        <v>0</v>
      </c>
      <c r="V121" s="2961">
        <f t="shared" si="39"/>
        <v>0</v>
      </c>
      <c r="W121" s="998"/>
      <c r="X121" s="2961">
        <f t="shared" si="40"/>
        <v>0</v>
      </c>
      <c r="Y121" s="2961">
        <f t="shared" si="41"/>
        <v>0</v>
      </c>
      <c r="Z121" s="998"/>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1</v>
      </c>
      <c r="R122" s="597">
        <f t="shared" si="42"/>
        <v>0</v>
      </c>
      <c r="S122" s="250">
        <f t="shared" si="43"/>
        <v>0</v>
      </c>
      <c r="T122" s="901">
        <f t="shared" si="44"/>
        <v>0</v>
      </c>
      <c r="U122" s="2961">
        <f t="shared" si="38"/>
        <v>0</v>
      </c>
      <c r="V122" s="2961">
        <f t="shared" si="39"/>
        <v>0</v>
      </c>
      <c r="W122" s="998"/>
      <c r="X122" s="2961">
        <f t="shared" si="40"/>
        <v>0</v>
      </c>
      <c r="Y122" s="2961">
        <f t="shared" si="41"/>
        <v>0</v>
      </c>
      <c r="Z122" s="998"/>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1</v>
      </c>
      <c r="R123" s="597">
        <f t="shared" si="42"/>
        <v>0</v>
      </c>
      <c r="S123" s="250">
        <f t="shared" si="43"/>
        <v>0</v>
      </c>
      <c r="T123" s="901">
        <f t="shared" si="44"/>
        <v>0</v>
      </c>
      <c r="U123" s="2961">
        <f t="shared" si="38"/>
        <v>0</v>
      </c>
      <c r="V123" s="2961">
        <f t="shared" si="39"/>
        <v>0</v>
      </c>
      <c r="W123" s="998"/>
      <c r="X123" s="2961">
        <f t="shared" si="40"/>
        <v>0</v>
      </c>
      <c r="Y123" s="2961">
        <f t="shared" si="41"/>
        <v>0</v>
      </c>
      <c r="Z123" s="998"/>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1</v>
      </c>
      <c r="R124" s="597">
        <f t="shared" si="42"/>
        <v>0</v>
      </c>
      <c r="S124" s="250">
        <f t="shared" si="43"/>
        <v>0</v>
      </c>
      <c r="T124" s="901">
        <f t="shared" si="44"/>
        <v>0</v>
      </c>
      <c r="U124" s="2961">
        <f t="shared" si="38"/>
        <v>0</v>
      </c>
      <c r="V124" s="2961">
        <f t="shared" si="39"/>
        <v>0</v>
      </c>
      <c r="W124" s="998"/>
      <c r="X124" s="2961">
        <f t="shared" si="40"/>
        <v>0</v>
      </c>
      <c r="Y124" s="2961">
        <f t="shared" si="41"/>
        <v>0</v>
      </c>
      <c r="Z124" s="998"/>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1</v>
      </c>
      <c r="R125" s="597">
        <f t="shared" si="42"/>
        <v>0</v>
      </c>
      <c r="S125" s="250">
        <f t="shared" si="43"/>
        <v>0</v>
      </c>
      <c r="T125" s="901">
        <f t="shared" si="44"/>
        <v>0</v>
      </c>
      <c r="U125" s="2961">
        <f t="shared" si="38"/>
        <v>0</v>
      </c>
      <c r="V125" s="2961">
        <f t="shared" si="39"/>
        <v>0</v>
      </c>
      <c r="W125" s="998"/>
      <c r="X125" s="2961">
        <f t="shared" si="40"/>
        <v>0</v>
      </c>
      <c r="Y125" s="2961">
        <f t="shared" si="41"/>
        <v>0</v>
      </c>
      <c r="Z125" s="998"/>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1</v>
      </c>
      <c r="R126" s="597">
        <f t="shared" si="42"/>
        <v>0</v>
      </c>
      <c r="S126" s="250">
        <f t="shared" si="43"/>
        <v>0</v>
      </c>
      <c r="T126" s="901">
        <f t="shared" si="44"/>
        <v>0</v>
      </c>
      <c r="U126" s="2961">
        <f t="shared" si="38"/>
        <v>0</v>
      </c>
      <c r="V126" s="2961">
        <f t="shared" si="39"/>
        <v>0</v>
      </c>
      <c r="W126" s="998"/>
      <c r="X126" s="2961">
        <f t="shared" si="40"/>
        <v>0</v>
      </c>
      <c r="Y126" s="2961">
        <f t="shared" si="41"/>
        <v>0</v>
      </c>
      <c r="Z126" s="998"/>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1</v>
      </c>
      <c r="R127" s="597">
        <f t="shared" si="42"/>
        <v>0</v>
      </c>
      <c r="S127" s="250">
        <f t="shared" si="43"/>
        <v>0</v>
      </c>
      <c r="T127" s="901">
        <f t="shared" si="44"/>
        <v>0</v>
      </c>
      <c r="U127" s="2961">
        <f t="shared" si="38"/>
        <v>0</v>
      </c>
      <c r="V127" s="2961">
        <f t="shared" si="39"/>
        <v>0</v>
      </c>
      <c r="W127" s="998"/>
      <c r="X127" s="2961">
        <f t="shared" si="40"/>
        <v>0</v>
      </c>
      <c r="Y127" s="2961">
        <f t="shared" si="41"/>
        <v>0</v>
      </c>
      <c r="Z127" s="998"/>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1</v>
      </c>
      <c r="R128" s="597">
        <f t="shared" si="42"/>
        <v>0</v>
      </c>
      <c r="S128" s="250">
        <f t="shared" si="43"/>
        <v>0</v>
      </c>
      <c r="T128" s="901">
        <f t="shared" si="44"/>
        <v>0</v>
      </c>
      <c r="U128" s="2961">
        <f t="shared" si="38"/>
        <v>0</v>
      </c>
      <c r="V128" s="2961">
        <f t="shared" si="39"/>
        <v>0</v>
      </c>
      <c r="W128" s="998"/>
      <c r="X128" s="2961">
        <f t="shared" si="40"/>
        <v>0</v>
      </c>
      <c r="Y128" s="2961">
        <f t="shared" si="41"/>
        <v>0</v>
      </c>
      <c r="Z128" s="998"/>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1</v>
      </c>
      <c r="R129" s="597">
        <f t="shared" si="42"/>
        <v>0</v>
      </c>
      <c r="S129" s="250">
        <f t="shared" si="43"/>
        <v>0</v>
      </c>
      <c r="T129" s="901">
        <f t="shared" si="44"/>
        <v>0</v>
      </c>
      <c r="U129" s="2961">
        <f t="shared" si="38"/>
        <v>0</v>
      </c>
      <c r="V129" s="2961">
        <f t="shared" si="39"/>
        <v>0</v>
      </c>
      <c r="W129" s="998"/>
      <c r="X129" s="2961">
        <f t="shared" si="40"/>
        <v>0</v>
      </c>
      <c r="Y129" s="2961">
        <f t="shared" si="41"/>
        <v>0</v>
      </c>
      <c r="Z129" s="998"/>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1</v>
      </c>
      <c r="R130" s="597">
        <f t="shared" si="42"/>
        <v>0</v>
      </c>
      <c r="S130" s="250">
        <f t="shared" si="43"/>
        <v>0</v>
      </c>
      <c r="T130" s="901">
        <f t="shared" si="44"/>
        <v>0</v>
      </c>
      <c r="U130" s="2961">
        <f t="shared" si="38"/>
        <v>0</v>
      </c>
      <c r="V130" s="2961">
        <f t="shared" si="39"/>
        <v>0</v>
      </c>
      <c r="W130" s="998"/>
      <c r="X130" s="2961">
        <f t="shared" si="40"/>
        <v>0</v>
      </c>
      <c r="Y130" s="2961">
        <f t="shared" si="41"/>
        <v>0</v>
      </c>
      <c r="Z130" s="998"/>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1</v>
      </c>
      <c r="R131" s="597">
        <f t="shared" si="42"/>
        <v>0</v>
      </c>
      <c r="S131" s="250">
        <f t="shared" si="43"/>
        <v>0</v>
      </c>
      <c r="T131" s="901">
        <f t="shared" si="44"/>
        <v>0</v>
      </c>
      <c r="U131" s="2961">
        <f t="shared" si="38"/>
        <v>0</v>
      </c>
      <c r="V131" s="2961">
        <f t="shared" si="39"/>
        <v>0</v>
      </c>
      <c r="W131" s="998"/>
      <c r="X131" s="2961">
        <f t="shared" si="40"/>
        <v>0</v>
      </c>
      <c r="Y131" s="2961">
        <f t="shared" si="41"/>
        <v>0</v>
      </c>
      <c r="Z131" s="998"/>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1</v>
      </c>
      <c r="R132" s="597">
        <f t="shared" si="42"/>
        <v>0</v>
      </c>
      <c r="S132" s="250">
        <f t="shared" si="43"/>
        <v>0</v>
      </c>
      <c r="T132" s="901">
        <f t="shared" si="44"/>
        <v>0</v>
      </c>
      <c r="U132" s="2961">
        <f t="shared" si="38"/>
        <v>0</v>
      </c>
      <c r="V132" s="2961">
        <f t="shared" si="39"/>
        <v>0</v>
      </c>
      <c r="W132" s="998"/>
      <c r="X132" s="2961">
        <f t="shared" si="40"/>
        <v>0</v>
      </c>
      <c r="Y132" s="2961">
        <f t="shared" si="41"/>
        <v>0</v>
      </c>
      <c r="Z132" s="998"/>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1</v>
      </c>
      <c r="R133" s="597">
        <f t="shared" si="42"/>
        <v>0</v>
      </c>
      <c r="S133" s="250">
        <f t="shared" si="43"/>
        <v>0</v>
      </c>
      <c r="T133" s="901">
        <f t="shared" si="44"/>
        <v>0</v>
      </c>
      <c r="U133" s="2961">
        <f t="shared" si="38"/>
        <v>0</v>
      </c>
      <c r="V133" s="2961">
        <f t="shared" si="39"/>
        <v>0</v>
      </c>
      <c r="W133" s="998"/>
      <c r="X133" s="2961">
        <f t="shared" si="40"/>
        <v>0</v>
      </c>
      <c r="Y133" s="2961">
        <f t="shared" si="41"/>
        <v>0</v>
      </c>
      <c r="Z133" s="998"/>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1</v>
      </c>
      <c r="R134" s="597">
        <f t="shared" si="42"/>
        <v>0</v>
      </c>
      <c r="S134" s="250">
        <f t="shared" si="43"/>
        <v>0</v>
      </c>
      <c r="T134" s="901">
        <f t="shared" si="44"/>
        <v>0</v>
      </c>
      <c r="U134" s="2961">
        <f t="shared" si="38"/>
        <v>0</v>
      </c>
      <c r="V134" s="2961">
        <f t="shared" si="39"/>
        <v>0</v>
      </c>
      <c r="W134" s="998"/>
      <c r="X134" s="2961">
        <f t="shared" si="40"/>
        <v>0</v>
      </c>
      <c r="Y134" s="2961">
        <f t="shared" si="41"/>
        <v>0</v>
      </c>
      <c r="Z134" s="998"/>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1</v>
      </c>
      <c r="R135" s="597">
        <f t="shared" si="42"/>
        <v>0</v>
      </c>
      <c r="S135" s="250">
        <f t="shared" si="43"/>
        <v>0</v>
      </c>
      <c r="T135" s="901">
        <f t="shared" si="44"/>
        <v>0</v>
      </c>
      <c r="U135" s="2961">
        <f t="shared" si="38"/>
        <v>0</v>
      </c>
      <c r="V135" s="2961">
        <f t="shared" si="39"/>
        <v>0</v>
      </c>
      <c r="W135" s="998"/>
      <c r="X135" s="2961">
        <f t="shared" si="40"/>
        <v>0</v>
      </c>
      <c r="Y135" s="2961">
        <f t="shared" si="41"/>
        <v>0</v>
      </c>
      <c r="Z135" s="998"/>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1</v>
      </c>
      <c r="R136" s="597">
        <f t="shared" si="42"/>
        <v>0</v>
      </c>
      <c r="S136" s="250">
        <f t="shared" si="43"/>
        <v>0</v>
      </c>
      <c r="T136" s="901">
        <f t="shared" si="44"/>
        <v>0</v>
      </c>
      <c r="U136" s="2961">
        <f t="shared" si="38"/>
        <v>0</v>
      </c>
      <c r="V136" s="2961">
        <f t="shared" si="39"/>
        <v>0</v>
      </c>
      <c r="W136" s="998"/>
      <c r="X136" s="2961">
        <f t="shared" si="40"/>
        <v>0</v>
      </c>
      <c r="Y136" s="2961">
        <f t="shared" si="41"/>
        <v>0</v>
      </c>
      <c r="Z136" s="998"/>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1</v>
      </c>
      <c r="R137" s="597">
        <f t="shared" si="42"/>
        <v>0</v>
      </c>
      <c r="S137" s="250">
        <f t="shared" si="43"/>
        <v>0</v>
      </c>
      <c r="T137" s="901">
        <f t="shared" si="44"/>
        <v>0</v>
      </c>
      <c r="U137" s="2961">
        <f t="shared" si="38"/>
        <v>0</v>
      </c>
      <c r="V137" s="2961">
        <f t="shared" si="39"/>
        <v>0</v>
      </c>
      <c r="W137" s="998"/>
      <c r="X137" s="2961">
        <f t="shared" si="40"/>
        <v>0</v>
      </c>
      <c r="Y137" s="2961">
        <f t="shared" si="41"/>
        <v>0</v>
      </c>
      <c r="Z137" s="998"/>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1</v>
      </c>
      <c r="R138" s="597">
        <f t="shared" si="42"/>
        <v>0</v>
      </c>
      <c r="S138" s="250">
        <f t="shared" si="43"/>
        <v>0</v>
      </c>
      <c r="T138" s="901">
        <f t="shared" si="44"/>
        <v>0</v>
      </c>
      <c r="U138" s="2961">
        <f t="shared" si="38"/>
        <v>0</v>
      </c>
      <c r="V138" s="2961">
        <f t="shared" si="39"/>
        <v>0</v>
      </c>
      <c r="W138" s="998"/>
      <c r="X138" s="2961">
        <f t="shared" si="40"/>
        <v>0</v>
      </c>
      <c r="Y138" s="2961">
        <f t="shared" si="41"/>
        <v>0</v>
      </c>
      <c r="Z138" s="998"/>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1</v>
      </c>
      <c r="R139" s="597">
        <f t="shared" si="42"/>
        <v>0</v>
      </c>
      <c r="S139" s="250">
        <f t="shared" si="43"/>
        <v>0</v>
      </c>
      <c r="T139" s="901">
        <f t="shared" si="44"/>
        <v>0</v>
      </c>
      <c r="U139" s="2961">
        <f t="shared" si="38"/>
        <v>0</v>
      </c>
      <c r="V139" s="2961">
        <f t="shared" si="39"/>
        <v>0</v>
      </c>
      <c r="W139" s="998"/>
      <c r="X139" s="2961">
        <f t="shared" si="40"/>
        <v>0</v>
      </c>
      <c r="Y139" s="2961">
        <f t="shared" si="41"/>
        <v>0</v>
      </c>
      <c r="Z139" s="998"/>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1</v>
      </c>
      <c r="R140" s="597">
        <f t="shared" si="42"/>
        <v>0</v>
      </c>
      <c r="S140" s="250">
        <f t="shared" si="43"/>
        <v>0</v>
      </c>
      <c r="T140" s="901">
        <f t="shared" si="44"/>
        <v>0</v>
      </c>
      <c r="U140" s="2961">
        <f t="shared" si="38"/>
        <v>0</v>
      </c>
      <c r="V140" s="2961">
        <f t="shared" si="39"/>
        <v>0</v>
      </c>
      <c r="W140" s="998"/>
      <c r="X140" s="2961">
        <f t="shared" si="40"/>
        <v>0</v>
      </c>
      <c r="Y140" s="2961">
        <f t="shared" si="41"/>
        <v>0</v>
      </c>
      <c r="Z140" s="998"/>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1</v>
      </c>
      <c r="R141" s="597">
        <f t="shared" si="42"/>
        <v>0</v>
      </c>
      <c r="S141" s="250">
        <f t="shared" si="43"/>
        <v>0</v>
      </c>
      <c r="T141" s="901">
        <f t="shared" si="44"/>
        <v>0</v>
      </c>
      <c r="U141" s="2961">
        <f t="shared" si="38"/>
        <v>0</v>
      </c>
      <c r="V141" s="2961">
        <f t="shared" si="39"/>
        <v>0</v>
      </c>
      <c r="W141" s="998"/>
      <c r="X141" s="2961">
        <f t="shared" si="40"/>
        <v>0</v>
      </c>
      <c r="Y141" s="2961">
        <f t="shared" si="41"/>
        <v>0</v>
      </c>
      <c r="Z141" s="998"/>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1</v>
      </c>
      <c r="R142" s="597">
        <f t="shared" si="42"/>
        <v>0</v>
      </c>
      <c r="S142" s="250">
        <f t="shared" si="43"/>
        <v>0</v>
      </c>
      <c r="T142" s="901">
        <f t="shared" si="44"/>
        <v>0</v>
      </c>
      <c r="U142" s="2961">
        <f t="shared" si="38"/>
        <v>0</v>
      </c>
      <c r="V142" s="2961">
        <f t="shared" si="39"/>
        <v>0</v>
      </c>
      <c r="W142" s="998"/>
      <c r="X142" s="2961">
        <f t="shared" si="40"/>
        <v>0</v>
      </c>
      <c r="Y142" s="2961">
        <f t="shared" si="41"/>
        <v>0</v>
      </c>
      <c r="Z142" s="998"/>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1</v>
      </c>
      <c r="R143" s="597">
        <f t="shared" si="42"/>
        <v>0</v>
      </c>
      <c r="S143" s="250">
        <f t="shared" si="43"/>
        <v>0</v>
      </c>
      <c r="T143" s="901">
        <f t="shared" si="44"/>
        <v>0</v>
      </c>
      <c r="U143" s="2961">
        <f t="shared" si="38"/>
        <v>0</v>
      </c>
      <c r="V143" s="2961">
        <f t="shared" si="39"/>
        <v>0</v>
      </c>
      <c r="W143" s="998"/>
      <c r="X143" s="2961">
        <f t="shared" si="40"/>
        <v>0</v>
      </c>
      <c r="Y143" s="2961">
        <f t="shared" si="41"/>
        <v>0</v>
      </c>
      <c r="Z143" s="998"/>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1</v>
      </c>
      <c r="R144" s="597">
        <f t="shared" si="42"/>
        <v>0</v>
      </c>
      <c r="S144" s="250">
        <f t="shared" si="43"/>
        <v>0</v>
      </c>
      <c r="T144" s="901">
        <f t="shared" si="44"/>
        <v>0</v>
      </c>
      <c r="U144" s="2961">
        <f t="shared" si="38"/>
        <v>0</v>
      </c>
      <c r="V144" s="2961">
        <f t="shared" si="39"/>
        <v>0</v>
      </c>
      <c r="W144" s="998"/>
      <c r="X144" s="2961">
        <f t="shared" si="40"/>
        <v>0</v>
      </c>
      <c r="Y144" s="2961">
        <f t="shared" si="41"/>
        <v>0</v>
      </c>
      <c r="Z144" s="998"/>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1</v>
      </c>
      <c r="R145" s="597">
        <f t="shared" si="42"/>
        <v>0</v>
      </c>
      <c r="S145" s="250">
        <f t="shared" si="43"/>
        <v>0</v>
      </c>
      <c r="T145" s="901">
        <f t="shared" si="44"/>
        <v>0</v>
      </c>
      <c r="U145" s="2961">
        <f t="shared" si="38"/>
        <v>0</v>
      </c>
      <c r="V145" s="2961">
        <f t="shared" si="39"/>
        <v>0</v>
      </c>
      <c r="W145" s="998"/>
      <c r="X145" s="2961">
        <f t="shared" si="40"/>
        <v>0</v>
      </c>
      <c r="Y145" s="2961">
        <f t="shared" si="41"/>
        <v>0</v>
      </c>
      <c r="Z145" s="998"/>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1</v>
      </c>
      <c r="R146" s="597">
        <f t="shared" si="42"/>
        <v>0</v>
      </c>
      <c r="S146" s="250">
        <f t="shared" si="43"/>
        <v>0</v>
      </c>
      <c r="T146" s="901">
        <f t="shared" si="44"/>
        <v>0</v>
      </c>
      <c r="U146" s="2961">
        <f t="shared" si="38"/>
        <v>0</v>
      </c>
      <c r="V146" s="2961">
        <f t="shared" si="39"/>
        <v>0</v>
      </c>
      <c r="W146" s="998"/>
      <c r="X146" s="2961">
        <f t="shared" si="40"/>
        <v>0</v>
      </c>
      <c r="Y146" s="2961">
        <f t="shared" si="41"/>
        <v>0</v>
      </c>
      <c r="Z146" s="998"/>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1</v>
      </c>
      <c r="R147" s="597">
        <f t="shared" si="42"/>
        <v>0</v>
      </c>
      <c r="S147" s="250">
        <f t="shared" si="43"/>
        <v>0</v>
      </c>
      <c r="T147" s="901">
        <f t="shared" si="44"/>
        <v>0</v>
      </c>
      <c r="U147" s="2961">
        <f t="shared" si="38"/>
        <v>0</v>
      </c>
      <c r="V147" s="2961">
        <f t="shared" si="39"/>
        <v>0</v>
      </c>
      <c r="W147" s="998"/>
      <c r="X147" s="2961">
        <f t="shared" si="40"/>
        <v>0</v>
      </c>
      <c r="Y147" s="2961">
        <f t="shared" si="41"/>
        <v>0</v>
      </c>
      <c r="Z147" s="998"/>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1</v>
      </c>
      <c r="R148" s="597">
        <f t="shared" si="42"/>
        <v>0</v>
      </c>
      <c r="S148" s="250">
        <f t="shared" si="43"/>
        <v>0</v>
      </c>
      <c r="T148" s="901">
        <f t="shared" si="44"/>
        <v>0</v>
      </c>
      <c r="U148" s="2961">
        <f t="shared" si="38"/>
        <v>0</v>
      </c>
      <c r="V148" s="2961">
        <f t="shared" si="39"/>
        <v>0</v>
      </c>
      <c r="W148" s="998"/>
      <c r="X148" s="2961">
        <f t="shared" si="40"/>
        <v>0</v>
      </c>
      <c r="Y148" s="2961">
        <f t="shared" si="41"/>
        <v>0</v>
      </c>
      <c r="Z148" s="998"/>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1</v>
      </c>
      <c r="R149" s="597">
        <f t="shared" si="42"/>
        <v>0</v>
      </c>
      <c r="S149" s="250">
        <f t="shared" si="43"/>
        <v>0</v>
      </c>
      <c r="T149" s="901">
        <f t="shared" si="44"/>
        <v>0</v>
      </c>
      <c r="U149" s="2961">
        <f t="shared" si="38"/>
        <v>0</v>
      </c>
      <c r="V149" s="2961">
        <f t="shared" si="39"/>
        <v>0</v>
      </c>
      <c r="W149" s="998"/>
      <c r="X149" s="2961">
        <f t="shared" si="40"/>
        <v>0</v>
      </c>
      <c r="Y149" s="2961">
        <f t="shared" si="41"/>
        <v>0</v>
      </c>
      <c r="Z149" s="998"/>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1</v>
      </c>
      <c r="R150" s="597">
        <f t="shared" si="42"/>
        <v>0</v>
      </c>
      <c r="S150" s="250">
        <f t="shared" si="43"/>
        <v>0</v>
      </c>
      <c r="T150" s="901">
        <f t="shared" si="44"/>
        <v>0</v>
      </c>
      <c r="U150" s="2961">
        <f t="shared" si="38"/>
        <v>0</v>
      </c>
      <c r="V150" s="2961">
        <f t="shared" si="39"/>
        <v>0</v>
      </c>
      <c r="W150" s="998"/>
      <c r="X150" s="2961">
        <f t="shared" si="40"/>
        <v>0</v>
      </c>
      <c r="Y150" s="2961">
        <f t="shared" si="41"/>
        <v>0</v>
      </c>
      <c r="Z150" s="998"/>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1</v>
      </c>
      <c r="R151" s="597">
        <f t="shared" si="42"/>
        <v>0</v>
      </c>
      <c r="S151" s="250">
        <f t="shared" si="43"/>
        <v>0</v>
      </c>
      <c r="T151" s="901">
        <f t="shared" si="44"/>
        <v>0</v>
      </c>
      <c r="U151" s="2961">
        <f t="shared" si="38"/>
        <v>0</v>
      </c>
      <c r="V151" s="2961">
        <f t="shared" si="39"/>
        <v>0</v>
      </c>
      <c r="W151" s="998"/>
      <c r="X151" s="2961">
        <f t="shared" si="40"/>
        <v>0</v>
      </c>
      <c r="Y151" s="2961">
        <f t="shared" si="41"/>
        <v>0</v>
      </c>
      <c r="Z151" s="998"/>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1</v>
      </c>
      <c r="R152" s="597">
        <f t="shared" si="42"/>
        <v>0</v>
      </c>
      <c r="S152" s="250">
        <f t="shared" si="43"/>
        <v>0</v>
      </c>
      <c r="T152" s="901">
        <f t="shared" si="44"/>
        <v>0</v>
      </c>
      <c r="U152" s="2961">
        <f t="shared" si="38"/>
        <v>0</v>
      </c>
      <c r="V152" s="2961">
        <f t="shared" si="39"/>
        <v>0</v>
      </c>
      <c r="W152" s="998"/>
      <c r="X152" s="2961">
        <f t="shared" si="40"/>
        <v>0</v>
      </c>
      <c r="Y152" s="2961">
        <f t="shared" si="41"/>
        <v>0</v>
      </c>
      <c r="Z152" s="998"/>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1</v>
      </c>
      <c r="R153" s="597">
        <f t="shared" si="42"/>
        <v>0</v>
      </c>
      <c r="S153" s="250">
        <f t="shared" si="43"/>
        <v>0</v>
      </c>
      <c r="T153" s="901">
        <f t="shared" si="44"/>
        <v>0</v>
      </c>
      <c r="U153" s="2961">
        <f t="shared" si="38"/>
        <v>0</v>
      </c>
      <c r="V153" s="2961">
        <f t="shared" si="39"/>
        <v>0</v>
      </c>
      <c r="W153" s="998"/>
      <c r="X153" s="2961">
        <f t="shared" si="40"/>
        <v>0</v>
      </c>
      <c r="Y153" s="2961">
        <f t="shared" si="41"/>
        <v>0</v>
      </c>
      <c r="Z153" s="998"/>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1</v>
      </c>
      <c r="R154" s="597">
        <f t="shared" si="42"/>
        <v>0</v>
      </c>
      <c r="S154" s="250">
        <f t="shared" si="43"/>
        <v>0</v>
      </c>
      <c r="T154" s="901">
        <f t="shared" si="44"/>
        <v>0</v>
      </c>
      <c r="U154" s="2961">
        <f t="shared" si="38"/>
        <v>0</v>
      </c>
      <c r="V154" s="2961">
        <f t="shared" si="39"/>
        <v>0</v>
      </c>
      <c r="W154" s="998"/>
      <c r="X154" s="2961">
        <f t="shared" si="40"/>
        <v>0</v>
      </c>
      <c r="Y154" s="2961">
        <f t="shared" si="41"/>
        <v>0</v>
      </c>
      <c r="Z154" s="998"/>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1</v>
      </c>
      <c r="R155" s="597">
        <f t="shared" si="42"/>
        <v>0</v>
      </c>
      <c r="S155" s="250">
        <f t="shared" si="43"/>
        <v>0</v>
      </c>
      <c r="T155" s="901">
        <f t="shared" si="44"/>
        <v>0</v>
      </c>
      <c r="U155" s="2961">
        <f t="shared" si="38"/>
        <v>0</v>
      </c>
      <c r="V155" s="2961">
        <f t="shared" si="39"/>
        <v>0</v>
      </c>
      <c r="W155" s="998"/>
      <c r="X155" s="2961">
        <f t="shared" si="40"/>
        <v>0</v>
      </c>
      <c r="Y155" s="2961">
        <f t="shared" si="41"/>
        <v>0</v>
      </c>
      <c r="Z155" s="998"/>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1</v>
      </c>
      <c r="R156" s="597">
        <f t="shared" si="42"/>
        <v>0</v>
      </c>
      <c r="S156" s="250">
        <f t="shared" si="43"/>
        <v>0</v>
      </c>
      <c r="T156" s="901">
        <f t="shared" si="44"/>
        <v>0</v>
      </c>
      <c r="U156" s="2961">
        <f t="shared" ref="U156:U219" si="53">ROUND(W156*B156,0)</f>
        <v>0</v>
      </c>
      <c r="V156" s="2961">
        <f t="shared" ref="V156:V219" si="54">ROUND(W156*B156/10000,0)</f>
        <v>0</v>
      </c>
      <c r="W156" s="998"/>
      <c r="X156" s="2961">
        <f t="shared" ref="X156:X219" si="55">ROUND(Z156*B156,0)</f>
        <v>0</v>
      </c>
      <c r="Y156" s="2961">
        <f t="shared" ref="Y156:Y219" si="56">ROUND(Z156*B156/10000,0)</f>
        <v>0</v>
      </c>
      <c r="Z156" s="998"/>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1</v>
      </c>
      <c r="R157" s="597">
        <f t="shared" ref="R157:R220" si="57">IF(B157="",0,ROUND($R$27*C157*E157*G157*I157*K157*M157*O157*Q157,0))</f>
        <v>0</v>
      </c>
      <c r="S157" s="250">
        <f t="shared" ref="S157:S220" si="58">ROUND(R157*B157,0)</f>
        <v>0</v>
      </c>
      <c r="T157" s="901">
        <f t="shared" ref="T157:T220" si="59">ROUND(R157*B157/10000,0)</f>
        <v>0</v>
      </c>
      <c r="U157" s="2961">
        <f t="shared" si="53"/>
        <v>0</v>
      </c>
      <c r="V157" s="2961">
        <f t="shared" si="54"/>
        <v>0</v>
      </c>
      <c r="W157" s="998"/>
      <c r="X157" s="2961">
        <f t="shared" si="55"/>
        <v>0</v>
      </c>
      <c r="Y157" s="2961">
        <f t="shared" si="56"/>
        <v>0</v>
      </c>
      <c r="Z157" s="998"/>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1</v>
      </c>
      <c r="R158" s="597">
        <f t="shared" si="57"/>
        <v>0</v>
      </c>
      <c r="S158" s="250">
        <f t="shared" si="58"/>
        <v>0</v>
      </c>
      <c r="T158" s="901">
        <f t="shared" si="59"/>
        <v>0</v>
      </c>
      <c r="U158" s="2961">
        <f t="shared" si="53"/>
        <v>0</v>
      </c>
      <c r="V158" s="2961">
        <f t="shared" si="54"/>
        <v>0</v>
      </c>
      <c r="W158" s="998"/>
      <c r="X158" s="2961">
        <f t="shared" si="55"/>
        <v>0</v>
      </c>
      <c r="Y158" s="2961">
        <f t="shared" si="56"/>
        <v>0</v>
      </c>
      <c r="Z158" s="998"/>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1</v>
      </c>
      <c r="R159" s="597">
        <f t="shared" si="57"/>
        <v>0</v>
      </c>
      <c r="S159" s="250">
        <f t="shared" si="58"/>
        <v>0</v>
      </c>
      <c r="T159" s="901">
        <f t="shared" si="59"/>
        <v>0</v>
      </c>
      <c r="U159" s="2961">
        <f t="shared" si="53"/>
        <v>0</v>
      </c>
      <c r="V159" s="2961">
        <f t="shared" si="54"/>
        <v>0</v>
      </c>
      <c r="W159" s="998"/>
      <c r="X159" s="2961">
        <f t="shared" si="55"/>
        <v>0</v>
      </c>
      <c r="Y159" s="2961">
        <f t="shared" si="56"/>
        <v>0</v>
      </c>
      <c r="Z159" s="998"/>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1</v>
      </c>
      <c r="R160" s="597">
        <f t="shared" si="57"/>
        <v>0</v>
      </c>
      <c r="S160" s="250">
        <f t="shared" si="58"/>
        <v>0</v>
      </c>
      <c r="T160" s="901">
        <f t="shared" si="59"/>
        <v>0</v>
      </c>
      <c r="U160" s="2961">
        <f t="shared" si="53"/>
        <v>0</v>
      </c>
      <c r="V160" s="2961">
        <f t="shared" si="54"/>
        <v>0</v>
      </c>
      <c r="W160" s="998"/>
      <c r="X160" s="2961">
        <f t="shared" si="55"/>
        <v>0</v>
      </c>
      <c r="Y160" s="2961">
        <f t="shared" si="56"/>
        <v>0</v>
      </c>
      <c r="Z160" s="998"/>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1</v>
      </c>
      <c r="R161" s="597">
        <f t="shared" si="57"/>
        <v>0</v>
      </c>
      <c r="S161" s="250">
        <f t="shared" si="58"/>
        <v>0</v>
      </c>
      <c r="T161" s="901">
        <f t="shared" si="59"/>
        <v>0</v>
      </c>
      <c r="U161" s="2961">
        <f t="shared" si="53"/>
        <v>0</v>
      </c>
      <c r="V161" s="2961">
        <f t="shared" si="54"/>
        <v>0</v>
      </c>
      <c r="W161" s="998"/>
      <c r="X161" s="2961">
        <f t="shared" si="55"/>
        <v>0</v>
      </c>
      <c r="Y161" s="2961">
        <f t="shared" si="56"/>
        <v>0</v>
      </c>
      <c r="Z161" s="998"/>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1</v>
      </c>
      <c r="R162" s="597">
        <f t="shared" si="57"/>
        <v>0</v>
      </c>
      <c r="S162" s="250">
        <f t="shared" si="58"/>
        <v>0</v>
      </c>
      <c r="T162" s="901">
        <f t="shared" si="59"/>
        <v>0</v>
      </c>
      <c r="U162" s="2961">
        <f t="shared" si="53"/>
        <v>0</v>
      </c>
      <c r="V162" s="2961">
        <f t="shared" si="54"/>
        <v>0</v>
      </c>
      <c r="W162" s="998"/>
      <c r="X162" s="2961">
        <f t="shared" si="55"/>
        <v>0</v>
      </c>
      <c r="Y162" s="2961">
        <f t="shared" si="56"/>
        <v>0</v>
      </c>
      <c r="Z162" s="998"/>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1</v>
      </c>
      <c r="R163" s="597">
        <f t="shared" si="57"/>
        <v>0</v>
      </c>
      <c r="S163" s="250">
        <f t="shared" si="58"/>
        <v>0</v>
      </c>
      <c r="T163" s="901">
        <f t="shared" si="59"/>
        <v>0</v>
      </c>
      <c r="U163" s="2961">
        <f t="shared" si="53"/>
        <v>0</v>
      </c>
      <c r="V163" s="2961">
        <f t="shared" si="54"/>
        <v>0</v>
      </c>
      <c r="W163" s="998"/>
      <c r="X163" s="2961">
        <f t="shared" si="55"/>
        <v>0</v>
      </c>
      <c r="Y163" s="2961">
        <f t="shared" si="56"/>
        <v>0</v>
      </c>
      <c r="Z163" s="998"/>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1</v>
      </c>
      <c r="R164" s="597">
        <f t="shared" si="57"/>
        <v>0</v>
      </c>
      <c r="S164" s="250">
        <f t="shared" si="58"/>
        <v>0</v>
      </c>
      <c r="T164" s="901">
        <f t="shared" si="59"/>
        <v>0</v>
      </c>
      <c r="U164" s="2961">
        <f t="shared" si="53"/>
        <v>0</v>
      </c>
      <c r="V164" s="2961">
        <f t="shared" si="54"/>
        <v>0</v>
      </c>
      <c r="W164" s="998"/>
      <c r="X164" s="2961">
        <f t="shared" si="55"/>
        <v>0</v>
      </c>
      <c r="Y164" s="2961">
        <f t="shared" si="56"/>
        <v>0</v>
      </c>
      <c r="Z164" s="998"/>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1</v>
      </c>
      <c r="R165" s="597">
        <f t="shared" si="57"/>
        <v>0</v>
      </c>
      <c r="S165" s="250">
        <f t="shared" si="58"/>
        <v>0</v>
      </c>
      <c r="T165" s="901">
        <f t="shared" si="59"/>
        <v>0</v>
      </c>
      <c r="U165" s="2961">
        <f t="shared" si="53"/>
        <v>0</v>
      </c>
      <c r="V165" s="2961">
        <f t="shared" si="54"/>
        <v>0</v>
      </c>
      <c r="W165" s="998"/>
      <c r="X165" s="2961">
        <f t="shared" si="55"/>
        <v>0</v>
      </c>
      <c r="Y165" s="2961">
        <f t="shared" si="56"/>
        <v>0</v>
      </c>
      <c r="Z165" s="998"/>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1</v>
      </c>
      <c r="R166" s="597">
        <f t="shared" si="57"/>
        <v>0</v>
      </c>
      <c r="S166" s="250">
        <f t="shared" si="58"/>
        <v>0</v>
      </c>
      <c r="T166" s="901">
        <f t="shared" si="59"/>
        <v>0</v>
      </c>
      <c r="U166" s="2961">
        <f t="shared" si="53"/>
        <v>0</v>
      </c>
      <c r="V166" s="2961">
        <f t="shared" si="54"/>
        <v>0</v>
      </c>
      <c r="W166" s="998"/>
      <c r="X166" s="2961">
        <f t="shared" si="55"/>
        <v>0</v>
      </c>
      <c r="Y166" s="2961">
        <f t="shared" si="56"/>
        <v>0</v>
      </c>
      <c r="Z166" s="998"/>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1</v>
      </c>
      <c r="R167" s="597">
        <f t="shared" si="57"/>
        <v>0</v>
      </c>
      <c r="S167" s="250">
        <f t="shared" si="58"/>
        <v>0</v>
      </c>
      <c r="T167" s="901">
        <f t="shared" si="59"/>
        <v>0</v>
      </c>
      <c r="U167" s="2961">
        <f t="shared" si="53"/>
        <v>0</v>
      </c>
      <c r="V167" s="2961">
        <f t="shared" si="54"/>
        <v>0</v>
      </c>
      <c r="W167" s="998"/>
      <c r="X167" s="2961">
        <f t="shared" si="55"/>
        <v>0</v>
      </c>
      <c r="Y167" s="2961">
        <f t="shared" si="56"/>
        <v>0</v>
      </c>
      <c r="Z167" s="998"/>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1</v>
      </c>
      <c r="R168" s="597">
        <f t="shared" si="57"/>
        <v>0</v>
      </c>
      <c r="S168" s="250">
        <f t="shared" si="58"/>
        <v>0</v>
      </c>
      <c r="T168" s="901">
        <f t="shared" si="59"/>
        <v>0</v>
      </c>
      <c r="U168" s="2961">
        <f t="shared" si="53"/>
        <v>0</v>
      </c>
      <c r="V168" s="2961">
        <f t="shared" si="54"/>
        <v>0</v>
      </c>
      <c r="W168" s="998"/>
      <c r="X168" s="2961">
        <f t="shared" si="55"/>
        <v>0</v>
      </c>
      <c r="Y168" s="2961">
        <f t="shared" si="56"/>
        <v>0</v>
      </c>
      <c r="Z168" s="998"/>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1</v>
      </c>
      <c r="R169" s="597">
        <f t="shared" si="57"/>
        <v>0</v>
      </c>
      <c r="S169" s="250">
        <f t="shared" si="58"/>
        <v>0</v>
      </c>
      <c r="T169" s="901">
        <f t="shared" si="59"/>
        <v>0</v>
      </c>
      <c r="U169" s="2961">
        <f t="shared" si="53"/>
        <v>0</v>
      </c>
      <c r="V169" s="2961">
        <f t="shared" si="54"/>
        <v>0</v>
      </c>
      <c r="W169" s="998"/>
      <c r="X169" s="2961">
        <f t="shared" si="55"/>
        <v>0</v>
      </c>
      <c r="Y169" s="2961">
        <f t="shared" si="56"/>
        <v>0</v>
      </c>
      <c r="Z169" s="998"/>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1</v>
      </c>
      <c r="R170" s="597">
        <f t="shared" si="57"/>
        <v>0</v>
      </c>
      <c r="S170" s="250">
        <f t="shared" si="58"/>
        <v>0</v>
      </c>
      <c r="T170" s="901">
        <f t="shared" si="59"/>
        <v>0</v>
      </c>
      <c r="U170" s="2961">
        <f t="shared" si="53"/>
        <v>0</v>
      </c>
      <c r="V170" s="2961">
        <f t="shared" si="54"/>
        <v>0</v>
      </c>
      <c r="W170" s="998"/>
      <c r="X170" s="2961">
        <f t="shared" si="55"/>
        <v>0</v>
      </c>
      <c r="Y170" s="2961">
        <f t="shared" si="56"/>
        <v>0</v>
      </c>
      <c r="Z170" s="998"/>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1</v>
      </c>
      <c r="R171" s="597">
        <f t="shared" si="57"/>
        <v>0</v>
      </c>
      <c r="S171" s="250">
        <f t="shared" si="58"/>
        <v>0</v>
      </c>
      <c r="T171" s="901">
        <f t="shared" si="59"/>
        <v>0</v>
      </c>
      <c r="U171" s="2961">
        <f t="shared" si="53"/>
        <v>0</v>
      </c>
      <c r="V171" s="2961">
        <f t="shared" si="54"/>
        <v>0</v>
      </c>
      <c r="W171" s="998"/>
      <c r="X171" s="2961">
        <f t="shared" si="55"/>
        <v>0</v>
      </c>
      <c r="Y171" s="2961">
        <f t="shared" si="56"/>
        <v>0</v>
      </c>
      <c r="Z171" s="998"/>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1</v>
      </c>
      <c r="R172" s="597">
        <f t="shared" si="57"/>
        <v>0</v>
      </c>
      <c r="S172" s="250">
        <f t="shared" si="58"/>
        <v>0</v>
      </c>
      <c r="T172" s="901">
        <f t="shared" si="59"/>
        <v>0</v>
      </c>
      <c r="U172" s="2961">
        <f t="shared" si="53"/>
        <v>0</v>
      </c>
      <c r="V172" s="2961">
        <f t="shared" si="54"/>
        <v>0</v>
      </c>
      <c r="W172" s="998"/>
      <c r="X172" s="2961">
        <f t="shared" si="55"/>
        <v>0</v>
      </c>
      <c r="Y172" s="2961">
        <f t="shared" si="56"/>
        <v>0</v>
      </c>
      <c r="Z172" s="998"/>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1</v>
      </c>
      <c r="R173" s="597">
        <f t="shared" si="57"/>
        <v>0</v>
      </c>
      <c r="S173" s="250">
        <f t="shared" si="58"/>
        <v>0</v>
      </c>
      <c r="T173" s="901">
        <f t="shared" si="59"/>
        <v>0</v>
      </c>
      <c r="U173" s="2961">
        <f t="shared" si="53"/>
        <v>0</v>
      </c>
      <c r="V173" s="2961">
        <f t="shared" si="54"/>
        <v>0</v>
      </c>
      <c r="W173" s="998"/>
      <c r="X173" s="2961">
        <f t="shared" si="55"/>
        <v>0</v>
      </c>
      <c r="Y173" s="2961">
        <f t="shared" si="56"/>
        <v>0</v>
      </c>
      <c r="Z173" s="998"/>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1</v>
      </c>
      <c r="R174" s="597">
        <f t="shared" si="57"/>
        <v>0</v>
      </c>
      <c r="S174" s="250">
        <f t="shared" si="58"/>
        <v>0</v>
      </c>
      <c r="T174" s="901">
        <f t="shared" si="59"/>
        <v>0</v>
      </c>
      <c r="U174" s="2961">
        <f t="shared" si="53"/>
        <v>0</v>
      </c>
      <c r="V174" s="2961">
        <f t="shared" si="54"/>
        <v>0</v>
      </c>
      <c r="W174" s="998"/>
      <c r="X174" s="2961">
        <f t="shared" si="55"/>
        <v>0</v>
      </c>
      <c r="Y174" s="2961">
        <f t="shared" si="56"/>
        <v>0</v>
      </c>
      <c r="Z174" s="998"/>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1</v>
      </c>
      <c r="R175" s="597">
        <f t="shared" si="57"/>
        <v>0</v>
      </c>
      <c r="S175" s="250">
        <f t="shared" si="58"/>
        <v>0</v>
      </c>
      <c r="T175" s="901">
        <f t="shared" si="59"/>
        <v>0</v>
      </c>
      <c r="U175" s="2961">
        <f t="shared" si="53"/>
        <v>0</v>
      </c>
      <c r="V175" s="2961">
        <f t="shared" si="54"/>
        <v>0</v>
      </c>
      <c r="W175" s="998"/>
      <c r="X175" s="2961">
        <f t="shared" si="55"/>
        <v>0</v>
      </c>
      <c r="Y175" s="2961">
        <f t="shared" si="56"/>
        <v>0</v>
      </c>
      <c r="Z175" s="998"/>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1</v>
      </c>
      <c r="R176" s="597">
        <f t="shared" si="57"/>
        <v>0</v>
      </c>
      <c r="S176" s="250">
        <f t="shared" si="58"/>
        <v>0</v>
      </c>
      <c r="T176" s="901">
        <f t="shared" si="59"/>
        <v>0</v>
      </c>
      <c r="U176" s="2961">
        <f t="shared" si="53"/>
        <v>0</v>
      </c>
      <c r="V176" s="2961">
        <f t="shared" si="54"/>
        <v>0</v>
      </c>
      <c r="W176" s="998"/>
      <c r="X176" s="2961">
        <f t="shared" si="55"/>
        <v>0</v>
      </c>
      <c r="Y176" s="2961">
        <f t="shared" si="56"/>
        <v>0</v>
      </c>
      <c r="Z176" s="998"/>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1</v>
      </c>
      <c r="R177" s="597">
        <f t="shared" si="57"/>
        <v>0</v>
      </c>
      <c r="S177" s="250">
        <f t="shared" si="58"/>
        <v>0</v>
      </c>
      <c r="T177" s="901">
        <f t="shared" si="59"/>
        <v>0</v>
      </c>
      <c r="U177" s="2961">
        <f t="shared" si="53"/>
        <v>0</v>
      </c>
      <c r="V177" s="2961">
        <f t="shared" si="54"/>
        <v>0</v>
      </c>
      <c r="W177" s="998"/>
      <c r="X177" s="2961">
        <f t="shared" si="55"/>
        <v>0</v>
      </c>
      <c r="Y177" s="2961">
        <f t="shared" si="56"/>
        <v>0</v>
      </c>
      <c r="Z177" s="998"/>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1</v>
      </c>
      <c r="R178" s="597">
        <f t="shared" si="57"/>
        <v>0</v>
      </c>
      <c r="S178" s="250">
        <f t="shared" si="58"/>
        <v>0</v>
      </c>
      <c r="T178" s="901">
        <f t="shared" si="59"/>
        <v>0</v>
      </c>
      <c r="U178" s="2961">
        <f t="shared" si="53"/>
        <v>0</v>
      </c>
      <c r="V178" s="2961">
        <f t="shared" si="54"/>
        <v>0</v>
      </c>
      <c r="W178" s="998"/>
      <c r="X178" s="2961">
        <f t="shared" si="55"/>
        <v>0</v>
      </c>
      <c r="Y178" s="2961">
        <f t="shared" si="56"/>
        <v>0</v>
      </c>
      <c r="Z178" s="998"/>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1</v>
      </c>
      <c r="R179" s="597">
        <f t="shared" si="57"/>
        <v>0</v>
      </c>
      <c r="S179" s="250">
        <f t="shared" si="58"/>
        <v>0</v>
      </c>
      <c r="T179" s="901">
        <f t="shared" si="59"/>
        <v>0</v>
      </c>
      <c r="U179" s="2961">
        <f t="shared" si="53"/>
        <v>0</v>
      </c>
      <c r="V179" s="2961">
        <f t="shared" si="54"/>
        <v>0</v>
      </c>
      <c r="W179" s="998"/>
      <c r="X179" s="2961">
        <f t="shared" si="55"/>
        <v>0</v>
      </c>
      <c r="Y179" s="2961">
        <f t="shared" si="56"/>
        <v>0</v>
      </c>
      <c r="Z179" s="998"/>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1</v>
      </c>
      <c r="R180" s="597">
        <f t="shared" si="57"/>
        <v>0</v>
      </c>
      <c r="S180" s="250">
        <f t="shared" si="58"/>
        <v>0</v>
      </c>
      <c r="T180" s="901">
        <f t="shared" si="59"/>
        <v>0</v>
      </c>
      <c r="U180" s="2961">
        <f t="shared" si="53"/>
        <v>0</v>
      </c>
      <c r="V180" s="2961">
        <f t="shared" si="54"/>
        <v>0</v>
      </c>
      <c r="W180" s="998"/>
      <c r="X180" s="2961">
        <f t="shared" si="55"/>
        <v>0</v>
      </c>
      <c r="Y180" s="2961">
        <f t="shared" si="56"/>
        <v>0</v>
      </c>
      <c r="Z180" s="998"/>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1</v>
      </c>
      <c r="R181" s="597">
        <f t="shared" si="57"/>
        <v>0</v>
      </c>
      <c r="S181" s="250">
        <f t="shared" si="58"/>
        <v>0</v>
      </c>
      <c r="T181" s="901">
        <f t="shared" si="59"/>
        <v>0</v>
      </c>
      <c r="U181" s="2961">
        <f t="shared" si="53"/>
        <v>0</v>
      </c>
      <c r="V181" s="2961">
        <f t="shared" si="54"/>
        <v>0</v>
      </c>
      <c r="W181" s="998"/>
      <c r="X181" s="2961">
        <f t="shared" si="55"/>
        <v>0</v>
      </c>
      <c r="Y181" s="2961">
        <f t="shared" si="56"/>
        <v>0</v>
      </c>
      <c r="Z181" s="998"/>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1</v>
      </c>
      <c r="R182" s="597">
        <f t="shared" si="57"/>
        <v>0</v>
      </c>
      <c r="S182" s="250">
        <f t="shared" si="58"/>
        <v>0</v>
      </c>
      <c r="T182" s="901">
        <f t="shared" si="59"/>
        <v>0</v>
      </c>
      <c r="U182" s="2961">
        <f t="shared" si="53"/>
        <v>0</v>
      </c>
      <c r="V182" s="2961">
        <f t="shared" si="54"/>
        <v>0</v>
      </c>
      <c r="W182" s="998"/>
      <c r="X182" s="2961">
        <f t="shared" si="55"/>
        <v>0</v>
      </c>
      <c r="Y182" s="2961">
        <f t="shared" si="56"/>
        <v>0</v>
      </c>
      <c r="Z182" s="998"/>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1</v>
      </c>
      <c r="R183" s="597">
        <f t="shared" si="57"/>
        <v>0</v>
      </c>
      <c r="S183" s="250">
        <f t="shared" si="58"/>
        <v>0</v>
      </c>
      <c r="T183" s="901">
        <f t="shared" si="59"/>
        <v>0</v>
      </c>
      <c r="U183" s="2961">
        <f t="shared" si="53"/>
        <v>0</v>
      </c>
      <c r="V183" s="2961">
        <f t="shared" si="54"/>
        <v>0</v>
      </c>
      <c r="W183" s="998"/>
      <c r="X183" s="2961">
        <f t="shared" si="55"/>
        <v>0</v>
      </c>
      <c r="Y183" s="2961">
        <f t="shared" si="56"/>
        <v>0</v>
      </c>
      <c r="Z183" s="998"/>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1</v>
      </c>
      <c r="R184" s="597">
        <f t="shared" si="57"/>
        <v>0</v>
      </c>
      <c r="S184" s="250">
        <f t="shared" si="58"/>
        <v>0</v>
      </c>
      <c r="T184" s="901">
        <f t="shared" si="59"/>
        <v>0</v>
      </c>
      <c r="U184" s="2961">
        <f t="shared" si="53"/>
        <v>0</v>
      </c>
      <c r="V184" s="2961">
        <f t="shared" si="54"/>
        <v>0</v>
      </c>
      <c r="W184" s="998"/>
      <c r="X184" s="2961">
        <f t="shared" si="55"/>
        <v>0</v>
      </c>
      <c r="Y184" s="2961">
        <f t="shared" si="56"/>
        <v>0</v>
      </c>
      <c r="Z184" s="998"/>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1</v>
      </c>
      <c r="R185" s="597">
        <f t="shared" si="57"/>
        <v>0</v>
      </c>
      <c r="S185" s="250">
        <f t="shared" si="58"/>
        <v>0</v>
      </c>
      <c r="T185" s="901">
        <f t="shared" si="59"/>
        <v>0</v>
      </c>
      <c r="U185" s="2961">
        <f t="shared" si="53"/>
        <v>0</v>
      </c>
      <c r="V185" s="2961">
        <f t="shared" si="54"/>
        <v>0</v>
      </c>
      <c r="W185" s="998"/>
      <c r="X185" s="2961">
        <f t="shared" si="55"/>
        <v>0</v>
      </c>
      <c r="Y185" s="2961">
        <f t="shared" si="56"/>
        <v>0</v>
      </c>
      <c r="Z185" s="998"/>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1</v>
      </c>
      <c r="R186" s="597">
        <f t="shared" si="57"/>
        <v>0</v>
      </c>
      <c r="S186" s="250">
        <f t="shared" si="58"/>
        <v>0</v>
      </c>
      <c r="T186" s="901">
        <f t="shared" si="59"/>
        <v>0</v>
      </c>
      <c r="U186" s="2961">
        <f t="shared" si="53"/>
        <v>0</v>
      </c>
      <c r="V186" s="2961">
        <f t="shared" si="54"/>
        <v>0</v>
      </c>
      <c r="W186" s="998"/>
      <c r="X186" s="2961">
        <f t="shared" si="55"/>
        <v>0</v>
      </c>
      <c r="Y186" s="2961">
        <f t="shared" si="56"/>
        <v>0</v>
      </c>
      <c r="Z186" s="998"/>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1</v>
      </c>
      <c r="R187" s="597">
        <f t="shared" si="57"/>
        <v>0</v>
      </c>
      <c r="S187" s="250">
        <f t="shared" si="58"/>
        <v>0</v>
      </c>
      <c r="T187" s="901">
        <f t="shared" si="59"/>
        <v>0</v>
      </c>
      <c r="U187" s="2961">
        <f t="shared" si="53"/>
        <v>0</v>
      </c>
      <c r="V187" s="2961">
        <f t="shared" si="54"/>
        <v>0</v>
      </c>
      <c r="W187" s="998"/>
      <c r="X187" s="2961">
        <f t="shared" si="55"/>
        <v>0</v>
      </c>
      <c r="Y187" s="2961">
        <f t="shared" si="56"/>
        <v>0</v>
      </c>
      <c r="Z187" s="998"/>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1</v>
      </c>
      <c r="R188" s="597">
        <f t="shared" si="57"/>
        <v>0</v>
      </c>
      <c r="S188" s="250">
        <f t="shared" si="58"/>
        <v>0</v>
      </c>
      <c r="T188" s="901">
        <f t="shared" si="59"/>
        <v>0</v>
      </c>
      <c r="U188" s="2961">
        <f t="shared" si="53"/>
        <v>0</v>
      </c>
      <c r="V188" s="2961">
        <f t="shared" si="54"/>
        <v>0</v>
      </c>
      <c r="W188" s="998"/>
      <c r="X188" s="2961">
        <f t="shared" si="55"/>
        <v>0</v>
      </c>
      <c r="Y188" s="2961">
        <f t="shared" si="56"/>
        <v>0</v>
      </c>
      <c r="Z188" s="998"/>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1</v>
      </c>
      <c r="R189" s="597">
        <f t="shared" si="57"/>
        <v>0</v>
      </c>
      <c r="S189" s="250">
        <f t="shared" si="58"/>
        <v>0</v>
      </c>
      <c r="T189" s="901">
        <f t="shared" si="59"/>
        <v>0</v>
      </c>
      <c r="U189" s="2961">
        <f t="shared" si="53"/>
        <v>0</v>
      </c>
      <c r="V189" s="2961">
        <f t="shared" si="54"/>
        <v>0</v>
      </c>
      <c r="W189" s="998"/>
      <c r="X189" s="2961">
        <f t="shared" si="55"/>
        <v>0</v>
      </c>
      <c r="Y189" s="2961">
        <f t="shared" si="56"/>
        <v>0</v>
      </c>
      <c r="Z189" s="998"/>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1</v>
      </c>
      <c r="R190" s="597">
        <f t="shared" si="57"/>
        <v>0</v>
      </c>
      <c r="S190" s="250">
        <f t="shared" si="58"/>
        <v>0</v>
      </c>
      <c r="T190" s="901">
        <f t="shared" si="59"/>
        <v>0</v>
      </c>
      <c r="U190" s="2961">
        <f t="shared" si="53"/>
        <v>0</v>
      </c>
      <c r="V190" s="2961">
        <f t="shared" si="54"/>
        <v>0</v>
      </c>
      <c r="W190" s="998"/>
      <c r="X190" s="2961">
        <f t="shared" si="55"/>
        <v>0</v>
      </c>
      <c r="Y190" s="2961">
        <f t="shared" si="56"/>
        <v>0</v>
      </c>
      <c r="Z190" s="998"/>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1</v>
      </c>
      <c r="R191" s="597">
        <f t="shared" si="57"/>
        <v>0</v>
      </c>
      <c r="S191" s="250">
        <f t="shared" si="58"/>
        <v>0</v>
      </c>
      <c r="T191" s="901">
        <f t="shared" si="59"/>
        <v>0</v>
      </c>
      <c r="U191" s="2961">
        <f t="shared" si="53"/>
        <v>0</v>
      </c>
      <c r="V191" s="2961">
        <f t="shared" si="54"/>
        <v>0</v>
      </c>
      <c r="W191" s="998"/>
      <c r="X191" s="2961">
        <f t="shared" si="55"/>
        <v>0</v>
      </c>
      <c r="Y191" s="2961">
        <f t="shared" si="56"/>
        <v>0</v>
      </c>
      <c r="Z191" s="998"/>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1</v>
      </c>
      <c r="R192" s="597">
        <f t="shared" si="57"/>
        <v>0</v>
      </c>
      <c r="S192" s="250">
        <f t="shared" si="58"/>
        <v>0</v>
      </c>
      <c r="T192" s="901">
        <f t="shared" si="59"/>
        <v>0</v>
      </c>
      <c r="U192" s="2961">
        <f t="shared" si="53"/>
        <v>0</v>
      </c>
      <c r="V192" s="2961">
        <f t="shared" si="54"/>
        <v>0</v>
      </c>
      <c r="W192" s="998"/>
      <c r="X192" s="2961">
        <f t="shared" si="55"/>
        <v>0</v>
      </c>
      <c r="Y192" s="2961">
        <f t="shared" si="56"/>
        <v>0</v>
      </c>
      <c r="Z192" s="998"/>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1</v>
      </c>
      <c r="R193" s="597">
        <f t="shared" si="57"/>
        <v>0</v>
      </c>
      <c r="S193" s="250">
        <f t="shared" si="58"/>
        <v>0</v>
      </c>
      <c r="T193" s="901">
        <f t="shared" si="59"/>
        <v>0</v>
      </c>
      <c r="U193" s="2961">
        <f t="shared" si="53"/>
        <v>0</v>
      </c>
      <c r="V193" s="2961">
        <f t="shared" si="54"/>
        <v>0</v>
      </c>
      <c r="W193" s="998"/>
      <c r="X193" s="2961">
        <f t="shared" si="55"/>
        <v>0</v>
      </c>
      <c r="Y193" s="2961">
        <f t="shared" si="56"/>
        <v>0</v>
      </c>
      <c r="Z193" s="998"/>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1</v>
      </c>
      <c r="R194" s="597">
        <f t="shared" si="57"/>
        <v>0</v>
      </c>
      <c r="S194" s="250">
        <f t="shared" si="58"/>
        <v>0</v>
      </c>
      <c r="T194" s="901">
        <f t="shared" si="59"/>
        <v>0</v>
      </c>
      <c r="U194" s="2961">
        <f t="shared" si="53"/>
        <v>0</v>
      </c>
      <c r="V194" s="2961">
        <f t="shared" si="54"/>
        <v>0</v>
      </c>
      <c r="W194" s="998"/>
      <c r="X194" s="2961">
        <f t="shared" si="55"/>
        <v>0</v>
      </c>
      <c r="Y194" s="2961">
        <f t="shared" si="56"/>
        <v>0</v>
      </c>
      <c r="Z194" s="998"/>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1</v>
      </c>
      <c r="R195" s="597">
        <f t="shared" si="57"/>
        <v>0</v>
      </c>
      <c r="S195" s="250">
        <f t="shared" si="58"/>
        <v>0</v>
      </c>
      <c r="T195" s="901">
        <f t="shared" si="59"/>
        <v>0</v>
      </c>
      <c r="U195" s="2961">
        <f t="shared" si="53"/>
        <v>0</v>
      </c>
      <c r="V195" s="2961">
        <f t="shared" si="54"/>
        <v>0</v>
      </c>
      <c r="W195" s="998"/>
      <c r="X195" s="2961">
        <f t="shared" si="55"/>
        <v>0</v>
      </c>
      <c r="Y195" s="2961">
        <f t="shared" si="56"/>
        <v>0</v>
      </c>
      <c r="Z195" s="998"/>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1</v>
      </c>
      <c r="R196" s="597">
        <f t="shared" si="57"/>
        <v>0</v>
      </c>
      <c r="S196" s="250">
        <f t="shared" si="58"/>
        <v>0</v>
      </c>
      <c r="T196" s="901">
        <f t="shared" si="59"/>
        <v>0</v>
      </c>
      <c r="U196" s="2961">
        <f t="shared" si="53"/>
        <v>0</v>
      </c>
      <c r="V196" s="2961">
        <f t="shared" si="54"/>
        <v>0</v>
      </c>
      <c r="W196" s="998"/>
      <c r="X196" s="2961">
        <f t="shared" si="55"/>
        <v>0</v>
      </c>
      <c r="Y196" s="2961">
        <f t="shared" si="56"/>
        <v>0</v>
      </c>
      <c r="Z196" s="998"/>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1</v>
      </c>
      <c r="R197" s="597">
        <f t="shared" si="57"/>
        <v>0</v>
      </c>
      <c r="S197" s="250">
        <f t="shared" si="58"/>
        <v>0</v>
      </c>
      <c r="T197" s="901">
        <f t="shared" si="59"/>
        <v>0</v>
      </c>
      <c r="U197" s="2961">
        <f t="shared" si="53"/>
        <v>0</v>
      </c>
      <c r="V197" s="2961">
        <f t="shared" si="54"/>
        <v>0</v>
      </c>
      <c r="W197" s="998"/>
      <c r="X197" s="2961">
        <f t="shared" si="55"/>
        <v>0</v>
      </c>
      <c r="Y197" s="2961">
        <f t="shared" si="56"/>
        <v>0</v>
      </c>
      <c r="Z197" s="998"/>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1</v>
      </c>
      <c r="R198" s="597">
        <f t="shared" si="57"/>
        <v>0</v>
      </c>
      <c r="S198" s="250">
        <f t="shared" si="58"/>
        <v>0</v>
      </c>
      <c r="T198" s="901">
        <f t="shared" si="59"/>
        <v>0</v>
      </c>
      <c r="U198" s="2961">
        <f t="shared" si="53"/>
        <v>0</v>
      </c>
      <c r="V198" s="2961">
        <f t="shared" si="54"/>
        <v>0</v>
      </c>
      <c r="W198" s="998"/>
      <c r="X198" s="2961">
        <f t="shared" si="55"/>
        <v>0</v>
      </c>
      <c r="Y198" s="2961">
        <f t="shared" si="56"/>
        <v>0</v>
      </c>
      <c r="Z198" s="998"/>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1</v>
      </c>
      <c r="R199" s="597">
        <f t="shared" si="57"/>
        <v>0</v>
      </c>
      <c r="S199" s="250">
        <f t="shared" si="58"/>
        <v>0</v>
      </c>
      <c r="T199" s="901">
        <f t="shared" si="59"/>
        <v>0</v>
      </c>
      <c r="U199" s="2961">
        <f t="shared" si="53"/>
        <v>0</v>
      </c>
      <c r="V199" s="2961">
        <f t="shared" si="54"/>
        <v>0</v>
      </c>
      <c r="W199" s="998"/>
      <c r="X199" s="2961">
        <f t="shared" si="55"/>
        <v>0</v>
      </c>
      <c r="Y199" s="2961">
        <f t="shared" si="56"/>
        <v>0</v>
      </c>
      <c r="Z199" s="998"/>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1</v>
      </c>
      <c r="R200" s="597">
        <f t="shared" si="57"/>
        <v>0</v>
      </c>
      <c r="S200" s="250">
        <f t="shared" si="58"/>
        <v>0</v>
      </c>
      <c r="T200" s="901">
        <f t="shared" si="59"/>
        <v>0</v>
      </c>
      <c r="U200" s="2961">
        <f t="shared" si="53"/>
        <v>0</v>
      </c>
      <c r="V200" s="2961">
        <f t="shared" si="54"/>
        <v>0</v>
      </c>
      <c r="W200" s="998"/>
      <c r="X200" s="2961">
        <f t="shared" si="55"/>
        <v>0</v>
      </c>
      <c r="Y200" s="2961">
        <f t="shared" si="56"/>
        <v>0</v>
      </c>
      <c r="Z200" s="998"/>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1</v>
      </c>
      <c r="R201" s="597">
        <f t="shared" si="57"/>
        <v>0</v>
      </c>
      <c r="S201" s="250">
        <f t="shared" si="58"/>
        <v>0</v>
      </c>
      <c r="T201" s="901">
        <f t="shared" si="59"/>
        <v>0</v>
      </c>
      <c r="U201" s="2961">
        <f t="shared" si="53"/>
        <v>0</v>
      </c>
      <c r="V201" s="2961">
        <f t="shared" si="54"/>
        <v>0</v>
      </c>
      <c r="W201" s="998"/>
      <c r="X201" s="2961">
        <f t="shared" si="55"/>
        <v>0</v>
      </c>
      <c r="Y201" s="2961">
        <f t="shared" si="56"/>
        <v>0</v>
      </c>
      <c r="Z201" s="998"/>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1</v>
      </c>
      <c r="R202" s="597">
        <f t="shared" si="57"/>
        <v>0</v>
      </c>
      <c r="S202" s="250">
        <f t="shared" si="58"/>
        <v>0</v>
      </c>
      <c r="T202" s="901">
        <f t="shared" si="59"/>
        <v>0</v>
      </c>
      <c r="U202" s="2961">
        <f t="shared" si="53"/>
        <v>0</v>
      </c>
      <c r="V202" s="2961">
        <f t="shared" si="54"/>
        <v>0</v>
      </c>
      <c r="W202" s="998"/>
      <c r="X202" s="2961">
        <f t="shared" si="55"/>
        <v>0</v>
      </c>
      <c r="Y202" s="2961">
        <f t="shared" si="56"/>
        <v>0</v>
      </c>
      <c r="Z202" s="998"/>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1</v>
      </c>
      <c r="R203" s="597">
        <f t="shared" si="57"/>
        <v>0</v>
      </c>
      <c r="S203" s="250">
        <f t="shared" si="58"/>
        <v>0</v>
      </c>
      <c r="T203" s="901">
        <f t="shared" si="59"/>
        <v>0</v>
      </c>
      <c r="U203" s="2961">
        <f t="shared" si="53"/>
        <v>0</v>
      </c>
      <c r="V203" s="2961">
        <f t="shared" si="54"/>
        <v>0</v>
      </c>
      <c r="W203" s="998"/>
      <c r="X203" s="2961">
        <f t="shared" si="55"/>
        <v>0</v>
      </c>
      <c r="Y203" s="2961">
        <f t="shared" si="56"/>
        <v>0</v>
      </c>
      <c r="Z203" s="998"/>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1</v>
      </c>
      <c r="R204" s="597">
        <f t="shared" si="57"/>
        <v>0</v>
      </c>
      <c r="S204" s="250">
        <f t="shared" si="58"/>
        <v>0</v>
      </c>
      <c r="T204" s="901">
        <f t="shared" si="59"/>
        <v>0</v>
      </c>
      <c r="U204" s="2961">
        <f t="shared" si="53"/>
        <v>0</v>
      </c>
      <c r="V204" s="2961">
        <f t="shared" si="54"/>
        <v>0</v>
      </c>
      <c r="W204" s="998"/>
      <c r="X204" s="2961">
        <f t="shared" si="55"/>
        <v>0</v>
      </c>
      <c r="Y204" s="2961">
        <f t="shared" si="56"/>
        <v>0</v>
      </c>
      <c r="Z204" s="998"/>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1</v>
      </c>
      <c r="R205" s="597">
        <f t="shared" si="57"/>
        <v>0</v>
      </c>
      <c r="S205" s="250">
        <f t="shared" si="58"/>
        <v>0</v>
      </c>
      <c r="T205" s="901">
        <f t="shared" si="59"/>
        <v>0</v>
      </c>
      <c r="U205" s="2961">
        <f t="shared" si="53"/>
        <v>0</v>
      </c>
      <c r="V205" s="2961">
        <f t="shared" si="54"/>
        <v>0</v>
      </c>
      <c r="W205" s="998"/>
      <c r="X205" s="2961">
        <f t="shared" si="55"/>
        <v>0</v>
      </c>
      <c r="Y205" s="2961">
        <f t="shared" si="56"/>
        <v>0</v>
      </c>
      <c r="Z205" s="998"/>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1</v>
      </c>
      <c r="R206" s="597">
        <f t="shared" si="57"/>
        <v>0</v>
      </c>
      <c r="S206" s="250">
        <f t="shared" si="58"/>
        <v>0</v>
      </c>
      <c r="T206" s="901">
        <f t="shared" si="59"/>
        <v>0</v>
      </c>
      <c r="U206" s="2961">
        <f t="shared" si="53"/>
        <v>0</v>
      </c>
      <c r="V206" s="2961">
        <f t="shared" si="54"/>
        <v>0</v>
      </c>
      <c r="W206" s="998"/>
      <c r="X206" s="2961">
        <f t="shared" si="55"/>
        <v>0</v>
      </c>
      <c r="Y206" s="2961">
        <f t="shared" si="56"/>
        <v>0</v>
      </c>
      <c r="Z206" s="998"/>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1</v>
      </c>
      <c r="R207" s="597">
        <f t="shared" si="57"/>
        <v>0</v>
      </c>
      <c r="S207" s="250">
        <f t="shared" si="58"/>
        <v>0</v>
      </c>
      <c r="T207" s="901">
        <f t="shared" si="59"/>
        <v>0</v>
      </c>
      <c r="U207" s="2961">
        <f t="shared" si="53"/>
        <v>0</v>
      </c>
      <c r="V207" s="2961">
        <f t="shared" si="54"/>
        <v>0</v>
      </c>
      <c r="W207" s="998"/>
      <c r="X207" s="2961">
        <f t="shared" si="55"/>
        <v>0</v>
      </c>
      <c r="Y207" s="2961">
        <f t="shared" si="56"/>
        <v>0</v>
      </c>
      <c r="Z207" s="998"/>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1</v>
      </c>
      <c r="R208" s="597">
        <f t="shared" si="57"/>
        <v>0</v>
      </c>
      <c r="S208" s="250">
        <f t="shared" si="58"/>
        <v>0</v>
      </c>
      <c r="T208" s="901">
        <f t="shared" si="59"/>
        <v>0</v>
      </c>
      <c r="U208" s="2961">
        <f t="shared" si="53"/>
        <v>0</v>
      </c>
      <c r="V208" s="2961">
        <f t="shared" si="54"/>
        <v>0</v>
      </c>
      <c r="W208" s="998"/>
      <c r="X208" s="2961">
        <f t="shared" si="55"/>
        <v>0</v>
      </c>
      <c r="Y208" s="2961">
        <f t="shared" si="56"/>
        <v>0</v>
      </c>
      <c r="Z208" s="998"/>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1</v>
      </c>
      <c r="R209" s="597">
        <f t="shared" si="57"/>
        <v>0</v>
      </c>
      <c r="S209" s="250">
        <f t="shared" si="58"/>
        <v>0</v>
      </c>
      <c r="T209" s="901">
        <f t="shared" si="59"/>
        <v>0</v>
      </c>
      <c r="U209" s="2961">
        <f t="shared" si="53"/>
        <v>0</v>
      </c>
      <c r="V209" s="2961">
        <f t="shared" si="54"/>
        <v>0</v>
      </c>
      <c r="W209" s="998"/>
      <c r="X209" s="2961">
        <f t="shared" si="55"/>
        <v>0</v>
      </c>
      <c r="Y209" s="2961">
        <f t="shared" si="56"/>
        <v>0</v>
      </c>
      <c r="Z209" s="998"/>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1</v>
      </c>
      <c r="R210" s="597">
        <f t="shared" si="57"/>
        <v>0</v>
      </c>
      <c r="S210" s="250">
        <f t="shared" si="58"/>
        <v>0</v>
      </c>
      <c r="T210" s="901">
        <f t="shared" si="59"/>
        <v>0</v>
      </c>
      <c r="U210" s="2961">
        <f t="shared" si="53"/>
        <v>0</v>
      </c>
      <c r="V210" s="2961">
        <f t="shared" si="54"/>
        <v>0</v>
      </c>
      <c r="W210" s="998"/>
      <c r="X210" s="2961">
        <f t="shared" si="55"/>
        <v>0</v>
      </c>
      <c r="Y210" s="2961">
        <f t="shared" si="56"/>
        <v>0</v>
      </c>
      <c r="Z210" s="998"/>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1</v>
      </c>
      <c r="R211" s="597">
        <f t="shared" si="57"/>
        <v>0</v>
      </c>
      <c r="S211" s="250">
        <f t="shared" si="58"/>
        <v>0</v>
      </c>
      <c r="T211" s="901">
        <f t="shared" si="59"/>
        <v>0</v>
      </c>
      <c r="U211" s="2961">
        <f t="shared" si="53"/>
        <v>0</v>
      </c>
      <c r="V211" s="2961">
        <f t="shared" si="54"/>
        <v>0</v>
      </c>
      <c r="W211" s="998"/>
      <c r="X211" s="2961">
        <f t="shared" si="55"/>
        <v>0</v>
      </c>
      <c r="Y211" s="2961">
        <f t="shared" si="56"/>
        <v>0</v>
      </c>
      <c r="Z211" s="998"/>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1</v>
      </c>
      <c r="R212" s="597">
        <f t="shared" si="57"/>
        <v>0</v>
      </c>
      <c r="S212" s="250">
        <f t="shared" si="58"/>
        <v>0</v>
      </c>
      <c r="T212" s="901">
        <f t="shared" si="59"/>
        <v>0</v>
      </c>
      <c r="U212" s="2961">
        <f t="shared" si="53"/>
        <v>0</v>
      </c>
      <c r="V212" s="2961">
        <f t="shared" si="54"/>
        <v>0</v>
      </c>
      <c r="W212" s="998"/>
      <c r="X212" s="2961">
        <f t="shared" si="55"/>
        <v>0</v>
      </c>
      <c r="Y212" s="2961">
        <f t="shared" si="56"/>
        <v>0</v>
      </c>
      <c r="Z212" s="998"/>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1</v>
      </c>
      <c r="R213" s="597">
        <f t="shared" si="57"/>
        <v>0</v>
      </c>
      <c r="S213" s="250">
        <f t="shared" si="58"/>
        <v>0</v>
      </c>
      <c r="T213" s="901">
        <f t="shared" si="59"/>
        <v>0</v>
      </c>
      <c r="U213" s="2961">
        <f t="shared" si="53"/>
        <v>0</v>
      </c>
      <c r="V213" s="2961">
        <f t="shared" si="54"/>
        <v>0</v>
      </c>
      <c r="W213" s="998"/>
      <c r="X213" s="2961">
        <f t="shared" si="55"/>
        <v>0</v>
      </c>
      <c r="Y213" s="2961">
        <f t="shared" si="56"/>
        <v>0</v>
      </c>
      <c r="Z213" s="998"/>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1</v>
      </c>
      <c r="R214" s="597">
        <f t="shared" si="57"/>
        <v>0</v>
      </c>
      <c r="S214" s="250">
        <f t="shared" si="58"/>
        <v>0</v>
      </c>
      <c r="T214" s="901">
        <f t="shared" si="59"/>
        <v>0</v>
      </c>
      <c r="U214" s="2961">
        <f t="shared" si="53"/>
        <v>0</v>
      </c>
      <c r="V214" s="2961">
        <f t="shared" si="54"/>
        <v>0</v>
      </c>
      <c r="W214" s="998"/>
      <c r="X214" s="2961">
        <f t="shared" si="55"/>
        <v>0</v>
      </c>
      <c r="Y214" s="2961">
        <f t="shared" si="56"/>
        <v>0</v>
      </c>
      <c r="Z214" s="998"/>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1</v>
      </c>
      <c r="R215" s="597">
        <f t="shared" si="57"/>
        <v>0</v>
      </c>
      <c r="S215" s="250">
        <f t="shared" si="58"/>
        <v>0</v>
      </c>
      <c r="T215" s="901">
        <f t="shared" si="59"/>
        <v>0</v>
      </c>
      <c r="U215" s="2961">
        <f t="shared" si="53"/>
        <v>0</v>
      </c>
      <c r="V215" s="2961">
        <f t="shared" si="54"/>
        <v>0</v>
      </c>
      <c r="W215" s="998"/>
      <c r="X215" s="2961">
        <f t="shared" si="55"/>
        <v>0</v>
      </c>
      <c r="Y215" s="2961">
        <f t="shared" si="56"/>
        <v>0</v>
      </c>
      <c r="Z215" s="998"/>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1</v>
      </c>
      <c r="R216" s="597">
        <f t="shared" si="57"/>
        <v>0</v>
      </c>
      <c r="S216" s="250">
        <f t="shared" si="58"/>
        <v>0</v>
      </c>
      <c r="T216" s="901">
        <f t="shared" si="59"/>
        <v>0</v>
      </c>
      <c r="U216" s="2961">
        <f t="shared" si="53"/>
        <v>0</v>
      </c>
      <c r="V216" s="2961">
        <f t="shared" si="54"/>
        <v>0</v>
      </c>
      <c r="W216" s="998"/>
      <c r="X216" s="2961">
        <f t="shared" si="55"/>
        <v>0</v>
      </c>
      <c r="Y216" s="2961">
        <f t="shared" si="56"/>
        <v>0</v>
      </c>
      <c r="Z216" s="998"/>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1</v>
      </c>
      <c r="R217" s="597">
        <f t="shared" si="57"/>
        <v>0</v>
      </c>
      <c r="S217" s="250">
        <f t="shared" si="58"/>
        <v>0</v>
      </c>
      <c r="T217" s="901">
        <f t="shared" si="59"/>
        <v>0</v>
      </c>
      <c r="U217" s="2961">
        <f t="shared" si="53"/>
        <v>0</v>
      </c>
      <c r="V217" s="2961">
        <f t="shared" si="54"/>
        <v>0</v>
      </c>
      <c r="W217" s="998"/>
      <c r="X217" s="2961">
        <f t="shared" si="55"/>
        <v>0</v>
      </c>
      <c r="Y217" s="2961">
        <f t="shared" si="56"/>
        <v>0</v>
      </c>
      <c r="Z217" s="998"/>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1</v>
      </c>
      <c r="R218" s="597">
        <f t="shared" si="57"/>
        <v>0</v>
      </c>
      <c r="S218" s="250">
        <f t="shared" si="58"/>
        <v>0</v>
      </c>
      <c r="T218" s="901">
        <f t="shared" si="59"/>
        <v>0</v>
      </c>
      <c r="U218" s="2961">
        <f t="shared" si="53"/>
        <v>0</v>
      </c>
      <c r="V218" s="2961">
        <f t="shared" si="54"/>
        <v>0</v>
      </c>
      <c r="W218" s="998"/>
      <c r="X218" s="2961">
        <f t="shared" si="55"/>
        <v>0</v>
      </c>
      <c r="Y218" s="2961">
        <f t="shared" si="56"/>
        <v>0</v>
      </c>
      <c r="Z218" s="998"/>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1</v>
      </c>
      <c r="R219" s="597">
        <f t="shared" si="57"/>
        <v>0</v>
      </c>
      <c r="S219" s="250">
        <f t="shared" si="58"/>
        <v>0</v>
      </c>
      <c r="T219" s="901">
        <f t="shared" si="59"/>
        <v>0</v>
      </c>
      <c r="U219" s="2961">
        <f t="shared" si="53"/>
        <v>0</v>
      </c>
      <c r="V219" s="2961">
        <f t="shared" si="54"/>
        <v>0</v>
      </c>
      <c r="W219" s="998"/>
      <c r="X219" s="2961">
        <f t="shared" si="55"/>
        <v>0</v>
      </c>
      <c r="Y219" s="2961">
        <f t="shared" si="56"/>
        <v>0</v>
      </c>
      <c r="Z219" s="998"/>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1</v>
      </c>
      <c r="R220" s="597">
        <f t="shared" si="57"/>
        <v>0</v>
      </c>
      <c r="S220" s="250">
        <f t="shared" si="58"/>
        <v>0</v>
      </c>
      <c r="T220" s="901">
        <f t="shared" si="59"/>
        <v>0</v>
      </c>
      <c r="U220" s="2961">
        <f t="shared" ref="U220:U283" si="68">ROUND(W220*B220,0)</f>
        <v>0</v>
      </c>
      <c r="V220" s="2961">
        <f t="shared" ref="V220:V283" si="69">ROUND(W220*B220/10000,0)</f>
        <v>0</v>
      </c>
      <c r="W220" s="998"/>
      <c r="X220" s="2961">
        <f t="shared" ref="X220:X283" si="70">ROUND(Z220*B220,0)</f>
        <v>0</v>
      </c>
      <c r="Y220" s="2961">
        <f t="shared" ref="Y220:Y283" si="71">ROUND(Z220*B220/10000,0)</f>
        <v>0</v>
      </c>
      <c r="Z220" s="998"/>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1</v>
      </c>
      <c r="R221" s="597">
        <f t="shared" ref="R221:R284" si="72">IF(B221="",0,ROUND($R$27*C221*E221*G221*I221*K221*M221*O221*Q221,0))</f>
        <v>0</v>
      </c>
      <c r="S221" s="250">
        <f t="shared" ref="S221:S284" si="73">ROUND(R221*B221,0)</f>
        <v>0</v>
      </c>
      <c r="T221" s="901">
        <f t="shared" ref="T221:T284" si="74">ROUND(R221*B221/10000,0)</f>
        <v>0</v>
      </c>
      <c r="U221" s="2961">
        <f t="shared" si="68"/>
        <v>0</v>
      </c>
      <c r="V221" s="2961">
        <f t="shared" si="69"/>
        <v>0</v>
      </c>
      <c r="W221" s="998"/>
      <c r="X221" s="2961">
        <f t="shared" si="70"/>
        <v>0</v>
      </c>
      <c r="Y221" s="2961">
        <f t="shared" si="71"/>
        <v>0</v>
      </c>
      <c r="Z221" s="998"/>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1</v>
      </c>
      <c r="R222" s="597">
        <f t="shared" si="72"/>
        <v>0</v>
      </c>
      <c r="S222" s="250">
        <f t="shared" si="73"/>
        <v>0</v>
      </c>
      <c r="T222" s="901">
        <f t="shared" si="74"/>
        <v>0</v>
      </c>
      <c r="U222" s="2961">
        <f t="shared" si="68"/>
        <v>0</v>
      </c>
      <c r="V222" s="2961">
        <f t="shared" si="69"/>
        <v>0</v>
      </c>
      <c r="W222" s="998"/>
      <c r="X222" s="2961">
        <f t="shared" si="70"/>
        <v>0</v>
      </c>
      <c r="Y222" s="2961">
        <f t="shared" si="71"/>
        <v>0</v>
      </c>
      <c r="Z222" s="998"/>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1</v>
      </c>
      <c r="R223" s="597">
        <f t="shared" si="72"/>
        <v>0</v>
      </c>
      <c r="S223" s="250">
        <f t="shared" si="73"/>
        <v>0</v>
      </c>
      <c r="T223" s="901">
        <f t="shared" si="74"/>
        <v>0</v>
      </c>
      <c r="U223" s="2961">
        <f t="shared" si="68"/>
        <v>0</v>
      </c>
      <c r="V223" s="2961">
        <f t="shared" si="69"/>
        <v>0</v>
      </c>
      <c r="W223" s="998"/>
      <c r="X223" s="2961">
        <f t="shared" si="70"/>
        <v>0</v>
      </c>
      <c r="Y223" s="2961">
        <f t="shared" si="71"/>
        <v>0</v>
      </c>
      <c r="Z223" s="998"/>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1</v>
      </c>
      <c r="R224" s="597">
        <f t="shared" si="72"/>
        <v>0</v>
      </c>
      <c r="S224" s="250">
        <f t="shared" si="73"/>
        <v>0</v>
      </c>
      <c r="T224" s="901">
        <f t="shared" si="74"/>
        <v>0</v>
      </c>
      <c r="U224" s="2961">
        <f t="shared" si="68"/>
        <v>0</v>
      </c>
      <c r="V224" s="2961">
        <f t="shared" si="69"/>
        <v>0</v>
      </c>
      <c r="W224" s="998"/>
      <c r="X224" s="2961">
        <f t="shared" si="70"/>
        <v>0</v>
      </c>
      <c r="Y224" s="2961">
        <f t="shared" si="71"/>
        <v>0</v>
      </c>
      <c r="Z224" s="998"/>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1</v>
      </c>
      <c r="R225" s="597">
        <f t="shared" si="72"/>
        <v>0</v>
      </c>
      <c r="S225" s="250">
        <f t="shared" si="73"/>
        <v>0</v>
      </c>
      <c r="T225" s="901">
        <f t="shared" si="74"/>
        <v>0</v>
      </c>
      <c r="U225" s="2961">
        <f t="shared" si="68"/>
        <v>0</v>
      </c>
      <c r="V225" s="2961">
        <f t="shared" si="69"/>
        <v>0</v>
      </c>
      <c r="W225" s="998"/>
      <c r="X225" s="2961">
        <f t="shared" si="70"/>
        <v>0</v>
      </c>
      <c r="Y225" s="2961">
        <f t="shared" si="71"/>
        <v>0</v>
      </c>
      <c r="Z225" s="998"/>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1</v>
      </c>
      <c r="R226" s="597">
        <f t="shared" si="72"/>
        <v>0</v>
      </c>
      <c r="S226" s="250">
        <f t="shared" si="73"/>
        <v>0</v>
      </c>
      <c r="T226" s="901">
        <f t="shared" si="74"/>
        <v>0</v>
      </c>
      <c r="U226" s="2961">
        <f t="shared" si="68"/>
        <v>0</v>
      </c>
      <c r="V226" s="2961">
        <f t="shared" si="69"/>
        <v>0</v>
      </c>
      <c r="W226" s="998"/>
      <c r="X226" s="2961">
        <f t="shared" si="70"/>
        <v>0</v>
      </c>
      <c r="Y226" s="2961">
        <f t="shared" si="71"/>
        <v>0</v>
      </c>
      <c r="Z226" s="998"/>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1</v>
      </c>
      <c r="R227" s="597">
        <f t="shared" si="72"/>
        <v>0</v>
      </c>
      <c r="S227" s="250">
        <f t="shared" si="73"/>
        <v>0</v>
      </c>
      <c r="T227" s="901">
        <f t="shared" si="74"/>
        <v>0</v>
      </c>
      <c r="U227" s="2961">
        <f t="shared" si="68"/>
        <v>0</v>
      </c>
      <c r="V227" s="2961">
        <f t="shared" si="69"/>
        <v>0</v>
      </c>
      <c r="W227" s="998"/>
      <c r="X227" s="2961">
        <f t="shared" si="70"/>
        <v>0</v>
      </c>
      <c r="Y227" s="2961">
        <f t="shared" si="71"/>
        <v>0</v>
      </c>
      <c r="Z227" s="998"/>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1</v>
      </c>
      <c r="R228" s="597">
        <f t="shared" si="72"/>
        <v>0</v>
      </c>
      <c r="S228" s="250">
        <f t="shared" si="73"/>
        <v>0</v>
      </c>
      <c r="T228" s="901">
        <f t="shared" si="74"/>
        <v>0</v>
      </c>
      <c r="U228" s="2961">
        <f t="shared" si="68"/>
        <v>0</v>
      </c>
      <c r="V228" s="2961">
        <f t="shared" si="69"/>
        <v>0</v>
      </c>
      <c r="W228" s="998"/>
      <c r="X228" s="2961">
        <f t="shared" si="70"/>
        <v>0</v>
      </c>
      <c r="Y228" s="2961">
        <f t="shared" si="71"/>
        <v>0</v>
      </c>
      <c r="Z228" s="998"/>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1</v>
      </c>
      <c r="R229" s="597">
        <f t="shared" si="72"/>
        <v>0</v>
      </c>
      <c r="S229" s="250">
        <f t="shared" si="73"/>
        <v>0</v>
      </c>
      <c r="T229" s="901">
        <f t="shared" si="74"/>
        <v>0</v>
      </c>
      <c r="U229" s="2961">
        <f t="shared" si="68"/>
        <v>0</v>
      </c>
      <c r="V229" s="2961">
        <f t="shared" si="69"/>
        <v>0</v>
      </c>
      <c r="W229" s="998"/>
      <c r="X229" s="2961">
        <f t="shared" si="70"/>
        <v>0</v>
      </c>
      <c r="Y229" s="2961">
        <f t="shared" si="71"/>
        <v>0</v>
      </c>
      <c r="Z229" s="998"/>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1</v>
      </c>
      <c r="R230" s="597">
        <f t="shared" si="72"/>
        <v>0</v>
      </c>
      <c r="S230" s="250">
        <f t="shared" si="73"/>
        <v>0</v>
      </c>
      <c r="T230" s="901">
        <f t="shared" si="74"/>
        <v>0</v>
      </c>
      <c r="U230" s="2961">
        <f t="shared" si="68"/>
        <v>0</v>
      </c>
      <c r="V230" s="2961">
        <f t="shared" si="69"/>
        <v>0</v>
      </c>
      <c r="W230" s="998"/>
      <c r="X230" s="2961">
        <f t="shared" si="70"/>
        <v>0</v>
      </c>
      <c r="Y230" s="2961">
        <f t="shared" si="71"/>
        <v>0</v>
      </c>
      <c r="Z230" s="998"/>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1</v>
      </c>
      <c r="R231" s="597">
        <f t="shared" si="72"/>
        <v>0</v>
      </c>
      <c r="S231" s="250">
        <f t="shared" si="73"/>
        <v>0</v>
      </c>
      <c r="T231" s="901">
        <f t="shared" si="74"/>
        <v>0</v>
      </c>
      <c r="U231" s="2961">
        <f t="shared" si="68"/>
        <v>0</v>
      </c>
      <c r="V231" s="2961">
        <f t="shared" si="69"/>
        <v>0</v>
      </c>
      <c r="W231" s="998"/>
      <c r="X231" s="2961">
        <f t="shared" si="70"/>
        <v>0</v>
      </c>
      <c r="Y231" s="2961">
        <f t="shared" si="71"/>
        <v>0</v>
      </c>
      <c r="Z231" s="998"/>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1</v>
      </c>
      <c r="R232" s="597">
        <f t="shared" si="72"/>
        <v>0</v>
      </c>
      <c r="S232" s="250">
        <f t="shared" si="73"/>
        <v>0</v>
      </c>
      <c r="T232" s="901">
        <f t="shared" si="74"/>
        <v>0</v>
      </c>
      <c r="U232" s="2961">
        <f t="shared" si="68"/>
        <v>0</v>
      </c>
      <c r="V232" s="2961">
        <f t="shared" si="69"/>
        <v>0</v>
      </c>
      <c r="W232" s="998"/>
      <c r="X232" s="2961">
        <f t="shared" si="70"/>
        <v>0</v>
      </c>
      <c r="Y232" s="2961">
        <f t="shared" si="71"/>
        <v>0</v>
      </c>
      <c r="Z232" s="998"/>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1</v>
      </c>
      <c r="R233" s="597">
        <f t="shared" si="72"/>
        <v>0</v>
      </c>
      <c r="S233" s="250">
        <f t="shared" si="73"/>
        <v>0</v>
      </c>
      <c r="T233" s="901">
        <f t="shared" si="74"/>
        <v>0</v>
      </c>
      <c r="U233" s="2961">
        <f t="shared" si="68"/>
        <v>0</v>
      </c>
      <c r="V233" s="2961">
        <f t="shared" si="69"/>
        <v>0</v>
      </c>
      <c r="W233" s="998"/>
      <c r="X233" s="2961">
        <f t="shared" si="70"/>
        <v>0</v>
      </c>
      <c r="Y233" s="2961">
        <f t="shared" si="71"/>
        <v>0</v>
      </c>
      <c r="Z233" s="998"/>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1</v>
      </c>
      <c r="R234" s="597">
        <f t="shared" si="72"/>
        <v>0</v>
      </c>
      <c r="S234" s="250">
        <f t="shared" si="73"/>
        <v>0</v>
      </c>
      <c r="T234" s="901">
        <f t="shared" si="74"/>
        <v>0</v>
      </c>
      <c r="U234" s="2961">
        <f t="shared" si="68"/>
        <v>0</v>
      </c>
      <c r="V234" s="2961">
        <f t="shared" si="69"/>
        <v>0</v>
      </c>
      <c r="W234" s="998"/>
      <c r="X234" s="2961">
        <f t="shared" si="70"/>
        <v>0</v>
      </c>
      <c r="Y234" s="2961">
        <f t="shared" si="71"/>
        <v>0</v>
      </c>
      <c r="Z234" s="998"/>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1</v>
      </c>
      <c r="R235" s="597">
        <f t="shared" si="72"/>
        <v>0</v>
      </c>
      <c r="S235" s="250">
        <f t="shared" si="73"/>
        <v>0</v>
      </c>
      <c r="T235" s="901">
        <f t="shared" si="74"/>
        <v>0</v>
      </c>
      <c r="U235" s="2961">
        <f t="shared" si="68"/>
        <v>0</v>
      </c>
      <c r="V235" s="2961">
        <f t="shared" si="69"/>
        <v>0</v>
      </c>
      <c r="W235" s="998"/>
      <c r="X235" s="2961">
        <f t="shared" si="70"/>
        <v>0</v>
      </c>
      <c r="Y235" s="2961">
        <f t="shared" si="71"/>
        <v>0</v>
      </c>
      <c r="Z235" s="998"/>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1</v>
      </c>
      <c r="R236" s="597">
        <f t="shared" si="72"/>
        <v>0</v>
      </c>
      <c r="S236" s="250">
        <f t="shared" si="73"/>
        <v>0</v>
      </c>
      <c r="T236" s="901">
        <f t="shared" si="74"/>
        <v>0</v>
      </c>
      <c r="U236" s="2961">
        <f t="shared" si="68"/>
        <v>0</v>
      </c>
      <c r="V236" s="2961">
        <f t="shared" si="69"/>
        <v>0</v>
      </c>
      <c r="W236" s="998"/>
      <c r="X236" s="2961">
        <f t="shared" si="70"/>
        <v>0</v>
      </c>
      <c r="Y236" s="2961">
        <f t="shared" si="71"/>
        <v>0</v>
      </c>
      <c r="Z236" s="998"/>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1</v>
      </c>
      <c r="R237" s="597">
        <f t="shared" si="72"/>
        <v>0</v>
      </c>
      <c r="S237" s="250">
        <f t="shared" si="73"/>
        <v>0</v>
      </c>
      <c r="T237" s="901">
        <f t="shared" si="74"/>
        <v>0</v>
      </c>
      <c r="U237" s="2961">
        <f t="shared" si="68"/>
        <v>0</v>
      </c>
      <c r="V237" s="2961">
        <f t="shared" si="69"/>
        <v>0</v>
      </c>
      <c r="W237" s="998"/>
      <c r="X237" s="2961">
        <f t="shared" si="70"/>
        <v>0</v>
      </c>
      <c r="Y237" s="2961">
        <f t="shared" si="71"/>
        <v>0</v>
      </c>
      <c r="Z237" s="998"/>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1</v>
      </c>
      <c r="R238" s="597">
        <f t="shared" si="72"/>
        <v>0</v>
      </c>
      <c r="S238" s="250">
        <f t="shared" si="73"/>
        <v>0</v>
      </c>
      <c r="T238" s="901">
        <f t="shared" si="74"/>
        <v>0</v>
      </c>
      <c r="U238" s="2961">
        <f t="shared" si="68"/>
        <v>0</v>
      </c>
      <c r="V238" s="2961">
        <f t="shared" si="69"/>
        <v>0</v>
      </c>
      <c r="W238" s="998"/>
      <c r="X238" s="2961">
        <f t="shared" si="70"/>
        <v>0</v>
      </c>
      <c r="Y238" s="2961">
        <f t="shared" si="71"/>
        <v>0</v>
      </c>
      <c r="Z238" s="998"/>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1</v>
      </c>
      <c r="R239" s="597">
        <f t="shared" si="72"/>
        <v>0</v>
      </c>
      <c r="S239" s="250">
        <f t="shared" si="73"/>
        <v>0</v>
      </c>
      <c r="T239" s="901">
        <f t="shared" si="74"/>
        <v>0</v>
      </c>
      <c r="U239" s="2961">
        <f t="shared" si="68"/>
        <v>0</v>
      </c>
      <c r="V239" s="2961">
        <f t="shared" si="69"/>
        <v>0</v>
      </c>
      <c r="W239" s="998"/>
      <c r="X239" s="2961">
        <f t="shared" si="70"/>
        <v>0</v>
      </c>
      <c r="Y239" s="2961">
        <f t="shared" si="71"/>
        <v>0</v>
      </c>
      <c r="Z239" s="998"/>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1</v>
      </c>
      <c r="R240" s="597">
        <f t="shared" si="72"/>
        <v>0</v>
      </c>
      <c r="S240" s="250">
        <f t="shared" si="73"/>
        <v>0</v>
      </c>
      <c r="T240" s="901">
        <f t="shared" si="74"/>
        <v>0</v>
      </c>
      <c r="U240" s="2961">
        <f t="shared" si="68"/>
        <v>0</v>
      </c>
      <c r="V240" s="2961">
        <f t="shared" si="69"/>
        <v>0</v>
      </c>
      <c r="W240" s="998"/>
      <c r="X240" s="2961">
        <f t="shared" si="70"/>
        <v>0</v>
      </c>
      <c r="Y240" s="2961">
        <f t="shared" si="71"/>
        <v>0</v>
      </c>
      <c r="Z240" s="998"/>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1</v>
      </c>
      <c r="R241" s="597">
        <f t="shared" si="72"/>
        <v>0</v>
      </c>
      <c r="S241" s="250">
        <f t="shared" si="73"/>
        <v>0</v>
      </c>
      <c r="T241" s="901">
        <f t="shared" si="74"/>
        <v>0</v>
      </c>
      <c r="U241" s="2961">
        <f t="shared" si="68"/>
        <v>0</v>
      </c>
      <c r="V241" s="2961">
        <f t="shared" si="69"/>
        <v>0</v>
      </c>
      <c r="W241" s="998"/>
      <c r="X241" s="2961">
        <f t="shared" si="70"/>
        <v>0</v>
      </c>
      <c r="Y241" s="2961">
        <f t="shared" si="71"/>
        <v>0</v>
      </c>
      <c r="Z241" s="998"/>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1</v>
      </c>
      <c r="R242" s="597">
        <f t="shared" si="72"/>
        <v>0</v>
      </c>
      <c r="S242" s="250">
        <f t="shared" si="73"/>
        <v>0</v>
      </c>
      <c r="T242" s="901">
        <f t="shared" si="74"/>
        <v>0</v>
      </c>
      <c r="U242" s="2961">
        <f t="shared" si="68"/>
        <v>0</v>
      </c>
      <c r="V242" s="2961">
        <f t="shared" si="69"/>
        <v>0</v>
      </c>
      <c r="W242" s="998"/>
      <c r="X242" s="2961">
        <f t="shared" si="70"/>
        <v>0</v>
      </c>
      <c r="Y242" s="2961">
        <f t="shared" si="71"/>
        <v>0</v>
      </c>
      <c r="Z242" s="998"/>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1</v>
      </c>
      <c r="R243" s="597">
        <f t="shared" si="72"/>
        <v>0</v>
      </c>
      <c r="S243" s="250">
        <f t="shared" si="73"/>
        <v>0</v>
      </c>
      <c r="T243" s="901">
        <f t="shared" si="74"/>
        <v>0</v>
      </c>
      <c r="U243" s="2961">
        <f t="shared" si="68"/>
        <v>0</v>
      </c>
      <c r="V243" s="2961">
        <f t="shared" si="69"/>
        <v>0</v>
      </c>
      <c r="W243" s="998"/>
      <c r="X243" s="2961">
        <f t="shared" si="70"/>
        <v>0</v>
      </c>
      <c r="Y243" s="2961">
        <f t="shared" si="71"/>
        <v>0</v>
      </c>
      <c r="Z243" s="998"/>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1</v>
      </c>
      <c r="R244" s="597">
        <f t="shared" si="72"/>
        <v>0</v>
      </c>
      <c r="S244" s="250">
        <f t="shared" si="73"/>
        <v>0</v>
      </c>
      <c r="T244" s="901">
        <f t="shared" si="74"/>
        <v>0</v>
      </c>
      <c r="U244" s="2961">
        <f t="shared" si="68"/>
        <v>0</v>
      </c>
      <c r="V244" s="2961">
        <f t="shared" si="69"/>
        <v>0</v>
      </c>
      <c r="W244" s="998"/>
      <c r="X244" s="2961">
        <f t="shared" si="70"/>
        <v>0</v>
      </c>
      <c r="Y244" s="2961">
        <f t="shared" si="71"/>
        <v>0</v>
      </c>
      <c r="Z244" s="998"/>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1</v>
      </c>
      <c r="R245" s="597">
        <f t="shared" si="72"/>
        <v>0</v>
      </c>
      <c r="S245" s="250">
        <f t="shared" si="73"/>
        <v>0</v>
      </c>
      <c r="T245" s="901">
        <f t="shared" si="74"/>
        <v>0</v>
      </c>
      <c r="U245" s="2961">
        <f t="shared" si="68"/>
        <v>0</v>
      </c>
      <c r="V245" s="2961">
        <f t="shared" si="69"/>
        <v>0</v>
      </c>
      <c r="W245" s="998"/>
      <c r="X245" s="2961">
        <f t="shared" si="70"/>
        <v>0</v>
      </c>
      <c r="Y245" s="2961">
        <f t="shared" si="71"/>
        <v>0</v>
      </c>
      <c r="Z245" s="998"/>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1</v>
      </c>
      <c r="R246" s="597">
        <f t="shared" si="72"/>
        <v>0</v>
      </c>
      <c r="S246" s="250">
        <f t="shared" si="73"/>
        <v>0</v>
      </c>
      <c r="T246" s="901">
        <f t="shared" si="74"/>
        <v>0</v>
      </c>
      <c r="U246" s="2961">
        <f t="shared" si="68"/>
        <v>0</v>
      </c>
      <c r="V246" s="2961">
        <f t="shared" si="69"/>
        <v>0</v>
      </c>
      <c r="W246" s="998"/>
      <c r="X246" s="2961">
        <f t="shared" si="70"/>
        <v>0</v>
      </c>
      <c r="Y246" s="2961">
        <f t="shared" si="71"/>
        <v>0</v>
      </c>
      <c r="Z246" s="998"/>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1</v>
      </c>
      <c r="R247" s="597">
        <f t="shared" si="72"/>
        <v>0</v>
      </c>
      <c r="S247" s="250">
        <f t="shared" si="73"/>
        <v>0</v>
      </c>
      <c r="T247" s="901">
        <f t="shared" si="74"/>
        <v>0</v>
      </c>
      <c r="U247" s="2961">
        <f t="shared" si="68"/>
        <v>0</v>
      </c>
      <c r="V247" s="2961">
        <f t="shared" si="69"/>
        <v>0</v>
      </c>
      <c r="W247" s="998"/>
      <c r="X247" s="2961">
        <f t="shared" si="70"/>
        <v>0</v>
      </c>
      <c r="Y247" s="2961">
        <f t="shared" si="71"/>
        <v>0</v>
      </c>
      <c r="Z247" s="998"/>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1</v>
      </c>
      <c r="R248" s="597">
        <f t="shared" si="72"/>
        <v>0</v>
      </c>
      <c r="S248" s="250">
        <f t="shared" si="73"/>
        <v>0</v>
      </c>
      <c r="T248" s="901">
        <f t="shared" si="74"/>
        <v>0</v>
      </c>
      <c r="U248" s="2961">
        <f t="shared" si="68"/>
        <v>0</v>
      </c>
      <c r="V248" s="2961">
        <f t="shared" si="69"/>
        <v>0</v>
      </c>
      <c r="W248" s="998"/>
      <c r="X248" s="2961">
        <f t="shared" si="70"/>
        <v>0</v>
      </c>
      <c r="Y248" s="2961">
        <f t="shared" si="71"/>
        <v>0</v>
      </c>
      <c r="Z248" s="998"/>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1</v>
      </c>
      <c r="R249" s="597">
        <f t="shared" si="72"/>
        <v>0</v>
      </c>
      <c r="S249" s="250">
        <f t="shared" si="73"/>
        <v>0</v>
      </c>
      <c r="T249" s="901">
        <f t="shared" si="74"/>
        <v>0</v>
      </c>
      <c r="U249" s="2961">
        <f t="shared" si="68"/>
        <v>0</v>
      </c>
      <c r="V249" s="2961">
        <f t="shared" si="69"/>
        <v>0</v>
      </c>
      <c r="W249" s="998"/>
      <c r="X249" s="2961">
        <f t="shared" si="70"/>
        <v>0</v>
      </c>
      <c r="Y249" s="2961">
        <f t="shared" si="71"/>
        <v>0</v>
      </c>
      <c r="Z249" s="998"/>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1</v>
      </c>
      <c r="R250" s="597">
        <f t="shared" si="72"/>
        <v>0</v>
      </c>
      <c r="S250" s="250">
        <f t="shared" si="73"/>
        <v>0</v>
      </c>
      <c r="T250" s="901">
        <f t="shared" si="74"/>
        <v>0</v>
      </c>
      <c r="U250" s="2961">
        <f t="shared" si="68"/>
        <v>0</v>
      </c>
      <c r="V250" s="2961">
        <f t="shared" si="69"/>
        <v>0</v>
      </c>
      <c r="W250" s="998"/>
      <c r="X250" s="2961">
        <f t="shared" si="70"/>
        <v>0</v>
      </c>
      <c r="Y250" s="2961">
        <f t="shared" si="71"/>
        <v>0</v>
      </c>
      <c r="Z250" s="998"/>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1</v>
      </c>
      <c r="R251" s="597">
        <f t="shared" si="72"/>
        <v>0</v>
      </c>
      <c r="S251" s="250">
        <f t="shared" si="73"/>
        <v>0</v>
      </c>
      <c r="T251" s="901">
        <f t="shared" si="74"/>
        <v>0</v>
      </c>
      <c r="U251" s="2961">
        <f t="shared" si="68"/>
        <v>0</v>
      </c>
      <c r="V251" s="2961">
        <f t="shared" si="69"/>
        <v>0</v>
      </c>
      <c r="W251" s="998"/>
      <c r="X251" s="2961">
        <f t="shared" si="70"/>
        <v>0</v>
      </c>
      <c r="Y251" s="2961">
        <f t="shared" si="71"/>
        <v>0</v>
      </c>
      <c r="Z251" s="998"/>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1</v>
      </c>
      <c r="R252" s="597">
        <f t="shared" si="72"/>
        <v>0</v>
      </c>
      <c r="S252" s="250">
        <f t="shared" si="73"/>
        <v>0</v>
      </c>
      <c r="T252" s="901">
        <f t="shared" si="74"/>
        <v>0</v>
      </c>
      <c r="U252" s="2961">
        <f t="shared" si="68"/>
        <v>0</v>
      </c>
      <c r="V252" s="2961">
        <f t="shared" si="69"/>
        <v>0</v>
      </c>
      <c r="W252" s="998"/>
      <c r="X252" s="2961">
        <f t="shared" si="70"/>
        <v>0</v>
      </c>
      <c r="Y252" s="2961">
        <f t="shared" si="71"/>
        <v>0</v>
      </c>
      <c r="Z252" s="998"/>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1</v>
      </c>
      <c r="R253" s="597">
        <f t="shared" si="72"/>
        <v>0</v>
      </c>
      <c r="S253" s="250">
        <f t="shared" si="73"/>
        <v>0</v>
      </c>
      <c r="T253" s="901">
        <f t="shared" si="74"/>
        <v>0</v>
      </c>
      <c r="U253" s="2961">
        <f t="shared" si="68"/>
        <v>0</v>
      </c>
      <c r="V253" s="2961">
        <f t="shared" si="69"/>
        <v>0</v>
      </c>
      <c r="W253" s="998"/>
      <c r="X253" s="2961">
        <f t="shared" si="70"/>
        <v>0</v>
      </c>
      <c r="Y253" s="2961">
        <f t="shared" si="71"/>
        <v>0</v>
      </c>
      <c r="Z253" s="998"/>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1</v>
      </c>
      <c r="R254" s="597">
        <f t="shared" si="72"/>
        <v>0</v>
      </c>
      <c r="S254" s="250">
        <f t="shared" si="73"/>
        <v>0</v>
      </c>
      <c r="T254" s="901">
        <f t="shared" si="74"/>
        <v>0</v>
      </c>
      <c r="U254" s="2961">
        <f t="shared" si="68"/>
        <v>0</v>
      </c>
      <c r="V254" s="2961">
        <f t="shared" si="69"/>
        <v>0</v>
      </c>
      <c r="W254" s="998"/>
      <c r="X254" s="2961">
        <f t="shared" si="70"/>
        <v>0</v>
      </c>
      <c r="Y254" s="2961">
        <f t="shared" si="71"/>
        <v>0</v>
      </c>
      <c r="Z254" s="998"/>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1</v>
      </c>
      <c r="R255" s="597">
        <f t="shared" si="72"/>
        <v>0</v>
      </c>
      <c r="S255" s="250">
        <f t="shared" si="73"/>
        <v>0</v>
      </c>
      <c r="T255" s="901">
        <f t="shared" si="74"/>
        <v>0</v>
      </c>
      <c r="U255" s="2961">
        <f t="shared" si="68"/>
        <v>0</v>
      </c>
      <c r="V255" s="2961">
        <f t="shared" si="69"/>
        <v>0</v>
      </c>
      <c r="W255" s="998"/>
      <c r="X255" s="2961">
        <f t="shared" si="70"/>
        <v>0</v>
      </c>
      <c r="Y255" s="2961">
        <f t="shared" si="71"/>
        <v>0</v>
      </c>
      <c r="Z255" s="998"/>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1</v>
      </c>
      <c r="R256" s="597">
        <f t="shared" si="72"/>
        <v>0</v>
      </c>
      <c r="S256" s="250">
        <f t="shared" si="73"/>
        <v>0</v>
      </c>
      <c r="T256" s="901">
        <f t="shared" si="74"/>
        <v>0</v>
      </c>
      <c r="U256" s="2961">
        <f t="shared" si="68"/>
        <v>0</v>
      </c>
      <c r="V256" s="2961">
        <f t="shared" si="69"/>
        <v>0</v>
      </c>
      <c r="W256" s="998"/>
      <c r="X256" s="2961">
        <f t="shared" si="70"/>
        <v>0</v>
      </c>
      <c r="Y256" s="2961">
        <f t="shared" si="71"/>
        <v>0</v>
      </c>
      <c r="Z256" s="998"/>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1</v>
      </c>
      <c r="R257" s="597">
        <f t="shared" si="72"/>
        <v>0</v>
      </c>
      <c r="S257" s="250">
        <f t="shared" si="73"/>
        <v>0</v>
      </c>
      <c r="T257" s="901">
        <f t="shared" si="74"/>
        <v>0</v>
      </c>
      <c r="U257" s="2961">
        <f t="shared" si="68"/>
        <v>0</v>
      </c>
      <c r="V257" s="2961">
        <f t="shared" si="69"/>
        <v>0</v>
      </c>
      <c r="W257" s="998"/>
      <c r="X257" s="2961">
        <f t="shared" si="70"/>
        <v>0</v>
      </c>
      <c r="Y257" s="2961">
        <f t="shared" si="71"/>
        <v>0</v>
      </c>
      <c r="Z257" s="998"/>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1</v>
      </c>
      <c r="R258" s="597">
        <f t="shared" si="72"/>
        <v>0</v>
      </c>
      <c r="S258" s="250">
        <f t="shared" si="73"/>
        <v>0</v>
      </c>
      <c r="T258" s="901">
        <f t="shared" si="74"/>
        <v>0</v>
      </c>
      <c r="U258" s="2961">
        <f t="shared" si="68"/>
        <v>0</v>
      </c>
      <c r="V258" s="2961">
        <f t="shared" si="69"/>
        <v>0</v>
      </c>
      <c r="W258" s="998"/>
      <c r="X258" s="2961">
        <f t="shared" si="70"/>
        <v>0</v>
      </c>
      <c r="Y258" s="2961">
        <f t="shared" si="71"/>
        <v>0</v>
      </c>
      <c r="Z258" s="998"/>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1</v>
      </c>
      <c r="R259" s="597">
        <f t="shared" si="72"/>
        <v>0</v>
      </c>
      <c r="S259" s="250">
        <f t="shared" si="73"/>
        <v>0</v>
      </c>
      <c r="T259" s="901">
        <f t="shared" si="74"/>
        <v>0</v>
      </c>
      <c r="U259" s="2961">
        <f t="shared" si="68"/>
        <v>0</v>
      </c>
      <c r="V259" s="2961">
        <f t="shared" si="69"/>
        <v>0</v>
      </c>
      <c r="W259" s="998"/>
      <c r="X259" s="2961">
        <f t="shared" si="70"/>
        <v>0</v>
      </c>
      <c r="Y259" s="2961">
        <f t="shared" si="71"/>
        <v>0</v>
      </c>
      <c r="Z259" s="998"/>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1</v>
      </c>
      <c r="R260" s="597">
        <f t="shared" si="72"/>
        <v>0</v>
      </c>
      <c r="S260" s="250">
        <f t="shared" si="73"/>
        <v>0</v>
      </c>
      <c r="T260" s="901">
        <f t="shared" si="74"/>
        <v>0</v>
      </c>
      <c r="U260" s="2961">
        <f t="shared" si="68"/>
        <v>0</v>
      </c>
      <c r="V260" s="2961">
        <f t="shared" si="69"/>
        <v>0</v>
      </c>
      <c r="W260" s="998"/>
      <c r="X260" s="2961">
        <f t="shared" si="70"/>
        <v>0</v>
      </c>
      <c r="Y260" s="2961">
        <f t="shared" si="71"/>
        <v>0</v>
      </c>
      <c r="Z260" s="998"/>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1</v>
      </c>
      <c r="R261" s="597">
        <f t="shared" si="72"/>
        <v>0</v>
      </c>
      <c r="S261" s="250">
        <f t="shared" si="73"/>
        <v>0</v>
      </c>
      <c r="T261" s="901">
        <f t="shared" si="74"/>
        <v>0</v>
      </c>
      <c r="U261" s="2961">
        <f t="shared" si="68"/>
        <v>0</v>
      </c>
      <c r="V261" s="2961">
        <f t="shared" si="69"/>
        <v>0</v>
      </c>
      <c r="W261" s="998"/>
      <c r="X261" s="2961">
        <f t="shared" si="70"/>
        <v>0</v>
      </c>
      <c r="Y261" s="2961">
        <f t="shared" si="71"/>
        <v>0</v>
      </c>
      <c r="Z261" s="998"/>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1</v>
      </c>
      <c r="R262" s="597">
        <f t="shared" si="72"/>
        <v>0</v>
      </c>
      <c r="S262" s="250">
        <f t="shared" si="73"/>
        <v>0</v>
      </c>
      <c r="T262" s="901">
        <f t="shared" si="74"/>
        <v>0</v>
      </c>
      <c r="U262" s="2961">
        <f t="shared" si="68"/>
        <v>0</v>
      </c>
      <c r="V262" s="2961">
        <f t="shared" si="69"/>
        <v>0</v>
      </c>
      <c r="W262" s="998"/>
      <c r="X262" s="2961">
        <f t="shared" si="70"/>
        <v>0</v>
      </c>
      <c r="Y262" s="2961">
        <f t="shared" si="71"/>
        <v>0</v>
      </c>
      <c r="Z262" s="998"/>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1</v>
      </c>
      <c r="R263" s="597">
        <f t="shared" si="72"/>
        <v>0</v>
      </c>
      <c r="S263" s="250">
        <f t="shared" si="73"/>
        <v>0</v>
      </c>
      <c r="T263" s="901">
        <f t="shared" si="74"/>
        <v>0</v>
      </c>
      <c r="U263" s="2961">
        <f t="shared" si="68"/>
        <v>0</v>
      </c>
      <c r="V263" s="2961">
        <f t="shared" si="69"/>
        <v>0</v>
      </c>
      <c r="W263" s="998"/>
      <c r="X263" s="2961">
        <f t="shared" si="70"/>
        <v>0</v>
      </c>
      <c r="Y263" s="2961">
        <f t="shared" si="71"/>
        <v>0</v>
      </c>
      <c r="Z263" s="998"/>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1</v>
      </c>
      <c r="R264" s="597">
        <f t="shared" si="72"/>
        <v>0</v>
      </c>
      <c r="S264" s="250">
        <f t="shared" si="73"/>
        <v>0</v>
      </c>
      <c r="T264" s="901">
        <f t="shared" si="74"/>
        <v>0</v>
      </c>
      <c r="U264" s="2961">
        <f t="shared" si="68"/>
        <v>0</v>
      </c>
      <c r="V264" s="2961">
        <f t="shared" si="69"/>
        <v>0</v>
      </c>
      <c r="W264" s="998"/>
      <c r="X264" s="2961">
        <f t="shared" si="70"/>
        <v>0</v>
      </c>
      <c r="Y264" s="2961">
        <f t="shared" si="71"/>
        <v>0</v>
      </c>
      <c r="Z264" s="998"/>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1</v>
      </c>
      <c r="R265" s="597">
        <f t="shared" si="72"/>
        <v>0</v>
      </c>
      <c r="S265" s="250">
        <f t="shared" si="73"/>
        <v>0</v>
      </c>
      <c r="T265" s="901">
        <f t="shared" si="74"/>
        <v>0</v>
      </c>
      <c r="U265" s="2961">
        <f t="shared" si="68"/>
        <v>0</v>
      </c>
      <c r="V265" s="2961">
        <f t="shared" si="69"/>
        <v>0</v>
      </c>
      <c r="W265" s="998"/>
      <c r="X265" s="2961">
        <f t="shared" si="70"/>
        <v>0</v>
      </c>
      <c r="Y265" s="2961">
        <f t="shared" si="71"/>
        <v>0</v>
      </c>
      <c r="Z265" s="998"/>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1</v>
      </c>
      <c r="R266" s="597">
        <f t="shared" si="72"/>
        <v>0</v>
      </c>
      <c r="S266" s="250">
        <f t="shared" si="73"/>
        <v>0</v>
      </c>
      <c r="T266" s="901">
        <f t="shared" si="74"/>
        <v>0</v>
      </c>
      <c r="U266" s="2961">
        <f t="shared" si="68"/>
        <v>0</v>
      </c>
      <c r="V266" s="2961">
        <f t="shared" si="69"/>
        <v>0</v>
      </c>
      <c r="W266" s="998"/>
      <c r="X266" s="2961">
        <f t="shared" si="70"/>
        <v>0</v>
      </c>
      <c r="Y266" s="2961">
        <f t="shared" si="71"/>
        <v>0</v>
      </c>
      <c r="Z266" s="998"/>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1</v>
      </c>
      <c r="R267" s="597">
        <f t="shared" si="72"/>
        <v>0</v>
      </c>
      <c r="S267" s="250">
        <f t="shared" si="73"/>
        <v>0</v>
      </c>
      <c r="T267" s="901">
        <f t="shared" si="74"/>
        <v>0</v>
      </c>
      <c r="U267" s="2961">
        <f t="shared" si="68"/>
        <v>0</v>
      </c>
      <c r="V267" s="2961">
        <f t="shared" si="69"/>
        <v>0</v>
      </c>
      <c r="W267" s="998"/>
      <c r="X267" s="2961">
        <f t="shared" si="70"/>
        <v>0</v>
      </c>
      <c r="Y267" s="2961">
        <f t="shared" si="71"/>
        <v>0</v>
      </c>
      <c r="Z267" s="998"/>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1</v>
      </c>
      <c r="R268" s="597">
        <f t="shared" si="72"/>
        <v>0</v>
      </c>
      <c r="S268" s="250">
        <f t="shared" si="73"/>
        <v>0</v>
      </c>
      <c r="T268" s="901">
        <f t="shared" si="74"/>
        <v>0</v>
      </c>
      <c r="U268" s="2961">
        <f t="shared" si="68"/>
        <v>0</v>
      </c>
      <c r="V268" s="2961">
        <f t="shared" si="69"/>
        <v>0</v>
      </c>
      <c r="W268" s="998"/>
      <c r="X268" s="2961">
        <f t="shared" si="70"/>
        <v>0</v>
      </c>
      <c r="Y268" s="2961">
        <f t="shared" si="71"/>
        <v>0</v>
      </c>
      <c r="Z268" s="998"/>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1</v>
      </c>
      <c r="R269" s="597">
        <f t="shared" si="72"/>
        <v>0</v>
      </c>
      <c r="S269" s="250">
        <f t="shared" si="73"/>
        <v>0</v>
      </c>
      <c r="T269" s="901">
        <f t="shared" si="74"/>
        <v>0</v>
      </c>
      <c r="U269" s="2961">
        <f t="shared" si="68"/>
        <v>0</v>
      </c>
      <c r="V269" s="2961">
        <f t="shared" si="69"/>
        <v>0</v>
      </c>
      <c r="W269" s="998"/>
      <c r="X269" s="2961">
        <f t="shared" si="70"/>
        <v>0</v>
      </c>
      <c r="Y269" s="2961">
        <f t="shared" si="71"/>
        <v>0</v>
      </c>
      <c r="Z269" s="998"/>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1</v>
      </c>
      <c r="R270" s="597">
        <f t="shared" si="72"/>
        <v>0</v>
      </c>
      <c r="S270" s="250">
        <f t="shared" si="73"/>
        <v>0</v>
      </c>
      <c r="T270" s="901">
        <f t="shared" si="74"/>
        <v>0</v>
      </c>
      <c r="U270" s="2961">
        <f t="shared" si="68"/>
        <v>0</v>
      </c>
      <c r="V270" s="2961">
        <f t="shared" si="69"/>
        <v>0</v>
      </c>
      <c r="W270" s="998"/>
      <c r="X270" s="2961">
        <f t="shared" si="70"/>
        <v>0</v>
      </c>
      <c r="Y270" s="2961">
        <f t="shared" si="71"/>
        <v>0</v>
      </c>
      <c r="Z270" s="998"/>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1</v>
      </c>
      <c r="R271" s="597">
        <f t="shared" si="72"/>
        <v>0</v>
      </c>
      <c r="S271" s="250">
        <f t="shared" si="73"/>
        <v>0</v>
      </c>
      <c r="T271" s="901">
        <f t="shared" si="74"/>
        <v>0</v>
      </c>
      <c r="U271" s="2961">
        <f t="shared" si="68"/>
        <v>0</v>
      </c>
      <c r="V271" s="2961">
        <f t="shared" si="69"/>
        <v>0</v>
      </c>
      <c r="W271" s="998"/>
      <c r="X271" s="2961">
        <f t="shared" si="70"/>
        <v>0</v>
      </c>
      <c r="Y271" s="2961">
        <f t="shared" si="71"/>
        <v>0</v>
      </c>
      <c r="Z271" s="998"/>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1</v>
      </c>
      <c r="R272" s="597">
        <f t="shared" si="72"/>
        <v>0</v>
      </c>
      <c r="S272" s="250">
        <f t="shared" si="73"/>
        <v>0</v>
      </c>
      <c r="T272" s="901">
        <f t="shared" si="74"/>
        <v>0</v>
      </c>
      <c r="U272" s="2961">
        <f t="shared" si="68"/>
        <v>0</v>
      </c>
      <c r="V272" s="2961">
        <f t="shared" si="69"/>
        <v>0</v>
      </c>
      <c r="W272" s="998"/>
      <c r="X272" s="2961">
        <f t="shared" si="70"/>
        <v>0</v>
      </c>
      <c r="Y272" s="2961">
        <f t="shared" si="71"/>
        <v>0</v>
      </c>
      <c r="Z272" s="998"/>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1</v>
      </c>
      <c r="R273" s="597">
        <f t="shared" si="72"/>
        <v>0</v>
      </c>
      <c r="S273" s="250">
        <f t="shared" si="73"/>
        <v>0</v>
      </c>
      <c r="T273" s="901">
        <f t="shared" si="74"/>
        <v>0</v>
      </c>
      <c r="U273" s="2961">
        <f t="shared" si="68"/>
        <v>0</v>
      </c>
      <c r="V273" s="2961">
        <f t="shared" si="69"/>
        <v>0</v>
      </c>
      <c r="W273" s="998"/>
      <c r="X273" s="2961">
        <f t="shared" si="70"/>
        <v>0</v>
      </c>
      <c r="Y273" s="2961">
        <f t="shared" si="71"/>
        <v>0</v>
      </c>
      <c r="Z273" s="998"/>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1</v>
      </c>
      <c r="R274" s="597">
        <f t="shared" si="72"/>
        <v>0</v>
      </c>
      <c r="S274" s="250">
        <f t="shared" si="73"/>
        <v>0</v>
      </c>
      <c r="T274" s="901">
        <f t="shared" si="74"/>
        <v>0</v>
      </c>
      <c r="U274" s="2961">
        <f t="shared" si="68"/>
        <v>0</v>
      </c>
      <c r="V274" s="2961">
        <f t="shared" si="69"/>
        <v>0</v>
      </c>
      <c r="W274" s="998"/>
      <c r="X274" s="2961">
        <f t="shared" si="70"/>
        <v>0</v>
      </c>
      <c r="Y274" s="2961">
        <f t="shared" si="71"/>
        <v>0</v>
      </c>
      <c r="Z274" s="998"/>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1</v>
      </c>
      <c r="R275" s="597">
        <f t="shared" si="72"/>
        <v>0</v>
      </c>
      <c r="S275" s="250">
        <f t="shared" si="73"/>
        <v>0</v>
      </c>
      <c r="T275" s="901">
        <f t="shared" si="74"/>
        <v>0</v>
      </c>
      <c r="U275" s="2961">
        <f t="shared" si="68"/>
        <v>0</v>
      </c>
      <c r="V275" s="2961">
        <f t="shared" si="69"/>
        <v>0</v>
      </c>
      <c r="W275" s="998"/>
      <c r="X275" s="2961">
        <f t="shared" si="70"/>
        <v>0</v>
      </c>
      <c r="Y275" s="2961">
        <f t="shared" si="71"/>
        <v>0</v>
      </c>
      <c r="Z275" s="998"/>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1</v>
      </c>
      <c r="R276" s="597">
        <f t="shared" si="72"/>
        <v>0</v>
      </c>
      <c r="S276" s="250">
        <f t="shared" si="73"/>
        <v>0</v>
      </c>
      <c r="T276" s="901">
        <f t="shared" si="74"/>
        <v>0</v>
      </c>
      <c r="U276" s="2961">
        <f t="shared" si="68"/>
        <v>0</v>
      </c>
      <c r="V276" s="2961">
        <f t="shared" si="69"/>
        <v>0</v>
      </c>
      <c r="W276" s="998"/>
      <c r="X276" s="2961">
        <f t="shared" si="70"/>
        <v>0</v>
      </c>
      <c r="Y276" s="2961">
        <f t="shared" si="71"/>
        <v>0</v>
      </c>
      <c r="Z276" s="998"/>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1</v>
      </c>
      <c r="R277" s="597">
        <f t="shared" si="72"/>
        <v>0</v>
      </c>
      <c r="S277" s="250">
        <f t="shared" si="73"/>
        <v>0</v>
      </c>
      <c r="T277" s="901">
        <f t="shared" si="74"/>
        <v>0</v>
      </c>
      <c r="U277" s="2961">
        <f t="shared" si="68"/>
        <v>0</v>
      </c>
      <c r="V277" s="2961">
        <f t="shared" si="69"/>
        <v>0</v>
      </c>
      <c r="W277" s="998"/>
      <c r="X277" s="2961">
        <f t="shared" si="70"/>
        <v>0</v>
      </c>
      <c r="Y277" s="2961">
        <f t="shared" si="71"/>
        <v>0</v>
      </c>
      <c r="Z277" s="998"/>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1</v>
      </c>
      <c r="R278" s="597">
        <f t="shared" si="72"/>
        <v>0</v>
      </c>
      <c r="S278" s="250">
        <f t="shared" si="73"/>
        <v>0</v>
      </c>
      <c r="T278" s="901">
        <f t="shared" si="74"/>
        <v>0</v>
      </c>
      <c r="U278" s="2961">
        <f t="shared" si="68"/>
        <v>0</v>
      </c>
      <c r="V278" s="2961">
        <f t="shared" si="69"/>
        <v>0</v>
      </c>
      <c r="W278" s="998"/>
      <c r="X278" s="2961">
        <f t="shared" si="70"/>
        <v>0</v>
      </c>
      <c r="Y278" s="2961">
        <f t="shared" si="71"/>
        <v>0</v>
      </c>
      <c r="Z278" s="998"/>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1</v>
      </c>
      <c r="R279" s="597">
        <f t="shared" si="72"/>
        <v>0</v>
      </c>
      <c r="S279" s="250">
        <f t="shared" si="73"/>
        <v>0</v>
      </c>
      <c r="T279" s="901">
        <f t="shared" si="74"/>
        <v>0</v>
      </c>
      <c r="U279" s="2961">
        <f t="shared" si="68"/>
        <v>0</v>
      </c>
      <c r="V279" s="2961">
        <f t="shared" si="69"/>
        <v>0</v>
      </c>
      <c r="W279" s="998"/>
      <c r="X279" s="2961">
        <f t="shared" si="70"/>
        <v>0</v>
      </c>
      <c r="Y279" s="2961">
        <f t="shared" si="71"/>
        <v>0</v>
      </c>
      <c r="Z279" s="998"/>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1</v>
      </c>
      <c r="R280" s="597">
        <f t="shared" si="72"/>
        <v>0</v>
      </c>
      <c r="S280" s="250">
        <f t="shared" si="73"/>
        <v>0</v>
      </c>
      <c r="T280" s="901">
        <f t="shared" si="74"/>
        <v>0</v>
      </c>
      <c r="U280" s="2961">
        <f t="shared" si="68"/>
        <v>0</v>
      </c>
      <c r="V280" s="2961">
        <f t="shared" si="69"/>
        <v>0</v>
      </c>
      <c r="W280" s="998"/>
      <c r="X280" s="2961">
        <f t="shared" si="70"/>
        <v>0</v>
      </c>
      <c r="Y280" s="2961">
        <f t="shared" si="71"/>
        <v>0</v>
      </c>
      <c r="Z280" s="998"/>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1</v>
      </c>
      <c r="R281" s="597">
        <f t="shared" si="72"/>
        <v>0</v>
      </c>
      <c r="S281" s="250">
        <f t="shared" si="73"/>
        <v>0</v>
      </c>
      <c r="T281" s="901">
        <f t="shared" si="74"/>
        <v>0</v>
      </c>
      <c r="U281" s="2961">
        <f t="shared" si="68"/>
        <v>0</v>
      </c>
      <c r="V281" s="2961">
        <f t="shared" si="69"/>
        <v>0</v>
      </c>
      <c r="W281" s="998"/>
      <c r="X281" s="2961">
        <f t="shared" si="70"/>
        <v>0</v>
      </c>
      <c r="Y281" s="2961">
        <f t="shared" si="71"/>
        <v>0</v>
      </c>
      <c r="Z281" s="998"/>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1</v>
      </c>
      <c r="R282" s="597">
        <f t="shared" si="72"/>
        <v>0</v>
      </c>
      <c r="S282" s="250">
        <f t="shared" si="73"/>
        <v>0</v>
      </c>
      <c r="T282" s="901">
        <f t="shared" si="74"/>
        <v>0</v>
      </c>
      <c r="U282" s="2961">
        <f t="shared" si="68"/>
        <v>0</v>
      </c>
      <c r="V282" s="2961">
        <f t="shared" si="69"/>
        <v>0</v>
      </c>
      <c r="W282" s="998"/>
      <c r="X282" s="2961">
        <f t="shared" si="70"/>
        <v>0</v>
      </c>
      <c r="Y282" s="2961">
        <f t="shared" si="71"/>
        <v>0</v>
      </c>
      <c r="Z282" s="998"/>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1</v>
      </c>
      <c r="R283" s="597">
        <f t="shared" si="72"/>
        <v>0</v>
      </c>
      <c r="S283" s="250">
        <f t="shared" si="73"/>
        <v>0</v>
      </c>
      <c r="T283" s="901">
        <f t="shared" si="74"/>
        <v>0</v>
      </c>
      <c r="U283" s="2961">
        <f t="shared" si="68"/>
        <v>0</v>
      </c>
      <c r="V283" s="2961">
        <f t="shared" si="69"/>
        <v>0</v>
      </c>
      <c r="W283" s="998"/>
      <c r="X283" s="2961">
        <f t="shared" si="70"/>
        <v>0</v>
      </c>
      <c r="Y283" s="2961">
        <f t="shared" si="71"/>
        <v>0</v>
      </c>
      <c r="Z283" s="998"/>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1</v>
      </c>
      <c r="R284" s="597">
        <f t="shared" si="72"/>
        <v>0</v>
      </c>
      <c r="S284" s="250">
        <f t="shared" si="73"/>
        <v>0</v>
      </c>
      <c r="T284" s="901">
        <f t="shared" si="74"/>
        <v>0</v>
      </c>
      <c r="U284" s="2961">
        <f t="shared" ref="U284:U347" si="83">ROUND(W284*B284,0)</f>
        <v>0</v>
      </c>
      <c r="V284" s="2961">
        <f t="shared" ref="V284:V347" si="84">ROUND(W284*B284/10000,0)</f>
        <v>0</v>
      </c>
      <c r="W284" s="998"/>
      <c r="X284" s="2961">
        <f t="shared" ref="X284:X347" si="85">ROUND(Z284*B284,0)</f>
        <v>0</v>
      </c>
      <c r="Y284" s="2961">
        <f t="shared" ref="Y284:Y347" si="86">ROUND(Z284*B284/10000,0)</f>
        <v>0</v>
      </c>
      <c r="Z284" s="998"/>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1</v>
      </c>
      <c r="R285" s="597">
        <f t="shared" ref="R285:R348" si="87">IF(B285="",0,ROUND($R$27*C285*E285*G285*I285*K285*M285*O285*Q285,0))</f>
        <v>0</v>
      </c>
      <c r="S285" s="250">
        <f t="shared" ref="S285:S348" si="88">ROUND(R285*B285,0)</f>
        <v>0</v>
      </c>
      <c r="T285" s="901">
        <f t="shared" ref="T285:T348" si="89">ROUND(R285*B285/10000,0)</f>
        <v>0</v>
      </c>
      <c r="U285" s="2961">
        <f t="shared" si="83"/>
        <v>0</v>
      </c>
      <c r="V285" s="2961">
        <f t="shared" si="84"/>
        <v>0</v>
      </c>
      <c r="W285" s="998"/>
      <c r="X285" s="2961">
        <f t="shared" si="85"/>
        <v>0</v>
      </c>
      <c r="Y285" s="2961">
        <f t="shared" si="86"/>
        <v>0</v>
      </c>
      <c r="Z285" s="998"/>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1</v>
      </c>
      <c r="R286" s="597">
        <f t="shared" si="87"/>
        <v>0</v>
      </c>
      <c r="S286" s="250">
        <f t="shared" si="88"/>
        <v>0</v>
      </c>
      <c r="T286" s="901">
        <f t="shared" si="89"/>
        <v>0</v>
      </c>
      <c r="U286" s="2961">
        <f t="shared" si="83"/>
        <v>0</v>
      </c>
      <c r="V286" s="2961">
        <f t="shared" si="84"/>
        <v>0</v>
      </c>
      <c r="W286" s="998"/>
      <c r="X286" s="2961">
        <f t="shared" si="85"/>
        <v>0</v>
      </c>
      <c r="Y286" s="2961">
        <f t="shared" si="86"/>
        <v>0</v>
      </c>
      <c r="Z286" s="998"/>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1</v>
      </c>
      <c r="R287" s="597">
        <f t="shared" si="87"/>
        <v>0</v>
      </c>
      <c r="S287" s="250">
        <f t="shared" si="88"/>
        <v>0</v>
      </c>
      <c r="T287" s="901">
        <f t="shared" si="89"/>
        <v>0</v>
      </c>
      <c r="U287" s="2961">
        <f t="shared" si="83"/>
        <v>0</v>
      </c>
      <c r="V287" s="2961">
        <f t="shared" si="84"/>
        <v>0</v>
      </c>
      <c r="W287" s="998"/>
      <c r="X287" s="2961">
        <f t="shared" si="85"/>
        <v>0</v>
      </c>
      <c r="Y287" s="2961">
        <f t="shared" si="86"/>
        <v>0</v>
      </c>
      <c r="Z287" s="998"/>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1</v>
      </c>
      <c r="R288" s="597">
        <f t="shared" si="87"/>
        <v>0</v>
      </c>
      <c r="S288" s="250">
        <f t="shared" si="88"/>
        <v>0</v>
      </c>
      <c r="T288" s="901">
        <f t="shared" si="89"/>
        <v>0</v>
      </c>
      <c r="U288" s="2961">
        <f t="shared" si="83"/>
        <v>0</v>
      </c>
      <c r="V288" s="2961">
        <f t="shared" si="84"/>
        <v>0</v>
      </c>
      <c r="W288" s="998"/>
      <c r="X288" s="2961">
        <f t="shared" si="85"/>
        <v>0</v>
      </c>
      <c r="Y288" s="2961">
        <f t="shared" si="86"/>
        <v>0</v>
      </c>
      <c r="Z288" s="998"/>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1</v>
      </c>
      <c r="R289" s="597">
        <f t="shared" si="87"/>
        <v>0</v>
      </c>
      <c r="S289" s="250">
        <f t="shared" si="88"/>
        <v>0</v>
      </c>
      <c r="T289" s="901">
        <f t="shared" si="89"/>
        <v>0</v>
      </c>
      <c r="U289" s="2961">
        <f t="shared" si="83"/>
        <v>0</v>
      </c>
      <c r="V289" s="2961">
        <f t="shared" si="84"/>
        <v>0</v>
      </c>
      <c r="W289" s="998"/>
      <c r="X289" s="2961">
        <f t="shared" si="85"/>
        <v>0</v>
      </c>
      <c r="Y289" s="2961">
        <f t="shared" si="86"/>
        <v>0</v>
      </c>
      <c r="Z289" s="998"/>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1</v>
      </c>
      <c r="R290" s="597">
        <f t="shared" si="87"/>
        <v>0</v>
      </c>
      <c r="S290" s="250">
        <f t="shared" si="88"/>
        <v>0</v>
      </c>
      <c r="T290" s="901">
        <f t="shared" si="89"/>
        <v>0</v>
      </c>
      <c r="U290" s="2961">
        <f t="shared" si="83"/>
        <v>0</v>
      </c>
      <c r="V290" s="2961">
        <f t="shared" si="84"/>
        <v>0</v>
      </c>
      <c r="W290" s="998"/>
      <c r="X290" s="2961">
        <f t="shared" si="85"/>
        <v>0</v>
      </c>
      <c r="Y290" s="2961">
        <f t="shared" si="86"/>
        <v>0</v>
      </c>
      <c r="Z290" s="998"/>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1</v>
      </c>
      <c r="R291" s="597">
        <f t="shared" si="87"/>
        <v>0</v>
      </c>
      <c r="S291" s="250">
        <f t="shared" si="88"/>
        <v>0</v>
      </c>
      <c r="T291" s="901">
        <f t="shared" si="89"/>
        <v>0</v>
      </c>
      <c r="U291" s="2961">
        <f t="shared" si="83"/>
        <v>0</v>
      </c>
      <c r="V291" s="2961">
        <f t="shared" si="84"/>
        <v>0</v>
      </c>
      <c r="W291" s="998"/>
      <c r="X291" s="2961">
        <f t="shared" si="85"/>
        <v>0</v>
      </c>
      <c r="Y291" s="2961">
        <f t="shared" si="86"/>
        <v>0</v>
      </c>
      <c r="Z291" s="998"/>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1</v>
      </c>
      <c r="R292" s="597">
        <f t="shared" si="87"/>
        <v>0</v>
      </c>
      <c r="S292" s="250">
        <f t="shared" si="88"/>
        <v>0</v>
      </c>
      <c r="T292" s="901">
        <f t="shared" si="89"/>
        <v>0</v>
      </c>
      <c r="U292" s="2961">
        <f t="shared" si="83"/>
        <v>0</v>
      </c>
      <c r="V292" s="2961">
        <f t="shared" si="84"/>
        <v>0</v>
      </c>
      <c r="W292" s="998"/>
      <c r="X292" s="2961">
        <f t="shared" si="85"/>
        <v>0</v>
      </c>
      <c r="Y292" s="2961">
        <f t="shared" si="86"/>
        <v>0</v>
      </c>
      <c r="Z292" s="998"/>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1</v>
      </c>
      <c r="R293" s="597">
        <f t="shared" si="87"/>
        <v>0</v>
      </c>
      <c r="S293" s="250">
        <f t="shared" si="88"/>
        <v>0</v>
      </c>
      <c r="T293" s="901">
        <f t="shared" si="89"/>
        <v>0</v>
      </c>
      <c r="U293" s="2961">
        <f t="shared" si="83"/>
        <v>0</v>
      </c>
      <c r="V293" s="2961">
        <f t="shared" si="84"/>
        <v>0</v>
      </c>
      <c r="W293" s="998"/>
      <c r="X293" s="2961">
        <f t="shared" si="85"/>
        <v>0</v>
      </c>
      <c r="Y293" s="2961">
        <f t="shared" si="86"/>
        <v>0</v>
      </c>
      <c r="Z293" s="998"/>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1</v>
      </c>
      <c r="R294" s="597">
        <f t="shared" si="87"/>
        <v>0</v>
      </c>
      <c r="S294" s="250">
        <f t="shared" si="88"/>
        <v>0</v>
      </c>
      <c r="T294" s="901">
        <f t="shared" si="89"/>
        <v>0</v>
      </c>
      <c r="U294" s="2961">
        <f t="shared" si="83"/>
        <v>0</v>
      </c>
      <c r="V294" s="2961">
        <f t="shared" si="84"/>
        <v>0</v>
      </c>
      <c r="W294" s="998"/>
      <c r="X294" s="2961">
        <f t="shared" si="85"/>
        <v>0</v>
      </c>
      <c r="Y294" s="2961">
        <f t="shared" si="86"/>
        <v>0</v>
      </c>
      <c r="Z294" s="998"/>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1</v>
      </c>
      <c r="R295" s="597">
        <f t="shared" si="87"/>
        <v>0</v>
      </c>
      <c r="S295" s="250">
        <f t="shared" si="88"/>
        <v>0</v>
      </c>
      <c r="T295" s="901">
        <f t="shared" si="89"/>
        <v>0</v>
      </c>
      <c r="U295" s="2961">
        <f t="shared" si="83"/>
        <v>0</v>
      </c>
      <c r="V295" s="2961">
        <f t="shared" si="84"/>
        <v>0</v>
      </c>
      <c r="W295" s="998"/>
      <c r="X295" s="2961">
        <f t="shared" si="85"/>
        <v>0</v>
      </c>
      <c r="Y295" s="2961">
        <f t="shared" si="86"/>
        <v>0</v>
      </c>
      <c r="Z295" s="998"/>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1</v>
      </c>
      <c r="R296" s="597">
        <f t="shared" si="87"/>
        <v>0</v>
      </c>
      <c r="S296" s="250">
        <f t="shared" si="88"/>
        <v>0</v>
      </c>
      <c r="T296" s="901">
        <f t="shared" si="89"/>
        <v>0</v>
      </c>
      <c r="U296" s="2961">
        <f t="shared" si="83"/>
        <v>0</v>
      </c>
      <c r="V296" s="2961">
        <f t="shared" si="84"/>
        <v>0</v>
      </c>
      <c r="W296" s="998"/>
      <c r="X296" s="2961">
        <f t="shared" si="85"/>
        <v>0</v>
      </c>
      <c r="Y296" s="2961">
        <f t="shared" si="86"/>
        <v>0</v>
      </c>
      <c r="Z296" s="998"/>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1</v>
      </c>
      <c r="R297" s="597">
        <f t="shared" si="87"/>
        <v>0</v>
      </c>
      <c r="S297" s="250">
        <f t="shared" si="88"/>
        <v>0</v>
      </c>
      <c r="T297" s="901">
        <f t="shared" si="89"/>
        <v>0</v>
      </c>
      <c r="U297" s="2961">
        <f t="shared" si="83"/>
        <v>0</v>
      </c>
      <c r="V297" s="2961">
        <f t="shared" si="84"/>
        <v>0</v>
      </c>
      <c r="W297" s="998"/>
      <c r="X297" s="2961">
        <f t="shared" si="85"/>
        <v>0</v>
      </c>
      <c r="Y297" s="2961">
        <f t="shared" si="86"/>
        <v>0</v>
      </c>
      <c r="Z297" s="998"/>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1</v>
      </c>
      <c r="R298" s="597">
        <f t="shared" si="87"/>
        <v>0</v>
      </c>
      <c r="S298" s="250">
        <f t="shared" si="88"/>
        <v>0</v>
      </c>
      <c r="T298" s="901">
        <f t="shared" si="89"/>
        <v>0</v>
      </c>
      <c r="U298" s="2961">
        <f t="shared" si="83"/>
        <v>0</v>
      </c>
      <c r="V298" s="2961">
        <f t="shared" si="84"/>
        <v>0</v>
      </c>
      <c r="W298" s="998"/>
      <c r="X298" s="2961">
        <f t="shared" si="85"/>
        <v>0</v>
      </c>
      <c r="Y298" s="2961">
        <f t="shared" si="86"/>
        <v>0</v>
      </c>
      <c r="Z298" s="998"/>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1</v>
      </c>
      <c r="R299" s="597">
        <f t="shared" si="87"/>
        <v>0</v>
      </c>
      <c r="S299" s="250">
        <f t="shared" si="88"/>
        <v>0</v>
      </c>
      <c r="T299" s="901">
        <f t="shared" si="89"/>
        <v>0</v>
      </c>
      <c r="U299" s="2961">
        <f t="shared" si="83"/>
        <v>0</v>
      </c>
      <c r="V299" s="2961">
        <f t="shared" si="84"/>
        <v>0</v>
      </c>
      <c r="W299" s="998"/>
      <c r="X299" s="2961">
        <f t="shared" si="85"/>
        <v>0</v>
      </c>
      <c r="Y299" s="2961">
        <f t="shared" si="86"/>
        <v>0</v>
      </c>
      <c r="Z299" s="998"/>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1</v>
      </c>
      <c r="R300" s="597">
        <f t="shared" si="87"/>
        <v>0</v>
      </c>
      <c r="S300" s="250">
        <f t="shared" si="88"/>
        <v>0</v>
      </c>
      <c r="T300" s="901">
        <f t="shared" si="89"/>
        <v>0</v>
      </c>
      <c r="U300" s="2961">
        <f t="shared" si="83"/>
        <v>0</v>
      </c>
      <c r="V300" s="2961">
        <f t="shared" si="84"/>
        <v>0</v>
      </c>
      <c r="W300" s="998"/>
      <c r="X300" s="2961">
        <f t="shared" si="85"/>
        <v>0</v>
      </c>
      <c r="Y300" s="2961">
        <f t="shared" si="86"/>
        <v>0</v>
      </c>
      <c r="Z300" s="998"/>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1</v>
      </c>
      <c r="R301" s="597">
        <f t="shared" si="87"/>
        <v>0</v>
      </c>
      <c r="S301" s="250">
        <f t="shared" si="88"/>
        <v>0</v>
      </c>
      <c r="T301" s="901">
        <f t="shared" si="89"/>
        <v>0</v>
      </c>
      <c r="U301" s="2961">
        <f t="shared" si="83"/>
        <v>0</v>
      </c>
      <c r="V301" s="2961">
        <f t="shared" si="84"/>
        <v>0</v>
      </c>
      <c r="W301" s="998"/>
      <c r="X301" s="2961">
        <f t="shared" si="85"/>
        <v>0</v>
      </c>
      <c r="Y301" s="2961">
        <f t="shared" si="86"/>
        <v>0</v>
      </c>
      <c r="Z301" s="998"/>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1</v>
      </c>
      <c r="R302" s="597">
        <f t="shared" si="87"/>
        <v>0</v>
      </c>
      <c r="S302" s="250">
        <f t="shared" si="88"/>
        <v>0</v>
      </c>
      <c r="T302" s="901">
        <f t="shared" si="89"/>
        <v>0</v>
      </c>
      <c r="U302" s="2961">
        <f t="shared" si="83"/>
        <v>0</v>
      </c>
      <c r="V302" s="2961">
        <f t="shared" si="84"/>
        <v>0</v>
      </c>
      <c r="W302" s="998"/>
      <c r="X302" s="2961">
        <f t="shared" si="85"/>
        <v>0</v>
      </c>
      <c r="Y302" s="2961">
        <f t="shared" si="86"/>
        <v>0</v>
      </c>
      <c r="Z302" s="998"/>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1</v>
      </c>
      <c r="R303" s="597">
        <f t="shared" si="87"/>
        <v>0</v>
      </c>
      <c r="S303" s="250">
        <f t="shared" si="88"/>
        <v>0</v>
      </c>
      <c r="T303" s="901">
        <f t="shared" si="89"/>
        <v>0</v>
      </c>
      <c r="U303" s="2961">
        <f t="shared" si="83"/>
        <v>0</v>
      </c>
      <c r="V303" s="2961">
        <f t="shared" si="84"/>
        <v>0</v>
      </c>
      <c r="W303" s="998"/>
      <c r="X303" s="2961">
        <f t="shared" si="85"/>
        <v>0</v>
      </c>
      <c r="Y303" s="2961">
        <f t="shared" si="86"/>
        <v>0</v>
      </c>
      <c r="Z303" s="998"/>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1</v>
      </c>
      <c r="R304" s="597">
        <f t="shared" si="87"/>
        <v>0</v>
      </c>
      <c r="S304" s="250">
        <f t="shared" si="88"/>
        <v>0</v>
      </c>
      <c r="T304" s="901">
        <f t="shared" si="89"/>
        <v>0</v>
      </c>
      <c r="U304" s="2961">
        <f t="shared" si="83"/>
        <v>0</v>
      </c>
      <c r="V304" s="2961">
        <f t="shared" si="84"/>
        <v>0</v>
      </c>
      <c r="W304" s="998"/>
      <c r="X304" s="2961">
        <f t="shared" si="85"/>
        <v>0</v>
      </c>
      <c r="Y304" s="2961">
        <f t="shared" si="86"/>
        <v>0</v>
      </c>
      <c r="Z304" s="998"/>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1</v>
      </c>
      <c r="R305" s="597">
        <f t="shared" si="87"/>
        <v>0</v>
      </c>
      <c r="S305" s="250">
        <f t="shared" si="88"/>
        <v>0</v>
      </c>
      <c r="T305" s="901">
        <f t="shared" si="89"/>
        <v>0</v>
      </c>
      <c r="U305" s="2961">
        <f t="shared" si="83"/>
        <v>0</v>
      </c>
      <c r="V305" s="2961">
        <f t="shared" si="84"/>
        <v>0</v>
      </c>
      <c r="W305" s="998"/>
      <c r="X305" s="2961">
        <f t="shared" si="85"/>
        <v>0</v>
      </c>
      <c r="Y305" s="2961">
        <f t="shared" si="86"/>
        <v>0</v>
      </c>
      <c r="Z305" s="998"/>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1</v>
      </c>
      <c r="R306" s="597">
        <f t="shared" si="87"/>
        <v>0</v>
      </c>
      <c r="S306" s="250">
        <f t="shared" si="88"/>
        <v>0</v>
      </c>
      <c r="T306" s="901">
        <f t="shared" si="89"/>
        <v>0</v>
      </c>
      <c r="U306" s="2961">
        <f t="shared" si="83"/>
        <v>0</v>
      </c>
      <c r="V306" s="2961">
        <f t="shared" si="84"/>
        <v>0</v>
      </c>
      <c r="W306" s="998"/>
      <c r="X306" s="2961">
        <f t="shared" si="85"/>
        <v>0</v>
      </c>
      <c r="Y306" s="2961">
        <f t="shared" si="86"/>
        <v>0</v>
      </c>
      <c r="Z306" s="998"/>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1</v>
      </c>
      <c r="R307" s="597">
        <f t="shared" si="87"/>
        <v>0</v>
      </c>
      <c r="S307" s="250">
        <f t="shared" si="88"/>
        <v>0</v>
      </c>
      <c r="T307" s="901">
        <f t="shared" si="89"/>
        <v>0</v>
      </c>
      <c r="U307" s="2961">
        <f t="shared" si="83"/>
        <v>0</v>
      </c>
      <c r="V307" s="2961">
        <f t="shared" si="84"/>
        <v>0</v>
      </c>
      <c r="W307" s="998"/>
      <c r="X307" s="2961">
        <f t="shared" si="85"/>
        <v>0</v>
      </c>
      <c r="Y307" s="2961">
        <f t="shared" si="86"/>
        <v>0</v>
      </c>
      <c r="Z307" s="998"/>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1</v>
      </c>
      <c r="R308" s="597">
        <f t="shared" si="87"/>
        <v>0</v>
      </c>
      <c r="S308" s="250">
        <f t="shared" si="88"/>
        <v>0</v>
      </c>
      <c r="T308" s="901">
        <f t="shared" si="89"/>
        <v>0</v>
      </c>
      <c r="U308" s="2961">
        <f t="shared" si="83"/>
        <v>0</v>
      </c>
      <c r="V308" s="2961">
        <f t="shared" si="84"/>
        <v>0</v>
      </c>
      <c r="W308" s="998"/>
      <c r="X308" s="2961">
        <f t="shared" si="85"/>
        <v>0</v>
      </c>
      <c r="Y308" s="2961">
        <f t="shared" si="86"/>
        <v>0</v>
      </c>
      <c r="Z308" s="998"/>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1</v>
      </c>
      <c r="R309" s="597">
        <f t="shared" si="87"/>
        <v>0</v>
      </c>
      <c r="S309" s="250">
        <f t="shared" si="88"/>
        <v>0</v>
      </c>
      <c r="T309" s="901">
        <f t="shared" si="89"/>
        <v>0</v>
      </c>
      <c r="U309" s="2961">
        <f t="shared" si="83"/>
        <v>0</v>
      </c>
      <c r="V309" s="2961">
        <f t="shared" si="84"/>
        <v>0</v>
      </c>
      <c r="W309" s="998"/>
      <c r="X309" s="2961">
        <f t="shared" si="85"/>
        <v>0</v>
      </c>
      <c r="Y309" s="2961">
        <f t="shared" si="86"/>
        <v>0</v>
      </c>
      <c r="Z309" s="998"/>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1</v>
      </c>
      <c r="R310" s="597">
        <f t="shared" si="87"/>
        <v>0</v>
      </c>
      <c r="S310" s="250">
        <f t="shared" si="88"/>
        <v>0</v>
      </c>
      <c r="T310" s="901">
        <f t="shared" si="89"/>
        <v>0</v>
      </c>
      <c r="U310" s="2961">
        <f t="shared" si="83"/>
        <v>0</v>
      </c>
      <c r="V310" s="2961">
        <f t="shared" si="84"/>
        <v>0</v>
      </c>
      <c r="W310" s="998"/>
      <c r="X310" s="2961">
        <f t="shared" si="85"/>
        <v>0</v>
      </c>
      <c r="Y310" s="2961">
        <f t="shared" si="86"/>
        <v>0</v>
      </c>
      <c r="Z310" s="998"/>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1</v>
      </c>
      <c r="R311" s="597">
        <f t="shared" si="87"/>
        <v>0</v>
      </c>
      <c r="S311" s="250">
        <f t="shared" si="88"/>
        <v>0</v>
      </c>
      <c r="T311" s="901">
        <f t="shared" si="89"/>
        <v>0</v>
      </c>
      <c r="U311" s="2961">
        <f t="shared" si="83"/>
        <v>0</v>
      </c>
      <c r="V311" s="2961">
        <f t="shared" si="84"/>
        <v>0</v>
      </c>
      <c r="W311" s="998"/>
      <c r="X311" s="2961">
        <f t="shared" si="85"/>
        <v>0</v>
      </c>
      <c r="Y311" s="2961">
        <f t="shared" si="86"/>
        <v>0</v>
      </c>
      <c r="Z311" s="998"/>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1</v>
      </c>
      <c r="R312" s="597">
        <f t="shared" si="87"/>
        <v>0</v>
      </c>
      <c r="S312" s="250">
        <f t="shared" si="88"/>
        <v>0</v>
      </c>
      <c r="T312" s="901">
        <f t="shared" si="89"/>
        <v>0</v>
      </c>
      <c r="U312" s="2961">
        <f t="shared" si="83"/>
        <v>0</v>
      </c>
      <c r="V312" s="2961">
        <f t="shared" si="84"/>
        <v>0</v>
      </c>
      <c r="W312" s="998"/>
      <c r="X312" s="2961">
        <f t="shared" si="85"/>
        <v>0</v>
      </c>
      <c r="Y312" s="2961">
        <f t="shared" si="86"/>
        <v>0</v>
      </c>
      <c r="Z312" s="998"/>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1</v>
      </c>
      <c r="R313" s="597">
        <f t="shared" si="87"/>
        <v>0</v>
      </c>
      <c r="S313" s="250">
        <f t="shared" si="88"/>
        <v>0</v>
      </c>
      <c r="T313" s="901">
        <f t="shared" si="89"/>
        <v>0</v>
      </c>
      <c r="U313" s="2961">
        <f t="shared" si="83"/>
        <v>0</v>
      </c>
      <c r="V313" s="2961">
        <f t="shared" si="84"/>
        <v>0</v>
      </c>
      <c r="W313" s="998"/>
      <c r="X313" s="2961">
        <f t="shared" si="85"/>
        <v>0</v>
      </c>
      <c r="Y313" s="2961">
        <f t="shared" si="86"/>
        <v>0</v>
      </c>
      <c r="Z313" s="998"/>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1</v>
      </c>
      <c r="R314" s="597">
        <f t="shared" si="87"/>
        <v>0</v>
      </c>
      <c r="S314" s="250">
        <f t="shared" si="88"/>
        <v>0</v>
      </c>
      <c r="T314" s="901">
        <f t="shared" si="89"/>
        <v>0</v>
      </c>
      <c r="U314" s="2961">
        <f t="shared" si="83"/>
        <v>0</v>
      </c>
      <c r="V314" s="2961">
        <f t="shared" si="84"/>
        <v>0</v>
      </c>
      <c r="W314" s="998"/>
      <c r="X314" s="2961">
        <f t="shared" si="85"/>
        <v>0</v>
      </c>
      <c r="Y314" s="2961">
        <f t="shared" si="86"/>
        <v>0</v>
      </c>
      <c r="Z314" s="998"/>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1</v>
      </c>
      <c r="R315" s="597">
        <f t="shared" si="87"/>
        <v>0</v>
      </c>
      <c r="S315" s="250">
        <f t="shared" si="88"/>
        <v>0</v>
      </c>
      <c r="T315" s="901">
        <f t="shared" si="89"/>
        <v>0</v>
      </c>
      <c r="U315" s="2961">
        <f t="shared" si="83"/>
        <v>0</v>
      </c>
      <c r="V315" s="2961">
        <f t="shared" si="84"/>
        <v>0</v>
      </c>
      <c r="W315" s="998"/>
      <c r="X315" s="2961">
        <f t="shared" si="85"/>
        <v>0</v>
      </c>
      <c r="Y315" s="2961">
        <f t="shared" si="86"/>
        <v>0</v>
      </c>
      <c r="Z315" s="998"/>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1</v>
      </c>
      <c r="R316" s="597">
        <f t="shared" si="87"/>
        <v>0</v>
      </c>
      <c r="S316" s="250">
        <f t="shared" si="88"/>
        <v>0</v>
      </c>
      <c r="T316" s="901">
        <f t="shared" si="89"/>
        <v>0</v>
      </c>
      <c r="U316" s="2961">
        <f t="shared" si="83"/>
        <v>0</v>
      </c>
      <c r="V316" s="2961">
        <f t="shared" si="84"/>
        <v>0</v>
      </c>
      <c r="W316" s="998"/>
      <c r="X316" s="2961">
        <f t="shared" si="85"/>
        <v>0</v>
      </c>
      <c r="Y316" s="2961">
        <f t="shared" si="86"/>
        <v>0</v>
      </c>
      <c r="Z316" s="998"/>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1</v>
      </c>
      <c r="R317" s="597">
        <f t="shared" si="87"/>
        <v>0</v>
      </c>
      <c r="S317" s="250">
        <f t="shared" si="88"/>
        <v>0</v>
      </c>
      <c r="T317" s="901">
        <f t="shared" si="89"/>
        <v>0</v>
      </c>
      <c r="U317" s="2961">
        <f t="shared" si="83"/>
        <v>0</v>
      </c>
      <c r="V317" s="2961">
        <f t="shared" si="84"/>
        <v>0</v>
      </c>
      <c r="W317" s="998"/>
      <c r="X317" s="2961">
        <f t="shared" si="85"/>
        <v>0</v>
      </c>
      <c r="Y317" s="2961">
        <f t="shared" si="86"/>
        <v>0</v>
      </c>
      <c r="Z317" s="998"/>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1</v>
      </c>
      <c r="R318" s="597">
        <f t="shared" si="87"/>
        <v>0</v>
      </c>
      <c r="S318" s="250">
        <f t="shared" si="88"/>
        <v>0</v>
      </c>
      <c r="T318" s="901">
        <f t="shared" si="89"/>
        <v>0</v>
      </c>
      <c r="U318" s="2961">
        <f t="shared" si="83"/>
        <v>0</v>
      </c>
      <c r="V318" s="2961">
        <f t="shared" si="84"/>
        <v>0</v>
      </c>
      <c r="W318" s="998"/>
      <c r="X318" s="2961">
        <f t="shared" si="85"/>
        <v>0</v>
      </c>
      <c r="Y318" s="2961">
        <f t="shared" si="86"/>
        <v>0</v>
      </c>
      <c r="Z318" s="998"/>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1</v>
      </c>
      <c r="R319" s="597">
        <f t="shared" si="87"/>
        <v>0</v>
      </c>
      <c r="S319" s="250">
        <f t="shared" si="88"/>
        <v>0</v>
      </c>
      <c r="T319" s="901">
        <f t="shared" si="89"/>
        <v>0</v>
      </c>
      <c r="U319" s="2961">
        <f t="shared" si="83"/>
        <v>0</v>
      </c>
      <c r="V319" s="2961">
        <f t="shared" si="84"/>
        <v>0</v>
      </c>
      <c r="W319" s="998"/>
      <c r="X319" s="2961">
        <f t="shared" si="85"/>
        <v>0</v>
      </c>
      <c r="Y319" s="2961">
        <f t="shared" si="86"/>
        <v>0</v>
      </c>
      <c r="Z319" s="998"/>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1</v>
      </c>
      <c r="R320" s="597">
        <f t="shared" si="87"/>
        <v>0</v>
      </c>
      <c r="S320" s="250">
        <f t="shared" si="88"/>
        <v>0</v>
      </c>
      <c r="T320" s="901">
        <f t="shared" si="89"/>
        <v>0</v>
      </c>
      <c r="U320" s="2961">
        <f t="shared" si="83"/>
        <v>0</v>
      </c>
      <c r="V320" s="2961">
        <f t="shared" si="84"/>
        <v>0</v>
      </c>
      <c r="W320" s="998"/>
      <c r="X320" s="2961">
        <f t="shared" si="85"/>
        <v>0</v>
      </c>
      <c r="Y320" s="2961">
        <f t="shared" si="86"/>
        <v>0</v>
      </c>
      <c r="Z320" s="998"/>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1</v>
      </c>
      <c r="R321" s="597">
        <f t="shared" si="87"/>
        <v>0</v>
      </c>
      <c r="S321" s="250">
        <f t="shared" si="88"/>
        <v>0</v>
      </c>
      <c r="T321" s="901">
        <f t="shared" si="89"/>
        <v>0</v>
      </c>
      <c r="U321" s="2961">
        <f t="shared" si="83"/>
        <v>0</v>
      </c>
      <c r="V321" s="2961">
        <f t="shared" si="84"/>
        <v>0</v>
      </c>
      <c r="W321" s="998"/>
      <c r="X321" s="2961">
        <f t="shared" si="85"/>
        <v>0</v>
      </c>
      <c r="Y321" s="2961">
        <f t="shared" si="86"/>
        <v>0</v>
      </c>
      <c r="Z321" s="998"/>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1</v>
      </c>
      <c r="R322" s="597">
        <f t="shared" si="87"/>
        <v>0</v>
      </c>
      <c r="S322" s="250">
        <f t="shared" si="88"/>
        <v>0</v>
      </c>
      <c r="T322" s="901">
        <f t="shared" si="89"/>
        <v>0</v>
      </c>
      <c r="U322" s="2961">
        <f t="shared" si="83"/>
        <v>0</v>
      </c>
      <c r="V322" s="2961">
        <f t="shared" si="84"/>
        <v>0</v>
      </c>
      <c r="W322" s="998"/>
      <c r="X322" s="2961">
        <f t="shared" si="85"/>
        <v>0</v>
      </c>
      <c r="Y322" s="2961">
        <f t="shared" si="86"/>
        <v>0</v>
      </c>
      <c r="Z322" s="998"/>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1</v>
      </c>
      <c r="R323" s="597">
        <f t="shared" si="87"/>
        <v>0</v>
      </c>
      <c r="S323" s="250">
        <f t="shared" si="88"/>
        <v>0</v>
      </c>
      <c r="T323" s="901">
        <f t="shared" si="89"/>
        <v>0</v>
      </c>
      <c r="U323" s="2961">
        <f t="shared" si="83"/>
        <v>0</v>
      </c>
      <c r="V323" s="2961">
        <f t="shared" si="84"/>
        <v>0</v>
      </c>
      <c r="W323" s="998"/>
      <c r="X323" s="2961">
        <f t="shared" si="85"/>
        <v>0</v>
      </c>
      <c r="Y323" s="2961">
        <f t="shared" si="86"/>
        <v>0</v>
      </c>
      <c r="Z323" s="998"/>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1</v>
      </c>
      <c r="R324" s="597">
        <f t="shared" si="87"/>
        <v>0</v>
      </c>
      <c r="S324" s="250">
        <f t="shared" si="88"/>
        <v>0</v>
      </c>
      <c r="T324" s="901">
        <f t="shared" si="89"/>
        <v>0</v>
      </c>
      <c r="U324" s="2961">
        <f t="shared" si="83"/>
        <v>0</v>
      </c>
      <c r="V324" s="2961">
        <f t="shared" si="84"/>
        <v>0</v>
      </c>
      <c r="W324" s="998"/>
      <c r="X324" s="2961">
        <f t="shared" si="85"/>
        <v>0</v>
      </c>
      <c r="Y324" s="2961">
        <f t="shared" si="86"/>
        <v>0</v>
      </c>
      <c r="Z324" s="998"/>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1</v>
      </c>
      <c r="R325" s="597">
        <f t="shared" si="87"/>
        <v>0</v>
      </c>
      <c r="S325" s="250">
        <f t="shared" si="88"/>
        <v>0</v>
      </c>
      <c r="T325" s="901">
        <f t="shared" si="89"/>
        <v>0</v>
      </c>
      <c r="U325" s="2961">
        <f t="shared" si="83"/>
        <v>0</v>
      </c>
      <c r="V325" s="2961">
        <f t="shared" si="84"/>
        <v>0</v>
      </c>
      <c r="W325" s="998"/>
      <c r="X325" s="2961">
        <f t="shared" si="85"/>
        <v>0</v>
      </c>
      <c r="Y325" s="2961">
        <f t="shared" si="86"/>
        <v>0</v>
      </c>
      <c r="Z325" s="998"/>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1</v>
      </c>
      <c r="R326" s="597">
        <f t="shared" si="87"/>
        <v>0</v>
      </c>
      <c r="S326" s="250">
        <f t="shared" si="88"/>
        <v>0</v>
      </c>
      <c r="T326" s="901">
        <f t="shared" si="89"/>
        <v>0</v>
      </c>
      <c r="U326" s="2961">
        <f t="shared" si="83"/>
        <v>0</v>
      </c>
      <c r="V326" s="2961">
        <f t="shared" si="84"/>
        <v>0</v>
      </c>
      <c r="W326" s="998"/>
      <c r="X326" s="2961">
        <f t="shared" si="85"/>
        <v>0</v>
      </c>
      <c r="Y326" s="2961">
        <f t="shared" si="86"/>
        <v>0</v>
      </c>
      <c r="Z326" s="998"/>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1</v>
      </c>
      <c r="R327" s="597">
        <f t="shared" si="87"/>
        <v>0</v>
      </c>
      <c r="S327" s="250">
        <f t="shared" si="88"/>
        <v>0</v>
      </c>
      <c r="T327" s="901">
        <f t="shared" si="89"/>
        <v>0</v>
      </c>
      <c r="U327" s="2961">
        <f t="shared" si="83"/>
        <v>0</v>
      </c>
      <c r="V327" s="2961">
        <f t="shared" si="84"/>
        <v>0</v>
      </c>
      <c r="W327" s="998"/>
      <c r="X327" s="2961">
        <f t="shared" si="85"/>
        <v>0</v>
      </c>
      <c r="Y327" s="2961">
        <f t="shared" si="86"/>
        <v>0</v>
      </c>
      <c r="Z327" s="998"/>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1</v>
      </c>
      <c r="R328" s="597">
        <f t="shared" si="87"/>
        <v>0</v>
      </c>
      <c r="S328" s="250">
        <f t="shared" si="88"/>
        <v>0</v>
      </c>
      <c r="T328" s="901">
        <f t="shared" si="89"/>
        <v>0</v>
      </c>
      <c r="U328" s="2961">
        <f t="shared" si="83"/>
        <v>0</v>
      </c>
      <c r="V328" s="2961">
        <f t="shared" si="84"/>
        <v>0</v>
      </c>
      <c r="W328" s="998"/>
      <c r="X328" s="2961">
        <f t="shared" si="85"/>
        <v>0</v>
      </c>
      <c r="Y328" s="2961">
        <f t="shared" si="86"/>
        <v>0</v>
      </c>
      <c r="Z328" s="998"/>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1</v>
      </c>
      <c r="R329" s="597">
        <f t="shared" si="87"/>
        <v>0</v>
      </c>
      <c r="S329" s="250">
        <f t="shared" si="88"/>
        <v>0</v>
      </c>
      <c r="T329" s="901">
        <f t="shared" si="89"/>
        <v>0</v>
      </c>
      <c r="U329" s="2961">
        <f t="shared" si="83"/>
        <v>0</v>
      </c>
      <c r="V329" s="2961">
        <f t="shared" si="84"/>
        <v>0</v>
      </c>
      <c r="W329" s="998"/>
      <c r="X329" s="2961">
        <f t="shared" si="85"/>
        <v>0</v>
      </c>
      <c r="Y329" s="2961">
        <f t="shared" si="86"/>
        <v>0</v>
      </c>
      <c r="Z329" s="998"/>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1</v>
      </c>
      <c r="R330" s="597">
        <f t="shared" si="87"/>
        <v>0</v>
      </c>
      <c r="S330" s="250">
        <f t="shared" si="88"/>
        <v>0</v>
      </c>
      <c r="T330" s="901">
        <f t="shared" si="89"/>
        <v>0</v>
      </c>
      <c r="U330" s="2961">
        <f t="shared" si="83"/>
        <v>0</v>
      </c>
      <c r="V330" s="2961">
        <f t="shared" si="84"/>
        <v>0</v>
      </c>
      <c r="W330" s="998"/>
      <c r="X330" s="2961">
        <f t="shared" si="85"/>
        <v>0</v>
      </c>
      <c r="Y330" s="2961">
        <f t="shared" si="86"/>
        <v>0</v>
      </c>
      <c r="Z330" s="998"/>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1</v>
      </c>
      <c r="R331" s="597">
        <f t="shared" si="87"/>
        <v>0</v>
      </c>
      <c r="S331" s="250">
        <f t="shared" si="88"/>
        <v>0</v>
      </c>
      <c r="T331" s="901">
        <f t="shared" si="89"/>
        <v>0</v>
      </c>
      <c r="U331" s="2961">
        <f t="shared" si="83"/>
        <v>0</v>
      </c>
      <c r="V331" s="2961">
        <f t="shared" si="84"/>
        <v>0</v>
      </c>
      <c r="W331" s="998"/>
      <c r="X331" s="2961">
        <f t="shared" si="85"/>
        <v>0</v>
      </c>
      <c r="Y331" s="2961">
        <f t="shared" si="86"/>
        <v>0</v>
      </c>
      <c r="Z331" s="998"/>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1</v>
      </c>
      <c r="R332" s="597">
        <f t="shared" si="87"/>
        <v>0</v>
      </c>
      <c r="S332" s="250">
        <f t="shared" si="88"/>
        <v>0</v>
      </c>
      <c r="T332" s="901">
        <f t="shared" si="89"/>
        <v>0</v>
      </c>
      <c r="U332" s="2961">
        <f t="shared" si="83"/>
        <v>0</v>
      </c>
      <c r="V332" s="2961">
        <f t="shared" si="84"/>
        <v>0</v>
      </c>
      <c r="W332" s="998"/>
      <c r="X332" s="2961">
        <f t="shared" si="85"/>
        <v>0</v>
      </c>
      <c r="Y332" s="2961">
        <f t="shared" si="86"/>
        <v>0</v>
      </c>
      <c r="Z332" s="998"/>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1</v>
      </c>
      <c r="R333" s="597">
        <f t="shared" si="87"/>
        <v>0</v>
      </c>
      <c r="S333" s="250">
        <f t="shared" si="88"/>
        <v>0</v>
      </c>
      <c r="T333" s="901">
        <f t="shared" si="89"/>
        <v>0</v>
      </c>
      <c r="U333" s="2961">
        <f t="shared" si="83"/>
        <v>0</v>
      </c>
      <c r="V333" s="2961">
        <f t="shared" si="84"/>
        <v>0</v>
      </c>
      <c r="W333" s="998"/>
      <c r="X333" s="2961">
        <f t="shared" si="85"/>
        <v>0</v>
      </c>
      <c r="Y333" s="2961">
        <f t="shared" si="86"/>
        <v>0</v>
      </c>
      <c r="Z333" s="998"/>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1</v>
      </c>
      <c r="R334" s="597">
        <f t="shared" si="87"/>
        <v>0</v>
      </c>
      <c r="S334" s="250">
        <f t="shared" si="88"/>
        <v>0</v>
      </c>
      <c r="T334" s="901">
        <f t="shared" si="89"/>
        <v>0</v>
      </c>
      <c r="U334" s="2961">
        <f t="shared" si="83"/>
        <v>0</v>
      </c>
      <c r="V334" s="2961">
        <f t="shared" si="84"/>
        <v>0</v>
      </c>
      <c r="W334" s="998"/>
      <c r="X334" s="2961">
        <f t="shared" si="85"/>
        <v>0</v>
      </c>
      <c r="Y334" s="2961">
        <f t="shared" si="86"/>
        <v>0</v>
      </c>
      <c r="Z334" s="998"/>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1</v>
      </c>
      <c r="R335" s="597">
        <f t="shared" si="87"/>
        <v>0</v>
      </c>
      <c r="S335" s="250">
        <f t="shared" si="88"/>
        <v>0</v>
      </c>
      <c r="T335" s="901">
        <f t="shared" si="89"/>
        <v>0</v>
      </c>
      <c r="U335" s="2961">
        <f t="shared" si="83"/>
        <v>0</v>
      </c>
      <c r="V335" s="2961">
        <f t="shared" si="84"/>
        <v>0</v>
      </c>
      <c r="W335" s="998"/>
      <c r="X335" s="2961">
        <f t="shared" si="85"/>
        <v>0</v>
      </c>
      <c r="Y335" s="2961">
        <f t="shared" si="86"/>
        <v>0</v>
      </c>
      <c r="Z335" s="998"/>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1</v>
      </c>
      <c r="R336" s="597">
        <f t="shared" si="87"/>
        <v>0</v>
      </c>
      <c r="S336" s="250">
        <f t="shared" si="88"/>
        <v>0</v>
      </c>
      <c r="T336" s="901">
        <f t="shared" si="89"/>
        <v>0</v>
      </c>
      <c r="U336" s="2961">
        <f t="shared" si="83"/>
        <v>0</v>
      </c>
      <c r="V336" s="2961">
        <f t="shared" si="84"/>
        <v>0</v>
      </c>
      <c r="W336" s="998"/>
      <c r="X336" s="2961">
        <f t="shared" si="85"/>
        <v>0</v>
      </c>
      <c r="Y336" s="2961">
        <f t="shared" si="86"/>
        <v>0</v>
      </c>
      <c r="Z336" s="998"/>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1</v>
      </c>
      <c r="R337" s="597">
        <f t="shared" si="87"/>
        <v>0</v>
      </c>
      <c r="S337" s="250">
        <f t="shared" si="88"/>
        <v>0</v>
      </c>
      <c r="T337" s="901">
        <f t="shared" si="89"/>
        <v>0</v>
      </c>
      <c r="U337" s="2961">
        <f t="shared" si="83"/>
        <v>0</v>
      </c>
      <c r="V337" s="2961">
        <f t="shared" si="84"/>
        <v>0</v>
      </c>
      <c r="W337" s="998"/>
      <c r="X337" s="2961">
        <f t="shared" si="85"/>
        <v>0</v>
      </c>
      <c r="Y337" s="2961">
        <f t="shared" si="86"/>
        <v>0</v>
      </c>
      <c r="Z337" s="998"/>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1</v>
      </c>
      <c r="R338" s="597">
        <f t="shared" si="87"/>
        <v>0</v>
      </c>
      <c r="S338" s="250">
        <f t="shared" si="88"/>
        <v>0</v>
      </c>
      <c r="T338" s="901">
        <f t="shared" si="89"/>
        <v>0</v>
      </c>
      <c r="U338" s="2961">
        <f t="shared" si="83"/>
        <v>0</v>
      </c>
      <c r="V338" s="2961">
        <f t="shared" si="84"/>
        <v>0</v>
      </c>
      <c r="W338" s="998"/>
      <c r="X338" s="2961">
        <f t="shared" si="85"/>
        <v>0</v>
      </c>
      <c r="Y338" s="2961">
        <f t="shared" si="86"/>
        <v>0</v>
      </c>
      <c r="Z338" s="998"/>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1</v>
      </c>
      <c r="R339" s="597">
        <f t="shared" si="87"/>
        <v>0</v>
      </c>
      <c r="S339" s="250">
        <f t="shared" si="88"/>
        <v>0</v>
      </c>
      <c r="T339" s="901">
        <f t="shared" si="89"/>
        <v>0</v>
      </c>
      <c r="U339" s="2961">
        <f t="shared" si="83"/>
        <v>0</v>
      </c>
      <c r="V339" s="2961">
        <f t="shared" si="84"/>
        <v>0</v>
      </c>
      <c r="W339" s="998"/>
      <c r="X339" s="2961">
        <f t="shared" si="85"/>
        <v>0</v>
      </c>
      <c r="Y339" s="2961">
        <f t="shared" si="86"/>
        <v>0</v>
      </c>
      <c r="Z339" s="998"/>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1</v>
      </c>
      <c r="R340" s="597">
        <f t="shared" si="87"/>
        <v>0</v>
      </c>
      <c r="S340" s="250">
        <f t="shared" si="88"/>
        <v>0</v>
      </c>
      <c r="T340" s="901">
        <f t="shared" si="89"/>
        <v>0</v>
      </c>
      <c r="U340" s="2961">
        <f t="shared" si="83"/>
        <v>0</v>
      </c>
      <c r="V340" s="2961">
        <f t="shared" si="84"/>
        <v>0</v>
      </c>
      <c r="W340" s="998"/>
      <c r="X340" s="2961">
        <f t="shared" si="85"/>
        <v>0</v>
      </c>
      <c r="Y340" s="2961">
        <f t="shared" si="86"/>
        <v>0</v>
      </c>
      <c r="Z340" s="998"/>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1</v>
      </c>
      <c r="R341" s="597">
        <f t="shared" si="87"/>
        <v>0</v>
      </c>
      <c r="S341" s="250">
        <f t="shared" si="88"/>
        <v>0</v>
      </c>
      <c r="T341" s="901">
        <f t="shared" si="89"/>
        <v>0</v>
      </c>
      <c r="U341" s="2961">
        <f t="shared" si="83"/>
        <v>0</v>
      </c>
      <c r="V341" s="2961">
        <f t="shared" si="84"/>
        <v>0</v>
      </c>
      <c r="W341" s="998"/>
      <c r="X341" s="2961">
        <f t="shared" si="85"/>
        <v>0</v>
      </c>
      <c r="Y341" s="2961">
        <f t="shared" si="86"/>
        <v>0</v>
      </c>
      <c r="Z341" s="998"/>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1</v>
      </c>
      <c r="R342" s="597">
        <f t="shared" si="87"/>
        <v>0</v>
      </c>
      <c r="S342" s="250">
        <f t="shared" si="88"/>
        <v>0</v>
      </c>
      <c r="T342" s="901">
        <f t="shared" si="89"/>
        <v>0</v>
      </c>
      <c r="U342" s="2961">
        <f t="shared" si="83"/>
        <v>0</v>
      </c>
      <c r="V342" s="2961">
        <f t="shared" si="84"/>
        <v>0</v>
      </c>
      <c r="W342" s="998"/>
      <c r="X342" s="2961">
        <f t="shared" si="85"/>
        <v>0</v>
      </c>
      <c r="Y342" s="2961">
        <f t="shared" si="86"/>
        <v>0</v>
      </c>
      <c r="Z342" s="998"/>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1</v>
      </c>
      <c r="R343" s="597">
        <f t="shared" si="87"/>
        <v>0</v>
      </c>
      <c r="S343" s="250">
        <f t="shared" si="88"/>
        <v>0</v>
      </c>
      <c r="T343" s="901">
        <f t="shared" si="89"/>
        <v>0</v>
      </c>
      <c r="U343" s="2961">
        <f t="shared" si="83"/>
        <v>0</v>
      </c>
      <c r="V343" s="2961">
        <f t="shared" si="84"/>
        <v>0</v>
      </c>
      <c r="W343" s="998"/>
      <c r="X343" s="2961">
        <f t="shared" si="85"/>
        <v>0</v>
      </c>
      <c r="Y343" s="2961">
        <f t="shared" si="86"/>
        <v>0</v>
      </c>
      <c r="Z343" s="998"/>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1</v>
      </c>
      <c r="R344" s="597">
        <f t="shared" si="87"/>
        <v>0</v>
      </c>
      <c r="S344" s="250">
        <f t="shared" si="88"/>
        <v>0</v>
      </c>
      <c r="T344" s="901">
        <f t="shared" si="89"/>
        <v>0</v>
      </c>
      <c r="U344" s="2961">
        <f t="shared" si="83"/>
        <v>0</v>
      </c>
      <c r="V344" s="2961">
        <f t="shared" si="84"/>
        <v>0</v>
      </c>
      <c r="W344" s="998"/>
      <c r="X344" s="2961">
        <f t="shared" si="85"/>
        <v>0</v>
      </c>
      <c r="Y344" s="2961">
        <f t="shared" si="86"/>
        <v>0</v>
      </c>
      <c r="Z344" s="998"/>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1</v>
      </c>
      <c r="R345" s="597">
        <f t="shared" si="87"/>
        <v>0</v>
      </c>
      <c r="S345" s="250">
        <f t="shared" si="88"/>
        <v>0</v>
      </c>
      <c r="T345" s="901">
        <f t="shared" si="89"/>
        <v>0</v>
      </c>
      <c r="U345" s="2961">
        <f t="shared" si="83"/>
        <v>0</v>
      </c>
      <c r="V345" s="2961">
        <f t="shared" si="84"/>
        <v>0</v>
      </c>
      <c r="W345" s="998"/>
      <c r="X345" s="2961">
        <f t="shared" si="85"/>
        <v>0</v>
      </c>
      <c r="Y345" s="2961">
        <f t="shared" si="86"/>
        <v>0</v>
      </c>
      <c r="Z345" s="998"/>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1</v>
      </c>
      <c r="R346" s="597">
        <f t="shared" si="87"/>
        <v>0</v>
      </c>
      <c r="S346" s="250">
        <f t="shared" si="88"/>
        <v>0</v>
      </c>
      <c r="T346" s="901">
        <f t="shared" si="89"/>
        <v>0</v>
      </c>
      <c r="U346" s="2961">
        <f t="shared" si="83"/>
        <v>0</v>
      </c>
      <c r="V346" s="2961">
        <f t="shared" si="84"/>
        <v>0</v>
      </c>
      <c r="W346" s="998"/>
      <c r="X346" s="2961">
        <f t="shared" si="85"/>
        <v>0</v>
      </c>
      <c r="Y346" s="2961">
        <f t="shared" si="86"/>
        <v>0</v>
      </c>
      <c r="Z346" s="998"/>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1</v>
      </c>
      <c r="R347" s="597">
        <f t="shared" si="87"/>
        <v>0</v>
      </c>
      <c r="S347" s="250">
        <f t="shared" si="88"/>
        <v>0</v>
      </c>
      <c r="T347" s="901">
        <f t="shared" si="89"/>
        <v>0</v>
      </c>
      <c r="U347" s="2961">
        <f t="shared" si="83"/>
        <v>0</v>
      </c>
      <c r="V347" s="2961">
        <f t="shared" si="84"/>
        <v>0</v>
      </c>
      <c r="W347" s="998"/>
      <c r="X347" s="2961">
        <f t="shared" si="85"/>
        <v>0</v>
      </c>
      <c r="Y347" s="2961">
        <f t="shared" si="86"/>
        <v>0</v>
      </c>
      <c r="Z347" s="998"/>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1</v>
      </c>
      <c r="R348" s="597">
        <f t="shared" si="87"/>
        <v>0</v>
      </c>
      <c r="S348" s="250">
        <f t="shared" si="88"/>
        <v>0</v>
      </c>
      <c r="T348" s="901">
        <f t="shared" si="89"/>
        <v>0</v>
      </c>
      <c r="U348" s="2961">
        <f t="shared" ref="U348:U411" si="98">ROUND(W348*B348,0)</f>
        <v>0</v>
      </c>
      <c r="V348" s="2961">
        <f t="shared" ref="V348:V411" si="99">ROUND(W348*B348/10000,0)</f>
        <v>0</v>
      </c>
      <c r="W348" s="998"/>
      <c r="X348" s="2961">
        <f t="shared" ref="X348:X411" si="100">ROUND(Z348*B348,0)</f>
        <v>0</v>
      </c>
      <c r="Y348" s="2961">
        <f t="shared" ref="Y348:Y411" si="101">ROUND(Z348*B348/10000,0)</f>
        <v>0</v>
      </c>
      <c r="Z348" s="998"/>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1</v>
      </c>
      <c r="R349" s="597">
        <f t="shared" ref="R349:R412" si="102">IF(B349="",0,ROUND($R$27*C349*E349*G349*I349*K349*M349*O349*Q349,0))</f>
        <v>0</v>
      </c>
      <c r="S349" s="250">
        <f t="shared" ref="S349:S412" si="103">ROUND(R349*B349,0)</f>
        <v>0</v>
      </c>
      <c r="T349" s="901">
        <f t="shared" ref="T349:T412" si="104">ROUND(R349*B349/10000,0)</f>
        <v>0</v>
      </c>
      <c r="U349" s="2961">
        <f t="shared" si="98"/>
        <v>0</v>
      </c>
      <c r="V349" s="2961">
        <f t="shared" si="99"/>
        <v>0</v>
      </c>
      <c r="W349" s="998"/>
      <c r="X349" s="2961">
        <f t="shared" si="100"/>
        <v>0</v>
      </c>
      <c r="Y349" s="2961">
        <f t="shared" si="101"/>
        <v>0</v>
      </c>
      <c r="Z349" s="998"/>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1</v>
      </c>
      <c r="R350" s="597">
        <f t="shared" si="102"/>
        <v>0</v>
      </c>
      <c r="S350" s="250">
        <f t="shared" si="103"/>
        <v>0</v>
      </c>
      <c r="T350" s="901">
        <f t="shared" si="104"/>
        <v>0</v>
      </c>
      <c r="U350" s="2961">
        <f t="shared" si="98"/>
        <v>0</v>
      </c>
      <c r="V350" s="2961">
        <f t="shared" si="99"/>
        <v>0</v>
      </c>
      <c r="W350" s="998"/>
      <c r="X350" s="2961">
        <f t="shared" si="100"/>
        <v>0</v>
      </c>
      <c r="Y350" s="2961">
        <f t="shared" si="101"/>
        <v>0</v>
      </c>
      <c r="Z350" s="998"/>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1</v>
      </c>
      <c r="R351" s="597">
        <f t="shared" si="102"/>
        <v>0</v>
      </c>
      <c r="S351" s="250">
        <f t="shared" si="103"/>
        <v>0</v>
      </c>
      <c r="T351" s="901">
        <f t="shared" si="104"/>
        <v>0</v>
      </c>
      <c r="U351" s="2961">
        <f t="shared" si="98"/>
        <v>0</v>
      </c>
      <c r="V351" s="2961">
        <f t="shared" si="99"/>
        <v>0</v>
      </c>
      <c r="W351" s="998"/>
      <c r="X351" s="2961">
        <f t="shared" si="100"/>
        <v>0</v>
      </c>
      <c r="Y351" s="2961">
        <f t="shared" si="101"/>
        <v>0</v>
      </c>
      <c r="Z351" s="998"/>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1</v>
      </c>
      <c r="R352" s="597">
        <f t="shared" si="102"/>
        <v>0</v>
      </c>
      <c r="S352" s="250">
        <f t="shared" si="103"/>
        <v>0</v>
      </c>
      <c r="T352" s="901">
        <f t="shared" si="104"/>
        <v>0</v>
      </c>
      <c r="U352" s="2961">
        <f t="shared" si="98"/>
        <v>0</v>
      </c>
      <c r="V352" s="2961">
        <f t="shared" si="99"/>
        <v>0</v>
      </c>
      <c r="W352" s="998"/>
      <c r="X352" s="2961">
        <f t="shared" si="100"/>
        <v>0</v>
      </c>
      <c r="Y352" s="2961">
        <f t="shared" si="101"/>
        <v>0</v>
      </c>
      <c r="Z352" s="998"/>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1</v>
      </c>
      <c r="R353" s="597">
        <f t="shared" si="102"/>
        <v>0</v>
      </c>
      <c r="S353" s="250">
        <f t="shared" si="103"/>
        <v>0</v>
      </c>
      <c r="T353" s="901">
        <f t="shared" si="104"/>
        <v>0</v>
      </c>
      <c r="U353" s="2961">
        <f t="shared" si="98"/>
        <v>0</v>
      </c>
      <c r="V353" s="2961">
        <f t="shared" si="99"/>
        <v>0</v>
      </c>
      <c r="W353" s="998"/>
      <c r="X353" s="2961">
        <f t="shared" si="100"/>
        <v>0</v>
      </c>
      <c r="Y353" s="2961">
        <f t="shared" si="101"/>
        <v>0</v>
      </c>
      <c r="Z353" s="998"/>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1</v>
      </c>
      <c r="R354" s="597">
        <f t="shared" si="102"/>
        <v>0</v>
      </c>
      <c r="S354" s="250">
        <f t="shared" si="103"/>
        <v>0</v>
      </c>
      <c r="T354" s="901">
        <f t="shared" si="104"/>
        <v>0</v>
      </c>
      <c r="U354" s="2961">
        <f t="shared" si="98"/>
        <v>0</v>
      </c>
      <c r="V354" s="2961">
        <f t="shared" si="99"/>
        <v>0</v>
      </c>
      <c r="W354" s="998"/>
      <c r="X354" s="2961">
        <f t="shared" si="100"/>
        <v>0</v>
      </c>
      <c r="Y354" s="2961">
        <f t="shared" si="101"/>
        <v>0</v>
      </c>
      <c r="Z354" s="998"/>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1</v>
      </c>
      <c r="R355" s="597">
        <f t="shared" si="102"/>
        <v>0</v>
      </c>
      <c r="S355" s="250">
        <f t="shared" si="103"/>
        <v>0</v>
      </c>
      <c r="T355" s="901">
        <f t="shared" si="104"/>
        <v>0</v>
      </c>
      <c r="U355" s="2961">
        <f t="shared" si="98"/>
        <v>0</v>
      </c>
      <c r="V355" s="2961">
        <f t="shared" si="99"/>
        <v>0</v>
      </c>
      <c r="W355" s="998"/>
      <c r="X355" s="2961">
        <f t="shared" si="100"/>
        <v>0</v>
      </c>
      <c r="Y355" s="2961">
        <f t="shared" si="101"/>
        <v>0</v>
      </c>
      <c r="Z355" s="998"/>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1</v>
      </c>
      <c r="R356" s="597">
        <f t="shared" si="102"/>
        <v>0</v>
      </c>
      <c r="S356" s="250">
        <f t="shared" si="103"/>
        <v>0</v>
      </c>
      <c r="T356" s="901">
        <f t="shared" si="104"/>
        <v>0</v>
      </c>
      <c r="U356" s="2961">
        <f t="shared" si="98"/>
        <v>0</v>
      </c>
      <c r="V356" s="2961">
        <f t="shared" si="99"/>
        <v>0</v>
      </c>
      <c r="W356" s="998"/>
      <c r="X356" s="2961">
        <f t="shared" si="100"/>
        <v>0</v>
      </c>
      <c r="Y356" s="2961">
        <f t="shared" si="101"/>
        <v>0</v>
      </c>
      <c r="Z356" s="998"/>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1</v>
      </c>
      <c r="R357" s="597">
        <f t="shared" si="102"/>
        <v>0</v>
      </c>
      <c r="S357" s="250">
        <f t="shared" si="103"/>
        <v>0</v>
      </c>
      <c r="T357" s="901">
        <f t="shared" si="104"/>
        <v>0</v>
      </c>
      <c r="U357" s="2961">
        <f t="shared" si="98"/>
        <v>0</v>
      </c>
      <c r="V357" s="2961">
        <f t="shared" si="99"/>
        <v>0</v>
      </c>
      <c r="W357" s="998"/>
      <c r="X357" s="2961">
        <f t="shared" si="100"/>
        <v>0</v>
      </c>
      <c r="Y357" s="2961">
        <f t="shared" si="101"/>
        <v>0</v>
      </c>
      <c r="Z357" s="998"/>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1</v>
      </c>
      <c r="R358" s="597">
        <f t="shared" si="102"/>
        <v>0</v>
      </c>
      <c r="S358" s="250">
        <f t="shared" si="103"/>
        <v>0</v>
      </c>
      <c r="T358" s="901">
        <f t="shared" si="104"/>
        <v>0</v>
      </c>
      <c r="U358" s="2961">
        <f t="shared" si="98"/>
        <v>0</v>
      </c>
      <c r="V358" s="2961">
        <f t="shared" si="99"/>
        <v>0</v>
      </c>
      <c r="W358" s="998"/>
      <c r="X358" s="2961">
        <f t="shared" si="100"/>
        <v>0</v>
      </c>
      <c r="Y358" s="2961">
        <f t="shared" si="101"/>
        <v>0</v>
      </c>
      <c r="Z358" s="998"/>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1</v>
      </c>
      <c r="R359" s="597">
        <f t="shared" si="102"/>
        <v>0</v>
      </c>
      <c r="S359" s="250">
        <f t="shared" si="103"/>
        <v>0</v>
      </c>
      <c r="T359" s="901">
        <f t="shared" si="104"/>
        <v>0</v>
      </c>
      <c r="U359" s="2961">
        <f t="shared" si="98"/>
        <v>0</v>
      </c>
      <c r="V359" s="2961">
        <f t="shared" si="99"/>
        <v>0</v>
      </c>
      <c r="W359" s="998"/>
      <c r="X359" s="2961">
        <f t="shared" si="100"/>
        <v>0</v>
      </c>
      <c r="Y359" s="2961">
        <f t="shared" si="101"/>
        <v>0</v>
      </c>
      <c r="Z359" s="998"/>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1</v>
      </c>
      <c r="R360" s="597">
        <f t="shared" si="102"/>
        <v>0</v>
      </c>
      <c r="S360" s="250">
        <f t="shared" si="103"/>
        <v>0</v>
      </c>
      <c r="T360" s="901">
        <f t="shared" si="104"/>
        <v>0</v>
      </c>
      <c r="U360" s="2961">
        <f t="shared" si="98"/>
        <v>0</v>
      </c>
      <c r="V360" s="2961">
        <f t="shared" si="99"/>
        <v>0</v>
      </c>
      <c r="W360" s="998"/>
      <c r="X360" s="2961">
        <f t="shared" si="100"/>
        <v>0</v>
      </c>
      <c r="Y360" s="2961">
        <f t="shared" si="101"/>
        <v>0</v>
      </c>
      <c r="Z360" s="998"/>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1</v>
      </c>
      <c r="R361" s="597">
        <f t="shared" si="102"/>
        <v>0</v>
      </c>
      <c r="S361" s="250">
        <f t="shared" si="103"/>
        <v>0</v>
      </c>
      <c r="T361" s="901">
        <f t="shared" si="104"/>
        <v>0</v>
      </c>
      <c r="U361" s="2961">
        <f t="shared" si="98"/>
        <v>0</v>
      </c>
      <c r="V361" s="2961">
        <f t="shared" si="99"/>
        <v>0</v>
      </c>
      <c r="W361" s="998"/>
      <c r="X361" s="2961">
        <f t="shared" si="100"/>
        <v>0</v>
      </c>
      <c r="Y361" s="2961">
        <f t="shared" si="101"/>
        <v>0</v>
      </c>
      <c r="Z361" s="998"/>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1</v>
      </c>
      <c r="R362" s="597">
        <f t="shared" si="102"/>
        <v>0</v>
      </c>
      <c r="S362" s="250">
        <f t="shared" si="103"/>
        <v>0</v>
      </c>
      <c r="T362" s="901">
        <f t="shared" si="104"/>
        <v>0</v>
      </c>
      <c r="U362" s="2961">
        <f t="shared" si="98"/>
        <v>0</v>
      </c>
      <c r="V362" s="2961">
        <f t="shared" si="99"/>
        <v>0</v>
      </c>
      <c r="W362" s="998"/>
      <c r="X362" s="2961">
        <f t="shared" si="100"/>
        <v>0</v>
      </c>
      <c r="Y362" s="2961">
        <f t="shared" si="101"/>
        <v>0</v>
      </c>
      <c r="Z362" s="998"/>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1</v>
      </c>
      <c r="R363" s="597">
        <f t="shared" si="102"/>
        <v>0</v>
      </c>
      <c r="S363" s="250">
        <f t="shared" si="103"/>
        <v>0</v>
      </c>
      <c r="T363" s="901">
        <f t="shared" si="104"/>
        <v>0</v>
      </c>
      <c r="U363" s="2961">
        <f t="shared" si="98"/>
        <v>0</v>
      </c>
      <c r="V363" s="2961">
        <f t="shared" si="99"/>
        <v>0</v>
      </c>
      <c r="W363" s="998"/>
      <c r="X363" s="2961">
        <f t="shared" si="100"/>
        <v>0</v>
      </c>
      <c r="Y363" s="2961">
        <f t="shared" si="101"/>
        <v>0</v>
      </c>
      <c r="Z363" s="998"/>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1</v>
      </c>
      <c r="R364" s="597">
        <f t="shared" si="102"/>
        <v>0</v>
      </c>
      <c r="S364" s="250">
        <f t="shared" si="103"/>
        <v>0</v>
      </c>
      <c r="T364" s="901">
        <f t="shared" si="104"/>
        <v>0</v>
      </c>
      <c r="U364" s="2961">
        <f t="shared" si="98"/>
        <v>0</v>
      </c>
      <c r="V364" s="2961">
        <f t="shared" si="99"/>
        <v>0</v>
      </c>
      <c r="W364" s="998"/>
      <c r="X364" s="2961">
        <f t="shared" si="100"/>
        <v>0</v>
      </c>
      <c r="Y364" s="2961">
        <f t="shared" si="101"/>
        <v>0</v>
      </c>
      <c r="Z364" s="998"/>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1</v>
      </c>
      <c r="R365" s="597">
        <f t="shared" si="102"/>
        <v>0</v>
      </c>
      <c r="S365" s="250">
        <f t="shared" si="103"/>
        <v>0</v>
      </c>
      <c r="T365" s="901">
        <f t="shared" si="104"/>
        <v>0</v>
      </c>
      <c r="U365" s="2961">
        <f t="shared" si="98"/>
        <v>0</v>
      </c>
      <c r="V365" s="2961">
        <f t="shared" si="99"/>
        <v>0</v>
      </c>
      <c r="W365" s="998"/>
      <c r="X365" s="2961">
        <f t="shared" si="100"/>
        <v>0</v>
      </c>
      <c r="Y365" s="2961">
        <f t="shared" si="101"/>
        <v>0</v>
      </c>
      <c r="Z365" s="998"/>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1</v>
      </c>
      <c r="R366" s="597">
        <f t="shared" si="102"/>
        <v>0</v>
      </c>
      <c r="S366" s="250">
        <f t="shared" si="103"/>
        <v>0</v>
      </c>
      <c r="T366" s="901">
        <f t="shared" si="104"/>
        <v>0</v>
      </c>
      <c r="U366" s="2961">
        <f t="shared" si="98"/>
        <v>0</v>
      </c>
      <c r="V366" s="2961">
        <f t="shared" si="99"/>
        <v>0</v>
      </c>
      <c r="W366" s="998"/>
      <c r="X366" s="2961">
        <f t="shared" si="100"/>
        <v>0</v>
      </c>
      <c r="Y366" s="2961">
        <f t="shared" si="101"/>
        <v>0</v>
      </c>
      <c r="Z366" s="998"/>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1</v>
      </c>
      <c r="R367" s="597">
        <f t="shared" si="102"/>
        <v>0</v>
      </c>
      <c r="S367" s="250">
        <f t="shared" si="103"/>
        <v>0</v>
      </c>
      <c r="T367" s="901">
        <f t="shared" si="104"/>
        <v>0</v>
      </c>
      <c r="U367" s="2961">
        <f t="shared" si="98"/>
        <v>0</v>
      </c>
      <c r="V367" s="2961">
        <f t="shared" si="99"/>
        <v>0</v>
      </c>
      <c r="W367" s="998"/>
      <c r="X367" s="2961">
        <f t="shared" si="100"/>
        <v>0</v>
      </c>
      <c r="Y367" s="2961">
        <f t="shared" si="101"/>
        <v>0</v>
      </c>
      <c r="Z367" s="998"/>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1</v>
      </c>
      <c r="R368" s="597">
        <f t="shared" si="102"/>
        <v>0</v>
      </c>
      <c r="S368" s="250">
        <f t="shared" si="103"/>
        <v>0</v>
      </c>
      <c r="T368" s="901">
        <f t="shared" si="104"/>
        <v>0</v>
      </c>
      <c r="U368" s="2961">
        <f t="shared" si="98"/>
        <v>0</v>
      </c>
      <c r="V368" s="2961">
        <f t="shared" si="99"/>
        <v>0</v>
      </c>
      <c r="W368" s="998"/>
      <c r="X368" s="2961">
        <f t="shared" si="100"/>
        <v>0</v>
      </c>
      <c r="Y368" s="2961">
        <f t="shared" si="101"/>
        <v>0</v>
      </c>
      <c r="Z368" s="998"/>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1</v>
      </c>
      <c r="R369" s="597">
        <f t="shared" si="102"/>
        <v>0</v>
      </c>
      <c r="S369" s="250">
        <f t="shared" si="103"/>
        <v>0</v>
      </c>
      <c r="T369" s="901">
        <f t="shared" si="104"/>
        <v>0</v>
      </c>
      <c r="U369" s="2961">
        <f t="shared" si="98"/>
        <v>0</v>
      </c>
      <c r="V369" s="2961">
        <f t="shared" si="99"/>
        <v>0</v>
      </c>
      <c r="W369" s="998"/>
      <c r="X369" s="2961">
        <f t="shared" si="100"/>
        <v>0</v>
      </c>
      <c r="Y369" s="2961">
        <f t="shared" si="101"/>
        <v>0</v>
      </c>
      <c r="Z369" s="998"/>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1</v>
      </c>
      <c r="R370" s="597">
        <f t="shared" si="102"/>
        <v>0</v>
      </c>
      <c r="S370" s="250">
        <f t="shared" si="103"/>
        <v>0</v>
      </c>
      <c r="T370" s="901">
        <f t="shared" si="104"/>
        <v>0</v>
      </c>
      <c r="U370" s="2961">
        <f t="shared" si="98"/>
        <v>0</v>
      </c>
      <c r="V370" s="2961">
        <f t="shared" si="99"/>
        <v>0</v>
      </c>
      <c r="W370" s="998"/>
      <c r="X370" s="2961">
        <f t="shared" si="100"/>
        <v>0</v>
      </c>
      <c r="Y370" s="2961">
        <f t="shared" si="101"/>
        <v>0</v>
      </c>
      <c r="Z370" s="998"/>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1</v>
      </c>
      <c r="R371" s="597">
        <f t="shared" si="102"/>
        <v>0</v>
      </c>
      <c r="S371" s="250">
        <f t="shared" si="103"/>
        <v>0</v>
      </c>
      <c r="T371" s="901">
        <f t="shared" si="104"/>
        <v>0</v>
      </c>
      <c r="U371" s="2961">
        <f t="shared" si="98"/>
        <v>0</v>
      </c>
      <c r="V371" s="2961">
        <f t="shared" si="99"/>
        <v>0</v>
      </c>
      <c r="W371" s="998"/>
      <c r="X371" s="2961">
        <f t="shared" si="100"/>
        <v>0</v>
      </c>
      <c r="Y371" s="2961">
        <f t="shared" si="101"/>
        <v>0</v>
      </c>
      <c r="Z371" s="998"/>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1</v>
      </c>
      <c r="R372" s="597">
        <f t="shared" si="102"/>
        <v>0</v>
      </c>
      <c r="S372" s="250">
        <f t="shared" si="103"/>
        <v>0</v>
      </c>
      <c r="T372" s="901">
        <f t="shared" si="104"/>
        <v>0</v>
      </c>
      <c r="U372" s="2961">
        <f t="shared" si="98"/>
        <v>0</v>
      </c>
      <c r="V372" s="2961">
        <f t="shared" si="99"/>
        <v>0</v>
      </c>
      <c r="W372" s="998"/>
      <c r="X372" s="2961">
        <f t="shared" si="100"/>
        <v>0</v>
      </c>
      <c r="Y372" s="2961">
        <f t="shared" si="101"/>
        <v>0</v>
      </c>
      <c r="Z372" s="998"/>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1</v>
      </c>
      <c r="R373" s="597">
        <f t="shared" si="102"/>
        <v>0</v>
      </c>
      <c r="S373" s="250">
        <f t="shared" si="103"/>
        <v>0</v>
      </c>
      <c r="T373" s="901">
        <f t="shared" si="104"/>
        <v>0</v>
      </c>
      <c r="U373" s="2961">
        <f t="shared" si="98"/>
        <v>0</v>
      </c>
      <c r="V373" s="2961">
        <f t="shared" si="99"/>
        <v>0</v>
      </c>
      <c r="W373" s="998"/>
      <c r="X373" s="2961">
        <f t="shared" si="100"/>
        <v>0</v>
      </c>
      <c r="Y373" s="2961">
        <f t="shared" si="101"/>
        <v>0</v>
      </c>
      <c r="Z373" s="998"/>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1</v>
      </c>
      <c r="R374" s="597">
        <f t="shared" si="102"/>
        <v>0</v>
      </c>
      <c r="S374" s="250">
        <f t="shared" si="103"/>
        <v>0</v>
      </c>
      <c r="T374" s="901">
        <f t="shared" si="104"/>
        <v>0</v>
      </c>
      <c r="U374" s="2961">
        <f t="shared" si="98"/>
        <v>0</v>
      </c>
      <c r="V374" s="2961">
        <f t="shared" si="99"/>
        <v>0</v>
      </c>
      <c r="W374" s="998"/>
      <c r="X374" s="2961">
        <f t="shared" si="100"/>
        <v>0</v>
      </c>
      <c r="Y374" s="2961">
        <f t="shared" si="101"/>
        <v>0</v>
      </c>
      <c r="Z374" s="998"/>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1</v>
      </c>
      <c r="R375" s="597">
        <f t="shared" si="102"/>
        <v>0</v>
      </c>
      <c r="S375" s="250">
        <f t="shared" si="103"/>
        <v>0</v>
      </c>
      <c r="T375" s="901">
        <f t="shared" si="104"/>
        <v>0</v>
      </c>
      <c r="U375" s="2961">
        <f t="shared" si="98"/>
        <v>0</v>
      </c>
      <c r="V375" s="2961">
        <f t="shared" si="99"/>
        <v>0</v>
      </c>
      <c r="W375" s="998"/>
      <c r="X375" s="2961">
        <f t="shared" si="100"/>
        <v>0</v>
      </c>
      <c r="Y375" s="2961">
        <f t="shared" si="101"/>
        <v>0</v>
      </c>
      <c r="Z375" s="998"/>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1</v>
      </c>
      <c r="R376" s="597">
        <f t="shared" si="102"/>
        <v>0</v>
      </c>
      <c r="S376" s="250">
        <f t="shared" si="103"/>
        <v>0</v>
      </c>
      <c r="T376" s="901">
        <f t="shared" si="104"/>
        <v>0</v>
      </c>
      <c r="U376" s="2961">
        <f t="shared" si="98"/>
        <v>0</v>
      </c>
      <c r="V376" s="2961">
        <f t="shared" si="99"/>
        <v>0</v>
      </c>
      <c r="W376" s="998"/>
      <c r="X376" s="2961">
        <f t="shared" si="100"/>
        <v>0</v>
      </c>
      <c r="Y376" s="2961">
        <f t="shared" si="101"/>
        <v>0</v>
      </c>
      <c r="Z376" s="998"/>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1</v>
      </c>
      <c r="R377" s="597">
        <f t="shared" si="102"/>
        <v>0</v>
      </c>
      <c r="S377" s="250">
        <f t="shared" si="103"/>
        <v>0</v>
      </c>
      <c r="T377" s="901">
        <f t="shared" si="104"/>
        <v>0</v>
      </c>
      <c r="U377" s="2961">
        <f t="shared" si="98"/>
        <v>0</v>
      </c>
      <c r="V377" s="2961">
        <f t="shared" si="99"/>
        <v>0</v>
      </c>
      <c r="W377" s="998"/>
      <c r="X377" s="2961">
        <f t="shared" si="100"/>
        <v>0</v>
      </c>
      <c r="Y377" s="2961">
        <f t="shared" si="101"/>
        <v>0</v>
      </c>
      <c r="Z377" s="998"/>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1</v>
      </c>
      <c r="R378" s="597">
        <f t="shared" si="102"/>
        <v>0</v>
      </c>
      <c r="S378" s="250">
        <f t="shared" si="103"/>
        <v>0</v>
      </c>
      <c r="T378" s="901">
        <f t="shared" si="104"/>
        <v>0</v>
      </c>
      <c r="U378" s="2961">
        <f t="shared" si="98"/>
        <v>0</v>
      </c>
      <c r="V378" s="2961">
        <f t="shared" si="99"/>
        <v>0</v>
      </c>
      <c r="W378" s="998"/>
      <c r="X378" s="2961">
        <f t="shared" si="100"/>
        <v>0</v>
      </c>
      <c r="Y378" s="2961">
        <f t="shared" si="101"/>
        <v>0</v>
      </c>
      <c r="Z378" s="998"/>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1</v>
      </c>
      <c r="R379" s="597">
        <f t="shared" si="102"/>
        <v>0</v>
      </c>
      <c r="S379" s="250">
        <f t="shared" si="103"/>
        <v>0</v>
      </c>
      <c r="T379" s="901">
        <f t="shared" si="104"/>
        <v>0</v>
      </c>
      <c r="U379" s="2961">
        <f t="shared" si="98"/>
        <v>0</v>
      </c>
      <c r="V379" s="2961">
        <f t="shared" si="99"/>
        <v>0</v>
      </c>
      <c r="W379" s="998"/>
      <c r="X379" s="2961">
        <f t="shared" si="100"/>
        <v>0</v>
      </c>
      <c r="Y379" s="2961">
        <f t="shared" si="101"/>
        <v>0</v>
      </c>
      <c r="Z379" s="998"/>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1</v>
      </c>
      <c r="R380" s="597">
        <f t="shared" si="102"/>
        <v>0</v>
      </c>
      <c r="S380" s="250">
        <f t="shared" si="103"/>
        <v>0</v>
      </c>
      <c r="T380" s="901">
        <f t="shared" si="104"/>
        <v>0</v>
      </c>
      <c r="U380" s="2961">
        <f t="shared" si="98"/>
        <v>0</v>
      </c>
      <c r="V380" s="2961">
        <f t="shared" si="99"/>
        <v>0</v>
      </c>
      <c r="W380" s="998"/>
      <c r="X380" s="2961">
        <f t="shared" si="100"/>
        <v>0</v>
      </c>
      <c r="Y380" s="2961">
        <f t="shared" si="101"/>
        <v>0</v>
      </c>
      <c r="Z380" s="998"/>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1</v>
      </c>
      <c r="R381" s="597">
        <f t="shared" si="102"/>
        <v>0</v>
      </c>
      <c r="S381" s="250">
        <f t="shared" si="103"/>
        <v>0</v>
      </c>
      <c r="T381" s="901">
        <f t="shared" si="104"/>
        <v>0</v>
      </c>
      <c r="U381" s="2961">
        <f t="shared" si="98"/>
        <v>0</v>
      </c>
      <c r="V381" s="2961">
        <f t="shared" si="99"/>
        <v>0</v>
      </c>
      <c r="W381" s="998"/>
      <c r="X381" s="2961">
        <f t="shared" si="100"/>
        <v>0</v>
      </c>
      <c r="Y381" s="2961">
        <f t="shared" si="101"/>
        <v>0</v>
      </c>
      <c r="Z381" s="998"/>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1</v>
      </c>
      <c r="R382" s="597">
        <f t="shared" si="102"/>
        <v>0</v>
      </c>
      <c r="S382" s="250">
        <f t="shared" si="103"/>
        <v>0</v>
      </c>
      <c r="T382" s="901">
        <f t="shared" si="104"/>
        <v>0</v>
      </c>
      <c r="U382" s="2961">
        <f t="shared" si="98"/>
        <v>0</v>
      </c>
      <c r="V382" s="2961">
        <f t="shared" si="99"/>
        <v>0</v>
      </c>
      <c r="W382" s="998"/>
      <c r="X382" s="2961">
        <f t="shared" si="100"/>
        <v>0</v>
      </c>
      <c r="Y382" s="2961">
        <f t="shared" si="101"/>
        <v>0</v>
      </c>
      <c r="Z382" s="998"/>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1</v>
      </c>
      <c r="R383" s="597">
        <f t="shared" si="102"/>
        <v>0</v>
      </c>
      <c r="S383" s="250">
        <f t="shared" si="103"/>
        <v>0</v>
      </c>
      <c r="T383" s="901">
        <f t="shared" si="104"/>
        <v>0</v>
      </c>
      <c r="U383" s="2961">
        <f t="shared" si="98"/>
        <v>0</v>
      </c>
      <c r="V383" s="2961">
        <f t="shared" si="99"/>
        <v>0</v>
      </c>
      <c r="W383" s="998"/>
      <c r="X383" s="2961">
        <f t="shared" si="100"/>
        <v>0</v>
      </c>
      <c r="Y383" s="2961">
        <f t="shared" si="101"/>
        <v>0</v>
      </c>
      <c r="Z383" s="998"/>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1</v>
      </c>
      <c r="R384" s="597">
        <f t="shared" si="102"/>
        <v>0</v>
      </c>
      <c r="S384" s="250">
        <f t="shared" si="103"/>
        <v>0</v>
      </c>
      <c r="T384" s="901">
        <f t="shared" si="104"/>
        <v>0</v>
      </c>
      <c r="U384" s="2961">
        <f t="shared" si="98"/>
        <v>0</v>
      </c>
      <c r="V384" s="2961">
        <f t="shared" si="99"/>
        <v>0</v>
      </c>
      <c r="W384" s="998"/>
      <c r="X384" s="2961">
        <f t="shared" si="100"/>
        <v>0</v>
      </c>
      <c r="Y384" s="2961">
        <f t="shared" si="101"/>
        <v>0</v>
      </c>
      <c r="Z384" s="998"/>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1</v>
      </c>
      <c r="R385" s="597">
        <f t="shared" si="102"/>
        <v>0</v>
      </c>
      <c r="S385" s="250">
        <f t="shared" si="103"/>
        <v>0</v>
      </c>
      <c r="T385" s="901">
        <f t="shared" si="104"/>
        <v>0</v>
      </c>
      <c r="U385" s="2961">
        <f t="shared" si="98"/>
        <v>0</v>
      </c>
      <c r="V385" s="2961">
        <f t="shared" si="99"/>
        <v>0</v>
      </c>
      <c r="W385" s="998"/>
      <c r="X385" s="2961">
        <f t="shared" si="100"/>
        <v>0</v>
      </c>
      <c r="Y385" s="2961">
        <f t="shared" si="101"/>
        <v>0</v>
      </c>
      <c r="Z385" s="998"/>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1</v>
      </c>
      <c r="R386" s="597">
        <f t="shared" si="102"/>
        <v>0</v>
      </c>
      <c r="S386" s="250">
        <f t="shared" si="103"/>
        <v>0</v>
      </c>
      <c r="T386" s="901">
        <f t="shared" si="104"/>
        <v>0</v>
      </c>
      <c r="U386" s="2961">
        <f t="shared" si="98"/>
        <v>0</v>
      </c>
      <c r="V386" s="2961">
        <f t="shared" si="99"/>
        <v>0</v>
      </c>
      <c r="W386" s="998"/>
      <c r="X386" s="2961">
        <f t="shared" si="100"/>
        <v>0</v>
      </c>
      <c r="Y386" s="2961">
        <f t="shared" si="101"/>
        <v>0</v>
      </c>
      <c r="Z386" s="998"/>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1</v>
      </c>
      <c r="R387" s="597">
        <f t="shared" si="102"/>
        <v>0</v>
      </c>
      <c r="S387" s="250">
        <f t="shared" si="103"/>
        <v>0</v>
      </c>
      <c r="T387" s="901">
        <f t="shared" si="104"/>
        <v>0</v>
      </c>
      <c r="U387" s="2961">
        <f t="shared" si="98"/>
        <v>0</v>
      </c>
      <c r="V387" s="2961">
        <f t="shared" si="99"/>
        <v>0</v>
      </c>
      <c r="W387" s="998"/>
      <c r="X387" s="2961">
        <f t="shared" si="100"/>
        <v>0</v>
      </c>
      <c r="Y387" s="2961">
        <f t="shared" si="101"/>
        <v>0</v>
      </c>
      <c r="Z387" s="998"/>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1</v>
      </c>
      <c r="R388" s="597">
        <f t="shared" si="102"/>
        <v>0</v>
      </c>
      <c r="S388" s="250">
        <f t="shared" si="103"/>
        <v>0</v>
      </c>
      <c r="T388" s="901">
        <f t="shared" si="104"/>
        <v>0</v>
      </c>
      <c r="U388" s="2961">
        <f t="shared" si="98"/>
        <v>0</v>
      </c>
      <c r="V388" s="2961">
        <f t="shared" si="99"/>
        <v>0</v>
      </c>
      <c r="W388" s="998"/>
      <c r="X388" s="2961">
        <f t="shared" si="100"/>
        <v>0</v>
      </c>
      <c r="Y388" s="2961">
        <f t="shared" si="101"/>
        <v>0</v>
      </c>
      <c r="Z388" s="998"/>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1</v>
      </c>
      <c r="R389" s="597">
        <f t="shared" si="102"/>
        <v>0</v>
      </c>
      <c r="S389" s="250">
        <f t="shared" si="103"/>
        <v>0</v>
      </c>
      <c r="T389" s="901">
        <f t="shared" si="104"/>
        <v>0</v>
      </c>
      <c r="U389" s="2961">
        <f t="shared" si="98"/>
        <v>0</v>
      </c>
      <c r="V389" s="2961">
        <f t="shared" si="99"/>
        <v>0</v>
      </c>
      <c r="W389" s="998"/>
      <c r="X389" s="2961">
        <f t="shared" si="100"/>
        <v>0</v>
      </c>
      <c r="Y389" s="2961">
        <f t="shared" si="101"/>
        <v>0</v>
      </c>
      <c r="Z389" s="998"/>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1</v>
      </c>
      <c r="R390" s="597">
        <f t="shared" si="102"/>
        <v>0</v>
      </c>
      <c r="S390" s="250">
        <f t="shared" si="103"/>
        <v>0</v>
      </c>
      <c r="T390" s="901">
        <f t="shared" si="104"/>
        <v>0</v>
      </c>
      <c r="U390" s="2961">
        <f t="shared" si="98"/>
        <v>0</v>
      </c>
      <c r="V390" s="2961">
        <f t="shared" si="99"/>
        <v>0</v>
      </c>
      <c r="W390" s="998"/>
      <c r="X390" s="2961">
        <f t="shared" si="100"/>
        <v>0</v>
      </c>
      <c r="Y390" s="2961">
        <f t="shared" si="101"/>
        <v>0</v>
      </c>
      <c r="Z390" s="998"/>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1</v>
      </c>
      <c r="R391" s="597">
        <f t="shared" si="102"/>
        <v>0</v>
      </c>
      <c r="S391" s="250">
        <f t="shared" si="103"/>
        <v>0</v>
      </c>
      <c r="T391" s="901">
        <f t="shared" si="104"/>
        <v>0</v>
      </c>
      <c r="U391" s="2961">
        <f t="shared" si="98"/>
        <v>0</v>
      </c>
      <c r="V391" s="2961">
        <f t="shared" si="99"/>
        <v>0</v>
      </c>
      <c r="W391" s="998"/>
      <c r="X391" s="2961">
        <f t="shared" si="100"/>
        <v>0</v>
      </c>
      <c r="Y391" s="2961">
        <f t="shared" si="101"/>
        <v>0</v>
      </c>
      <c r="Z391" s="998"/>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1</v>
      </c>
      <c r="R392" s="597">
        <f t="shared" si="102"/>
        <v>0</v>
      </c>
      <c r="S392" s="250">
        <f t="shared" si="103"/>
        <v>0</v>
      </c>
      <c r="T392" s="901">
        <f t="shared" si="104"/>
        <v>0</v>
      </c>
      <c r="U392" s="2961">
        <f t="shared" si="98"/>
        <v>0</v>
      </c>
      <c r="V392" s="2961">
        <f t="shared" si="99"/>
        <v>0</v>
      </c>
      <c r="W392" s="998"/>
      <c r="X392" s="2961">
        <f t="shared" si="100"/>
        <v>0</v>
      </c>
      <c r="Y392" s="2961">
        <f t="shared" si="101"/>
        <v>0</v>
      </c>
      <c r="Z392" s="998"/>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1</v>
      </c>
      <c r="R393" s="597">
        <f t="shared" si="102"/>
        <v>0</v>
      </c>
      <c r="S393" s="250">
        <f t="shared" si="103"/>
        <v>0</v>
      </c>
      <c r="T393" s="901">
        <f t="shared" si="104"/>
        <v>0</v>
      </c>
      <c r="U393" s="2961">
        <f t="shared" si="98"/>
        <v>0</v>
      </c>
      <c r="V393" s="2961">
        <f t="shared" si="99"/>
        <v>0</v>
      </c>
      <c r="W393" s="998"/>
      <c r="X393" s="2961">
        <f t="shared" si="100"/>
        <v>0</v>
      </c>
      <c r="Y393" s="2961">
        <f t="shared" si="101"/>
        <v>0</v>
      </c>
      <c r="Z393" s="998"/>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1</v>
      </c>
      <c r="R394" s="597">
        <f t="shared" si="102"/>
        <v>0</v>
      </c>
      <c r="S394" s="250">
        <f t="shared" si="103"/>
        <v>0</v>
      </c>
      <c r="T394" s="901">
        <f t="shared" si="104"/>
        <v>0</v>
      </c>
      <c r="U394" s="2961">
        <f t="shared" si="98"/>
        <v>0</v>
      </c>
      <c r="V394" s="2961">
        <f t="shared" si="99"/>
        <v>0</v>
      </c>
      <c r="W394" s="998"/>
      <c r="X394" s="2961">
        <f t="shared" si="100"/>
        <v>0</v>
      </c>
      <c r="Y394" s="2961">
        <f t="shared" si="101"/>
        <v>0</v>
      </c>
      <c r="Z394" s="998"/>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1</v>
      </c>
      <c r="R395" s="597">
        <f t="shared" si="102"/>
        <v>0</v>
      </c>
      <c r="S395" s="250">
        <f t="shared" si="103"/>
        <v>0</v>
      </c>
      <c r="T395" s="901">
        <f t="shared" si="104"/>
        <v>0</v>
      </c>
      <c r="U395" s="2961">
        <f t="shared" si="98"/>
        <v>0</v>
      </c>
      <c r="V395" s="2961">
        <f t="shared" si="99"/>
        <v>0</v>
      </c>
      <c r="W395" s="998"/>
      <c r="X395" s="2961">
        <f t="shared" si="100"/>
        <v>0</v>
      </c>
      <c r="Y395" s="2961">
        <f t="shared" si="101"/>
        <v>0</v>
      </c>
      <c r="Z395" s="998"/>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1</v>
      </c>
      <c r="R396" s="597">
        <f t="shared" si="102"/>
        <v>0</v>
      </c>
      <c r="S396" s="250">
        <f t="shared" si="103"/>
        <v>0</v>
      </c>
      <c r="T396" s="901">
        <f t="shared" si="104"/>
        <v>0</v>
      </c>
      <c r="U396" s="2961">
        <f t="shared" si="98"/>
        <v>0</v>
      </c>
      <c r="V396" s="2961">
        <f t="shared" si="99"/>
        <v>0</v>
      </c>
      <c r="W396" s="998"/>
      <c r="X396" s="2961">
        <f t="shared" si="100"/>
        <v>0</v>
      </c>
      <c r="Y396" s="2961">
        <f t="shared" si="101"/>
        <v>0</v>
      </c>
      <c r="Z396" s="998"/>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1</v>
      </c>
      <c r="R397" s="597">
        <f t="shared" si="102"/>
        <v>0</v>
      </c>
      <c r="S397" s="250">
        <f t="shared" si="103"/>
        <v>0</v>
      </c>
      <c r="T397" s="901">
        <f t="shared" si="104"/>
        <v>0</v>
      </c>
      <c r="U397" s="2961">
        <f t="shared" si="98"/>
        <v>0</v>
      </c>
      <c r="V397" s="2961">
        <f t="shared" si="99"/>
        <v>0</v>
      </c>
      <c r="W397" s="998"/>
      <c r="X397" s="2961">
        <f t="shared" si="100"/>
        <v>0</v>
      </c>
      <c r="Y397" s="2961">
        <f t="shared" si="101"/>
        <v>0</v>
      </c>
      <c r="Z397" s="998"/>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1</v>
      </c>
      <c r="R398" s="597">
        <f t="shared" si="102"/>
        <v>0</v>
      </c>
      <c r="S398" s="250">
        <f t="shared" si="103"/>
        <v>0</v>
      </c>
      <c r="T398" s="901">
        <f t="shared" si="104"/>
        <v>0</v>
      </c>
      <c r="U398" s="2961">
        <f t="shared" si="98"/>
        <v>0</v>
      </c>
      <c r="V398" s="2961">
        <f t="shared" si="99"/>
        <v>0</v>
      </c>
      <c r="W398" s="998"/>
      <c r="X398" s="2961">
        <f t="shared" si="100"/>
        <v>0</v>
      </c>
      <c r="Y398" s="2961">
        <f t="shared" si="101"/>
        <v>0</v>
      </c>
      <c r="Z398" s="998"/>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1</v>
      </c>
      <c r="R399" s="597">
        <f t="shared" si="102"/>
        <v>0</v>
      </c>
      <c r="S399" s="250">
        <f t="shared" si="103"/>
        <v>0</v>
      </c>
      <c r="T399" s="901">
        <f t="shared" si="104"/>
        <v>0</v>
      </c>
      <c r="U399" s="2961">
        <f t="shared" si="98"/>
        <v>0</v>
      </c>
      <c r="V399" s="2961">
        <f t="shared" si="99"/>
        <v>0</v>
      </c>
      <c r="W399" s="998"/>
      <c r="X399" s="2961">
        <f t="shared" si="100"/>
        <v>0</v>
      </c>
      <c r="Y399" s="2961">
        <f t="shared" si="101"/>
        <v>0</v>
      </c>
      <c r="Z399" s="998"/>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1</v>
      </c>
      <c r="R400" s="597">
        <f t="shared" si="102"/>
        <v>0</v>
      </c>
      <c r="S400" s="250">
        <f t="shared" si="103"/>
        <v>0</v>
      </c>
      <c r="T400" s="901">
        <f t="shared" si="104"/>
        <v>0</v>
      </c>
      <c r="U400" s="2961">
        <f t="shared" si="98"/>
        <v>0</v>
      </c>
      <c r="V400" s="2961">
        <f t="shared" si="99"/>
        <v>0</v>
      </c>
      <c r="W400" s="998"/>
      <c r="X400" s="2961">
        <f t="shared" si="100"/>
        <v>0</v>
      </c>
      <c r="Y400" s="2961">
        <f t="shared" si="101"/>
        <v>0</v>
      </c>
      <c r="Z400" s="998"/>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1</v>
      </c>
      <c r="R401" s="597">
        <f t="shared" si="102"/>
        <v>0</v>
      </c>
      <c r="S401" s="250">
        <f t="shared" si="103"/>
        <v>0</v>
      </c>
      <c r="T401" s="901">
        <f t="shared" si="104"/>
        <v>0</v>
      </c>
      <c r="U401" s="2961">
        <f t="shared" si="98"/>
        <v>0</v>
      </c>
      <c r="V401" s="2961">
        <f t="shared" si="99"/>
        <v>0</v>
      </c>
      <c r="W401" s="998"/>
      <c r="X401" s="2961">
        <f t="shared" si="100"/>
        <v>0</v>
      </c>
      <c r="Y401" s="2961">
        <f t="shared" si="101"/>
        <v>0</v>
      </c>
      <c r="Z401" s="998"/>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1</v>
      </c>
      <c r="R402" s="597">
        <f t="shared" si="102"/>
        <v>0</v>
      </c>
      <c r="S402" s="250">
        <f t="shared" si="103"/>
        <v>0</v>
      </c>
      <c r="T402" s="901">
        <f t="shared" si="104"/>
        <v>0</v>
      </c>
      <c r="U402" s="2961">
        <f t="shared" si="98"/>
        <v>0</v>
      </c>
      <c r="V402" s="2961">
        <f t="shared" si="99"/>
        <v>0</v>
      </c>
      <c r="W402" s="998"/>
      <c r="X402" s="2961">
        <f t="shared" si="100"/>
        <v>0</v>
      </c>
      <c r="Y402" s="2961">
        <f t="shared" si="101"/>
        <v>0</v>
      </c>
      <c r="Z402" s="998"/>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1</v>
      </c>
      <c r="R403" s="597">
        <f t="shared" si="102"/>
        <v>0</v>
      </c>
      <c r="S403" s="250">
        <f t="shared" si="103"/>
        <v>0</v>
      </c>
      <c r="T403" s="901">
        <f t="shared" si="104"/>
        <v>0</v>
      </c>
      <c r="U403" s="2961">
        <f t="shared" si="98"/>
        <v>0</v>
      </c>
      <c r="V403" s="2961">
        <f t="shared" si="99"/>
        <v>0</v>
      </c>
      <c r="W403" s="998"/>
      <c r="X403" s="2961">
        <f t="shared" si="100"/>
        <v>0</v>
      </c>
      <c r="Y403" s="2961">
        <f t="shared" si="101"/>
        <v>0</v>
      </c>
      <c r="Z403" s="998"/>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1</v>
      </c>
      <c r="R404" s="597">
        <f t="shared" si="102"/>
        <v>0</v>
      </c>
      <c r="S404" s="250">
        <f t="shared" si="103"/>
        <v>0</v>
      </c>
      <c r="T404" s="901">
        <f t="shared" si="104"/>
        <v>0</v>
      </c>
      <c r="U404" s="2961">
        <f t="shared" si="98"/>
        <v>0</v>
      </c>
      <c r="V404" s="2961">
        <f t="shared" si="99"/>
        <v>0</v>
      </c>
      <c r="W404" s="998"/>
      <c r="X404" s="2961">
        <f t="shared" si="100"/>
        <v>0</v>
      </c>
      <c r="Y404" s="2961">
        <f t="shared" si="101"/>
        <v>0</v>
      </c>
      <c r="Z404" s="998"/>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1</v>
      </c>
      <c r="R405" s="597">
        <f t="shared" si="102"/>
        <v>0</v>
      </c>
      <c r="S405" s="250">
        <f t="shared" si="103"/>
        <v>0</v>
      </c>
      <c r="T405" s="901">
        <f t="shared" si="104"/>
        <v>0</v>
      </c>
      <c r="U405" s="2961">
        <f t="shared" si="98"/>
        <v>0</v>
      </c>
      <c r="V405" s="2961">
        <f t="shared" si="99"/>
        <v>0</v>
      </c>
      <c r="W405" s="998"/>
      <c r="X405" s="2961">
        <f t="shared" si="100"/>
        <v>0</v>
      </c>
      <c r="Y405" s="2961">
        <f t="shared" si="101"/>
        <v>0</v>
      </c>
      <c r="Z405" s="998"/>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1</v>
      </c>
      <c r="R406" s="597">
        <f t="shared" si="102"/>
        <v>0</v>
      </c>
      <c r="S406" s="250">
        <f t="shared" si="103"/>
        <v>0</v>
      </c>
      <c r="T406" s="901">
        <f t="shared" si="104"/>
        <v>0</v>
      </c>
      <c r="U406" s="2961">
        <f t="shared" si="98"/>
        <v>0</v>
      </c>
      <c r="V406" s="2961">
        <f t="shared" si="99"/>
        <v>0</v>
      </c>
      <c r="W406" s="998"/>
      <c r="X406" s="2961">
        <f t="shared" si="100"/>
        <v>0</v>
      </c>
      <c r="Y406" s="2961">
        <f t="shared" si="101"/>
        <v>0</v>
      </c>
      <c r="Z406" s="998"/>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1</v>
      </c>
      <c r="R407" s="597">
        <f t="shared" si="102"/>
        <v>0</v>
      </c>
      <c r="S407" s="250">
        <f t="shared" si="103"/>
        <v>0</v>
      </c>
      <c r="T407" s="901">
        <f t="shared" si="104"/>
        <v>0</v>
      </c>
      <c r="U407" s="2961">
        <f t="shared" si="98"/>
        <v>0</v>
      </c>
      <c r="V407" s="2961">
        <f t="shared" si="99"/>
        <v>0</v>
      </c>
      <c r="W407" s="998"/>
      <c r="X407" s="2961">
        <f t="shared" si="100"/>
        <v>0</v>
      </c>
      <c r="Y407" s="2961">
        <f t="shared" si="101"/>
        <v>0</v>
      </c>
      <c r="Z407" s="998"/>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1</v>
      </c>
      <c r="R408" s="597">
        <f t="shared" si="102"/>
        <v>0</v>
      </c>
      <c r="S408" s="250">
        <f t="shared" si="103"/>
        <v>0</v>
      </c>
      <c r="T408" s="901">
        <f t="shared" si="104"/>
        <v>0</v>
      </c>
      <c r="U408" s="2961">
        <f t="shared" si="98"/>
        <v>0</v>
      </c>
      <c r="V408" s="2961">
        <f t="shared" si="99"/>
        <v>0</v>
      </c>
      <c r="W408" s="998"/>
      <c r="X408" s="2961">
        <f t="shared" si="100"/>
        <v>0</v>
      </c>
      <c r="Y408" s="2961">
        <f t="shared" si="101"/>
        <v>0</v>
      </c>
      <c r="Z408" s="998"/>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1</v>
      </c>
      <c r="R409" s="597">
        <f t="shared" si="102"/>
        <v>0</v>
      </c>
      <c r="S409" s="250">
        <f t="shared" si="103"/>
        <v>0</v>
      </c>
      <c r="T409" s="901">
        <f t="shared" si="104"/>
        <v>0</v>
      </c>
      <c r="U409" s="2961">
        <f t="shared" si="98"/>
        <v>0</v>
      </c>
      <c r="V409" s="2961">
        <f t="shared" si="99"/>
        <v>0</v>
      </c>
      <c r="W409" s="998"/>
      <c r="X409" s="2961">
        <f t="shared" si="100"/>
        <v>0</v>
      </c>
      <c r="Y409" s="2961">
        <f t="shared" si="101"/>
        <v>0</v>
      </c>
      <c r="Z409" s="998"/>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1</v>
      </c>
      <c r="R410" s="597">
        <f t="shared" si="102"/>
        <v>0</v>
      </c>
      <c r="S410" s="250">
        <f t="shared" si="103"/>
        <v>0</v>
      </c>
      <c r="T410" s="901">
        <f t="shared" si="104"/>
        <v>0</v>
      </c>
      <c r="U410" s="2961">
        <f t="shared" si="98"/>
        <v>0</v>
      </c>
      <c r="V410" s="2961">
        <f t="shared" si="99"/>
        <v>0</v>
      </c>
      <c r="W410" s="998"/>
      <c r="X410" s="2961">
        <f t="shared" si="100"/>
        <v>0</v>
      </c>
      <c r="Y410" s="2961">
        <f t="shared" si="101"/>
        <v>0</v>
      </c>
      <c r="Z410" s="998"/>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1</v>
      </c>
      <c r="R411" s="597">
        <f t="shared" si="102"/>
        <v>0</v>
      </c>
      <c r="S411" s="250">
        <f t="shared" si="103"/>
        <v>0</v>
      </c>
      <c r="T411" s="901">
        <f t="shared" si="104"/>
        <v>0</v>
      </c>
      <c r="U411" s="2961">
        <f t="shared" si="98"/>
        <v>0</v>
      </c>
      <c r="V411" s="2961">
        <f t="shared" si="99"/>
        <v>0</v>
      </c>
      <c r="W411" s="998"/>
      <c r="X411" s="2961">
        <f t="shared" si="100"/>
        <v>0</v>
      </c>
      <c r="Y411" s="2961">
        <f t="shared" si="101"/>
        <v>0</v>
      </c>
      <c r="Z411" s="998"/>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1</v>
      </c>
      <c r="R412" s="597">
        <f t="shared" si="102"/>
        <v>0</v>
      </c>
      <c r="S412" s="250">
        <f t="shared" si="103"/>
        <v>0</v>
      </c>
      <c r="T412" s="901">
        <f t="shared" si="104"/>
        <v>0</v>
      </c>
      <c r="U412" s="2961">
        <f t="shared" ref="U412:U475" si="113">ROUND(W412*B412,0)</f>
        <v>0</v>
      </c>
      <c r="V412" s="2961">
        <f t="shared" ref="V412:V475" si="114">ROUND(W412*B412/10000,0)</f>
        <v>0</v>
      </c>
      <c r="W412" s="998"/>
      <c r="X412" s="2961">
        <f t="shared" ref="X412:X475" si="115">ROUND(Z412*B412,0)</f>
        <v>0</v>
      </c>
      <c r="Y412" s="2961">
        <f t="shared" ref="Y412:Y475" si="116">ROUND(Z412*B412/10000,0)</f>
        <v>0</v>
      </c>
      <c r="Z412" s="998"/>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1</v>
      </c>
      <c r="R413" s="597">
        <f t="shared" ref="R413:R476" si="117">IF(B413="",0,ROUND($R$27*C413*E413*G413*I413*K413*M413*O413*Q413,0))</f>
        <v>0</v>
      </c>
      <c r="S413" s="250">
        <f t="shared" ref="S413:S476" si="118">ROUND(R413*B413,0)</f>
        <v>0</v>
      </c>
      <c r="T413" s="901">
        <f t="shared" ref="T413:T476" si="119">ROUND(R413*B413/10000,0)</f>
        <v>0</v>
      </c>
      <c r="U413" s="2961">
        <f t="shared" si="113"/>
        <v>0</v>
      </c>
      <c r="V413" s="2961">
        <f t="shared" si="114"/>
        <v>0</v>
      </c>
      <c r="W413" s="998"/>
      <c r="X413" s="2961">
        <f t="shared" si="115"/>
        <v>0</v>
      </c>
      <c r="Y413" s="2961">
        <f t="shared" si="116"/>
        <v>0</v>
      </c>
      <c r="Z413" s="998"/>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1</v>
      </c>
      <c r="R414" s="597">
        <f t="shared" si="117"/>
        <v>0</v>
      </c>
      <c r="S414" s="250">
        <f t="shared" si="118"/>
        <v>0</v>
      </c>
      <c r="T414" s="901">
        <f t="shared" si="119"/>
        <v>0</v>
      </c>
      <c r="U414" s="2961">
        <f t="shared" si="113"/>
        <v>0</v>
      </c>
      <c r="V414" s="2961">
        <f t="shared" si="114"/>
        <v>0</v>
      </c>
      <c r="W414" s="998"/>
      <c r="X414" s="2961">
        <f t="shared" si="115"/>
        <v>0</v>
      </c>
      <c r="Y414" s="2961">
        <f t="shared" si="116"/>
        <v>0</v>
      </c>
      <c r="Z414" s="998"/>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1</v>
      </c>
      <c r="R415" s="597">
        <f t="shared" si="117"/>
        <v>0</v>
      </c>
      <c r="S415" s="250">
        <f t="shared" si="118"/>
        <v>0</v>
      </c>
      <c r="T415" s="901">
        <f t="shared" si="119"/>
        <v>0</v>
      </c>
      <c r="U415" s="2961">
        <f t="shared" si="113"/>
        <v>0</v>
      </c>
      <c r="V415" s="2961">
        <f t="shared" si="114"/>
        <v>0</v>
      </c>
      <c r="W415" s="998"/>
      <c r="X415" s="2961">
        <f t="shared" si="115"/>
        <v>0</v>
      </c>
      <c r="Y415" s="2961">
        <f t="shared" si="116"/>
        <v>0</v>
      </c>
      <c r="Z415" s="998"/>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1</v>
      </c>
      <c r="R416" s="597">
        <f t="shared" si="117"/>
        <v>0</v>
      </c>
      <c r="S416" s="250">
        <f t="shared" si="118"/>
        <v>0</v>
      </c>
      <c r="T416" s="901">
        <f t="shared" si="119"/>
        <v>0</v>
      </c>
      <c r="U416" s="2961">
        <f t="shared" si="113"/>
        <v>0</v>
      </c>
      <c r="V416" s="2961">
        <f t="shared" si="114"/>
        <v>0</v>
      </c>
      <c r="W416" s="998"/>
      <c r="X416" s="2961">
        <f t="shared" si="115"/>
        <v>0</v>
      </c>
      <c r="Y416" s="2961">
        <f t="shared" si="116"/>
        <v>0</v>
      </c>
      <c r="Z416" s="998"/>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1</v>
      </c>
      <c r="R417" s="597">
        <f t="shared" si="117"/>
        <v>0</v>
      </c>
      <c r="S417" s="250">
        <f t="shared" si="118"/>
        <v>0</v>
      </c>
      <c r="T417" s="901">
        <f t="shared" si="119"/>
        <v>0</v>
      </c>
      <c r="U417" s="2961">
        <f t="shared" si="113"/>
        <v>0</v>
      </c>
      <c r="V417" s="2961">
        <f t="shared" si="114"/>
        <v>0</v>
      </c>
      <c r="W417" s="998"/>
      <c r="X417" s="2961">
        <f t="shared" si="115"/>
        <v>0</v>
      </c>
      <c r="Y417" s="2961">
        <f t="shared" si="116"/>
        <v>0</v>
      </c>
      <c r="Z417" s="998"/>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1</v>
      </c>
      <c r="R418" s="597">
        <f t="shared" si="117"/>
        <v>0</v>
      </c>
      <c r="S418" s="250">
        <f t="shared" si="118"/>
        <v>0</v>
      </c>
      <c r="T418" s="901">
        <f t="shared" si="119"/>
        <v>0</v>
      </c>
      <c r="U418" s="2961">
        <f t="shared" si="113"/>
        <v>0</v>
      </c>
      <c r="V418" s="2961">
        <f t="shared" si="114"/>
        <v>0</v>
      </c>
      <c r="W418" s="998"/>
      <c r="X418" s="2961">
        <f t="shared" si="115"/>
        <v>0</v>
      </c>
      <c r="Y418" s="2961">
        <f t="shared" si="116"/>
        <v>0</v>
      </c>
      <c r="Z418" s="998"/>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1</v>
      </c>
      <c r="R419" s="597">
        <f t="shared" si="117"/>
        <v>0</v>
      </c>
      <c r="S419" s="250">
        <f t="shared" si="118"/>
        <v>0</v>
      </c>
      <c r="T419" s="901">
        <f t="shared" si="119"/>
        <v>0</v>
      </c>
      <c r="U419" s="2961">
        <f t="shared" si="113"/>
        <v>0</v>
      </c>
      <c r="V419" s="2961">
        <f t="shared" si="114"/>
        <v>0</v>
      </c>
      <c r="W419" s="998"/>
      <c r="X419" s="2961">
        <f t="shared" si="115"/>
        <v>0</v>
      </c>
      <c r="Y419" s="2961">
        <f t="shared" si="116"/>
        <v>0</v>
      </c>
      <c r="Z419" s="998"/>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1</v>
      </c>
      <c r="R420" s="597">
        <f t="shared" si="117"/>
        <v>0</v>
      </c>
      <c r="S420" s="250">
        <f t="shared" si="118"/>
        <v>0</v>
      </c>
      <c r="T420" s="901">
        <f t="shared" si="119"/>
        <v>0</v>
      </c>
      <c r="U420" s="2961">
        <f t="shared" si="113"/>
        <v>0</v>
      </c>
      <c r="V420" s="2961">
        <f t="shared" si="114"/>
        <v>0</v>
      </c>
      <c r="W420" s="998"/>
      <c r="X420" s="2961">
        <f t="shared" si="115"/>
        <v>0</v>
      </c>
      <c r="Y420" s="2961">
        <f t="shared" si="116"/>
        <v>0</v>
      </c>
      <c r="Z420" s="998"/>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1</v>
      </c>
      <c r="R421" s="597">
        <f t="shared" si="117"/>
        <v>0</v>
      </c>
      <c r="S421" s="250">
        <f t="shared" si="118"/>
        <v>0</v>
      </c>
      <c r="T421" s="901">
        <f t="shared" si="119"/>
        <v>0</v>
      </c>
      <c r="U421" s="2961">
        <f t="shared" si="113"/>
        <v>0</v>
      </c>
      <c r="V421" s="2961">
        <f t="shared" si="114"/>
        <v>0</v>
      </c>
      <c r="W421" s="998"/>
      <c r="X421" s="2961">
        <f t="shared" si="115"/>
        <v>0</v>
      </c>
      <c r="Y421" s="2961">
        <f t="shared" si="116"/>
        <v>0</v>
      </c>
      <c r="Z421" s="998"/>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1</v>
      </c>
      <c r="R422" s="597">
        <f t="shared" si="117"/>
        <v>0</v>
      </c>
      <c r="S422" s="250">
        <f t="shared" si="118"/>
        <v>0</v>
      </c>
      <c r="T422" s="901">
        <f t="shared" si="119"/>
        <v>0</v>
      </c>
      <c r="U422" s="2961">
        <f t="shared" si="113"/>
        <v>0</v>
      </c>
      <c r="V422" s="2961">
        <f t="shared" si="114"/>
        <v>0</v>
      </c>
      <c r="W422" s="998"/>
      <c r="X422" s="2961">
        <f t="shared" si="115"/>
        <v>0</v>
      </c>
      <c r="Y422" s="2961">
        <f t="shared" si="116"/>
        <v>0</v>
      </c>
      <c r="Z422" s="998"/>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1</v>
      </c>
      <c r="R423" s="597">
        <f t="shared" si="117"/>
        <v>0</v>
      </c>
      <c r="S423" s="250">
        <f t="shared" si="118"/>
        <v>0</v>
      </c>
      <c r="T423" s="901">
        <f t="shared" si="119"/>
        <v>0</v>
      </c>
      <c r="U423" s="2961">
        <f t="shared" si="113"/>
        <v>0</v>
      </c>
      <c r="V423" s="2961">
        <f t="shared" si="114"/>
        <v>0</v>
      </c>
      <c r="W423" s="998"/>
      <c r="X423" s="2961">
        <f t="shared" si="115"/>
        <v>0</v>
      </c>
      <c r="Y423" s="2961">
        <f t="shared" si="116"/>
        <v>0</v>
      </c>
      <c r="Z423" s="998"/>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1</v>
      </c>
      <c r="R424" s="597">
        <f t="shared" si="117"/>
        <v>0</v>
      </c>
      <c r="S424" s="250">
        <f t="shared" si="118"/>
        <v>0</v>
      </c>
      <c r="T424" s="901">
        <f t="shared" si="119"/>
        <v>0</v>
      </c>
      <c r="U424" s="2961">
        <f t="shared" si="113"/>
        <v>0</v>
      </c>
      <c r="V424" s="2961">
        <f t="shared" si="114"/>
        <v>0</v>
      </c>
      <c r="W424" s="998"/>
      <c r="X424" s="2961">
        <f t="shared" si="115"/>
        <v>0</v>
      </c>
      <c r="Y424" s="2961">
        <f t="shared" si="116"/>
        <v>0</v>
      </c>
      <c r="Z424" s="998"/>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1</v>
      </c>
      <c r="R425" s="597">
        <f t="shared" si="117"/>
        <v>0</v>
      </c>
      <c r="S425" s="250">
        <f t="shared" si="118"/>
        <v>0</v>
      </c>
      <c r="T425" s="901">
        <f t="shared" si="119"/>
        <v>0</v>
      </c>
      <c r="U425" s="2961">
        <f t="shared" si="113"/>
        <v>0</v>
      </c>
      <c r="V425" s="2961">
        <f t="shared" si="114"/>
        <v>0</v>
      </c>
      <c r="W425" s="998"/>
      <c r="X425" s="2961">
        <f t="shared" si="115"/>
        <v>0</v>
      </c>
      <c r="Y425" s="2961">
        <f t="shared" si="116"/>
        <v>0</v>
      </c>
      <c r="Z425" s="998"/>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1</v>
      </c>
      <c r="R426" s="597">
        <f t="shared" si="117"/>
        <v>0</v>
      </c>
      <c r="S426" s="250">
        <f t="shared" si="118"/>
        <v>0</v>
      </c>
      <c r="T426" s="901">
        <f t="shared" si="119"/>
        <v>0</v>
      </c>
      <c r="U426" s="2961">
        <f t="shared" si="113"/>
        <v>0</v>
      </c>
      <c r="V426" s="2961">
        <f t="shared" si="114"/>
        <v>0</v>
      </c>
      <c r="W426" s="998"/>
      <c r="X426" s="2961">
        <f t="shared" si="115"/>
        <v>0</v>
      </c>
      <c r="Y426" s="2961">
        <f t="shared" si="116"/>
        <v>0</v>
      </c>
      <c r="Z426" s="998"/>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1</v>
      </c>
      <c r="R427" s="597">
        <f t="shared" si="117"/>
        <v>0</v>
      </c>
      <c r="S427" s="250">
        <f t="shared" si="118"/>
        <v>0</v>
      </c>
      <c r="T427" s="901">
        <f t="shared" si="119"/>
        <v>0</v>
      </c>
      <c r="U427" s="2961">
        <f t="shared" si="113"/>
        <v>0</v>
      </c>
      <c r="V427" s="2961">
        <f t="shared" si="114"/>
        <v>0</v>
      </c>
      <c r="W427" s="998"/>
      <c r="X427" s="2961">
        <f t="shared" si="115"/>
        <v>0</v>
      </c>
      <c r="Y427" s="2961">
        <f t="shared" si="116"/>
        <v>0</v>
      </c>
      <c r="Z427" s="998"/>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1</v>
      </c>
      <c r="R428" s="597">
        <f t="shared" si="117"/>
        <v>0</v>
      </c>
      <c r="S428" s="250">
        <f t="shared" si="118"/>
        <v>0</v>
      </c>
      <c r="T428" s="901">
        <f t="shared" si="119"/>
        <v>0</v>
      </c>
      <c r="U428" s="2961">
        <f t="shared" si="113"/>
        <v>0</v>
      </c>
      <c r="V428" s="2961">
        <f t="shared" si="114"/>
        <v>0</v>
      </c>
      <c r="W428" s="998"/>
      <c r="X428" s="2961">
        <f t="shared" si="115"/>
        <v>0</v>
      </c>
      <c r="Y428" s="2961">
        <f t="shared" si="116"/>
        <v>0</v>
      </c>
      <c r="Z428" s="998"/>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1</v>
      </c>
      <c r="R429" s="597">
        <f t="shared" si="117"/>
        <v>0</v>
      </c>
      <c r="S429" s="250">
        <f t="shared" si="118"/>
        <v>0</v>
      </c>
      <c r="T429" s="901">
        <f t="shared" si="119"/>
        <v>0</v>
      </c>
      <c r="U429" s="2961">
        <f t="shared" si="113"/>
        <v>0</v>
      </c>
      <c r="V429" s="2961">
        <f t="shared" si="114"/>
        <v>0</v>
      </c>
      <c r="W429" s="998"/>
      <c r="X429" s="2961">
        <f t="shared" si="115"/>
        <v>0</v>
      </c>
      <c r="Y429" s="2961">
        <f t="shared" si="116"/>
        <v>0</v>
      </c>
      <c r="Z429" s="998"/>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1</v>
      </c>
      <c r="R430" s="597">
        <f t="shared" si="117"/>
        <v>0</v>
      </c>
      <c r="S430" s="250">
        <f t="shared" si="118"/>
        <v>0</v>
      </c>
      <c r="T430" s="901">
        <f t="shared" si="119"/>
        <v>0</v>
      </c>
      <c r="U430" s="2961">
        <f t="shared" si="113"/>
        <v>0</v>
      </c>
      <c r="V430" s="2961">
        <f t="shared" si="114"/>
        <v>0</v>
      </c>
      <c r="W430" s="998"/>
      <c r="X430" s="2961">
        <f t="shared" si="115"/>
        <v>0</v>
      </c>
      <c r="Y430" s="2961">
        <f t="shared" si="116"/>
        <v>0</v>
      </c>
      <c r="Z430" s="998"/>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1</v>
      </c>
      <c r="R431" s="597">
        <f t="shared" si="117"/>
        <v>0</v>
      </c>
      <c r="S431" s="250">
        <f t="shared" si="118"/>
        <v>0</v>
      </c>
      <c r="T431" s="901">
        <f t="shared" si="119"/>
        <v>0</v>
      </c>
      <c r="U431" s="2961">
        <f t="shared" si="113"/>
        <v>0</v>
      </c>
      <c r="V431" s="2961">
        <f t="shared" si="114"/>
        <v>0</v>
      </c>
      <c r="W431" s="998"/>
      <c r="X431" s="2961">
        <f t="shared" si="115"/>
        <v>0</v>
      </c>
      <c r="Y431" s="2961">
        <f t="shared" si="116"/>
        <v>0</v>
      </c>
      <c r="Z431" s="998"/>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1</v>
      </c>
      <c r="R432" s="597">
        <f t="shared" si="117"/>
        <v>0</v>
      </c>
      <c r="S432" s="250">
        <f t="shared" si="118"/>
        <v>0</v>
      </c>
      <c r="T432" s="901">
        <f t="shared" si="119"/>
        <v>0</v>
      </c>
      <c r="U432" s="2961">
        <f t="shared" si="113"/>
        <v>0</v>
      </c>
      <c r="V432" s="2961">
        <f t="shared" si="114"/>
        <v>0</v>
      </c>
      <c r="W432" s="998"/>
      <c r="X432" s="2961">
        <f t="shared" si="115"/>
        <v>0</v>
      </c>
      <c r="Y432" s="2961">
        <f t="shared" si="116"/>
        <v>0</v>
      </c>
      <c r="Z432" s="998"/>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1</v>
      </c>
      <c r="R433" s="597">
        <f t="shared" si="117"/>
        <v>0</v>
      </c>
      <c r="S433" s="250">
        <f t="shared" si="118"/>
        <v>0</v>
      </c>
      <c r="T433" s="901">
        <f t="shared" si="119"/>
        <v>0</v>
      </c>
      <c r="U433" s="2961">
        <f t="shared" si="113"/>
        <v>0</v>
      </c>
      <c r="V433" s="2961">
        <f t="shared" si="114"/>
        <v>0</v>
      </c>
      <c r="W433" s="998"/>
      <c r="X433" s="2961">
        <f t="shared" si="115"/>
        <v>0</v>
      </c>
      <c r="Y433" s="2961">
        <f t="shared" si="116"/>
        <v>0</v>
      </c>
      <c r="Z433" s="998"/>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1</v>
      </c>
      <c r="R434" s="597">
        <f t="shared" si="117"/>
        <v>0</v>
      </c>
      <c r="S434" s="250">
        <f t="shared" si="118"/>
        <v>0</v>
      </c>
      <c r="T434" s="901">
        <f t="shared" si="119"/>
        <v>0</v>
      </c>
      <c r="U434" s="2961">
        <f t="shared" si="113"/>
        <v>0</v>
      </c>
      <c r="V434" s="2961">
        <f t="shared" si="114"/>
        <v>0</v>
      </c>
      <c r="W434" s="998"/>
      <c r="X434" s="2961">
        <f t="shared" si="115"/>
        <v>0</v>
      </c>
      <c r="Y434" s="2961">
        <f t="shared" si="116"/>
        <v>0</v>
      </c>
      <c r="Z434" s="998"/>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1</v>
      </c>
      <c r="R435" s="597">
        <f t="shared" si="117"/>
        <v>0</v>
      </c>
      <c r="S435" s="250">
        <f t="shared" si="118"/>
        <v>0</v>
      </c>
      <c r="T435" s="901">
        <f t="shared" si="119"/>
        <v>0</v>
      </c>
      <c r="U435" s="2961">
        <f t="shared" si="113"/>
        <v>0</v>
      </c>
      <c r="V435" s="2961">
        <f t="shared" si="114"/>
        <v>0</v>
      </c>
      <c r="W435" s="998"/>
      <c r="X435" s="2961">
        <f t="shared" si="115"/>
        <v>0</v>
      </c>
      <c r="Y435" s="2961">
        <f t="shared" si="116"/>
        <v>0</v>
      </c>
      <c r="Z435" s="998"/>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1</v>
      </c>
      <c r="R436" s="597">
        <f t="shared" si="117"/>
        <v>0</v>
      </c>
      <c r="S436" s="250">
        <f t="shared" si="118"/>
        <v>0</v>
      </c>
      <c r="T436" s="901">
        <f t="shared" si="119"/>
        <v>0</v>
      </c>
      <c r="U436" s="2961">
        <f t="shared" si="113"/>
        <v>0</v>
      </c>
      <c r="V436" s="2961">
        <f t="shared" si="114"/>
        <v>0</v>
      </c>
      <c r="W436" s="998"/>
      <c r="X436" s="2961">
        <f t="shared" si="115"/>
        <v>0</v>
      </c>
      <c r="Y436" s="2961">
        <f t="shared" si="116"/>
        <v>0</v>
      </c>
      <c r="Z436" s="998"/>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1</v>
      </c>
      <c r="R437" s="597">
        <f t="shared" si="117"/>
        <v>0</v>
      </c>
      <c r="S437" s="250">
        <f t="shared" si="118"/>
        <v>0</v>
      </c>
      <c r="T437" s="901">
        <f t="shared" si="119"/>
        <v>0</v>
      </c>
      <c r="U437" s="2961">
        <f t="shared" si="113"/>
        <v>0</v>
      </c>
      <c r="V437" s="2961">
        <f t="shared" si="114"/>
        <v>0</v>
      </c>
      <c r="W437" s="998"/>
      <c r="X437" s="2961">
        <f t="shared" si="115"/>
        <v>0</v>
      </c>
      <c r="Y437" s="2961">
        <f t="shared" si="116"/>
        <v>0</v>
      </c>
      <c r="Z437" s="998"/>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1</v>
      </c>
      <c r="R438" s="597">
        <f t="shared" si="117"/>
        <v>0</v>
      </c>
      <c r="S438" s="250">
        <f t="shared" si="118"/>
        <v>0</v>
      </c>
      <c r="T438" s="901">
        <f t="shared" si="119"/>
        <v>0</v>
      </c>
      <c r="U438" s="2961">
        <f t="shared" si="113"/>
        <v>0</v>
      </c>
      <c r="V438" s="2961">
        <f t="shared" si="114"/>
        <v>0</v>
      </c>
      <c r="W438" s="998"/>
      <c r="X438" s="2961">
        <f t="shared" si="115"/>
        <v>0</v>
      </c>
      <c r="Y438" s="2961">
        <f t="shared" si="116"/>
        <v>0</v>
      </c>
      <c r="Z438" s="998"/>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1</v>
      </c>
      <c r="R439" s="597">
        <f t="shared" si="117"/>
        <v>0</v>
      </c>
      <c r="S439" s="250">
        <f t="shared" si="118"/>
        <v>0</v>
      </c>
      <c r="T439" s="901">
        <f t="shared" si="119"/>
        <v>0</v>
      </c>
      <c r="U439" s="2961">
        <f t="shared" si="113"/>
        <v>0</v>
      </c>
      <c r="V439" s="2961">
        <f t="shared" si="114"/>
        <v>0</v>
      </c>
      <c r="W439" s="998"/>
      <c r="X439" s="2961">
        <f t="shared" si="115"/>
        <v>0</v>
      </c>
      <c r="Y439" s="2961">
        <f t="shared" si="116"/>
        <v>0</v>
      </c>
      <c r="Z439" s="998"/>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1</v>
      </c>
      <c r="R440" s="597">
        <f t="shared" si="117"/>
        <v>0</v>
      </c>
      <c r="S440" s="250">
        <f t="shared" si="118"/>
        <v>0</v>
      </c>
      <c r="T440" s="901">
        <f t="shared" si="119"/>
        <v>0</v>
      </c>
      <c r="U440" s="2961">
        <f t="shared" si="113"/>
        <v>0</v>
      </c>
      <c r="V440" s="2961">
        <f t="shared" si="114"/>
        <v>0</v>
      </c>
      <c r="W440" s="998"/>
      <c r="X440" s="2961">
        <f t="shared" si="115"/>
        <v>0</v>
      </c>
      <c r="Y440" s="2961">
        <f t="shared" si="116"/>
        <v>0</v>
      </c>
      <c r="Z440" s="998"/>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1</v>
      </c>
      <c r="R441" s="597">
        <f t="shared" si="117"/>
        <v>0</v>
      </c>
      <c r="S441" s="250">
        <f t="shared" si="118"/>
        <v>0</v>
      </c>
      <c r="T441" s="901">
        <f t="shared" si="119"/>
        <v>0</v>
      </c>
      <c r="U441" s="2961">
        <f t="shared" si="113"/>
        <v>0</v>
      </c>
      <c r="V441" s="2961">
        <f t="shared" si="114"/>
        <v>0</v>
      </c>
      <c r="W441" s="998"/>
      <c r="X441" s="2961">
        <f t="shared" si="115"/>
        <v>0</v>
      </c>
      <c r="Y441" s="2961">
        <f t="shared" si="116"/>
        <v>0</v>
      </c>
      <c r="Z441" s="998"/>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1</v>
      </c>
      <c r="R442" s="597">
        <f t="shared" si="117"/>
        <v>0</v>
      </c>
      <c r="S442" s="250">
        <f t="shared" si="118"/>
        <v>0</v>
      </c>
      <c r="T442" s="901">
        <f t="shared" si="119"/>
        <v>0</v>
      </c>
      <c r="U442" s="2961">
        <f t="shared" si="113"/>
        <v>0</v>
      </c>
      <c r="V442" s="2961">
        <f t="shared" si="114"/>
        <v>0</v>
      </c>
      <c r="W442" s="998"/>
      <c r="X442" s="2961">
        <f t="shared" si="115"/>
        <v>0</v>
      </c>
      <c r="Y442" s="2961">
        <f t="shared" si="116"/>
        <v>0</v>
      </c>
      <c r="Z442" s="998"/>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1</v>
      </c>
      <c r="R443" s="597">
        <f t="shared" si="117"/>
        <v>0</v>
      </c>
      <c r="S443" s="250">
        <f t="shared" si="118"/>
        <v>0</v>
      </c>
      <c r="T443" s="901">
        <f t="shared" si="119"/>
        <v>0</v>
      </c>
      <c r="U443" s="2961">
        <f t="shared" si="113"/>
        <v>0</v>
      </c>
      <c r="V443" s="2961">
        <f t="shared" si="114"/>
        <v>0</v>
      </c>
      <c r="W443" s="998"/>
      <c r="X443" s="2961">
        <f t="shared" si="115"/>
        <v>0</v>
      </c>
      <c r="Y443" s="2961">
        <f t="shared" si="116"/>
        <v>0</v>
      </c>
      <c r="Z443" s="998"/>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1</v>
      </c>
      <c r="R444" s="597">
        <f t="shared" si="117"/>
        <v>0</v>
      </c>
      <c r="S444" s="250">
        <f t="shared" si="118"/>
        <v>0</v>
      </c>
      <c r="T444" s="901">
        <f t="shared" si="119"/>
        <v>0</v>
      </c>
      <c r="U444" s="2961">
        <f t="shared" si="113"/>
        <v>0</v>
      </c>
      <c r="V444" s="2961">
        <f t="shared" si="114"/>
        <v>0</v>
      </c>
      <c r="W444" s="998"/>
      <c r="X444" s="2961">
        <f t="shared" si="115"/>
        <v>0</v>
      </c>
      <c r="Y444" s="2961">
        <f t="shared" si="116"/>
        <v>0</v>
      </c>
      <c r="Z444" s="998"/>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1</v>
      </c>
      <c r="R445" s="597">
        <f t="shared" si="117"/>
        <v>0</v>
      </c>
      <c r="S445" s="250">
        <f t="shared" si="118"/>
        <v>0</v>
      </c>
      <c r="T445" s="901">
        <f t="shared" si="119"/>
        <v>0</v>
      </c>
      <c r="U445" s="2961">
        <f t="shared" si="113"/>
        <v>0</v>
      </c>
      <c r="V445" s="2961">
        <f t="shared" si="114"/>
        <v>0</v>
      </c>
      <c r="W445" s="998"/>
      <c r="X445" s="2961">
        <f t="shared" si="115"/>
        <v>0</v>
      </c>
      <c r="Y445" s="2961">
        <f t="shared" si="116"/>
        <v>0</v>
      </c>
      <c r="Z445" s="998"/>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1</v>
      </c>
      <c r="R446" s="597">
        <f t="shared" si="117"/>
        <v>0</v>
      </c>
      <c r="S446" s="250">
        <f t="shared" si="118"/>
        <v>0</v>
      </c>
      <c r="T446" s="901">
        <f t="shared" si="119"/>
        <v>0</v>
      </c>
      <c r="U446" s="2961">
        <f t="shared" si="113"/>
        <v>0</v>
      </c>
      <c r="V446" s="2961">
        <f t="shared" si="114"/>
        <v>0</v>
      </c>
      <c r="W446" s="998"/>
      <c r="X446" s="2961">
        <f t="shared" si="115"/>
        <v>0</v>
      </c>
      <c r="Y446" s="2961">
        <f t="shared" si="116"/>
        <v>0</v>
      </c>
      <c r="Z446" s="998"/>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1</v>
      </c>
      <c r="R447" s="597">
        <f t="shared" si="117"/>
        <v>0</v>
      </c>
      <c r="S447" s="250">
        <f t="shared" si="118"/>
        <v>0</v>
      </c>
      <c r="T447" s="901">
        <f t="shared" si="119"/>
        <v>0</v>
      </c>
      <c r="U447" s="2961">
        <f t="shared" si="113"/>
        <v>0</v>
      </c>
      <c r="V447" s="2961">
        <f t="shared" si="114"/>
        <v>0</v>
      </c>
      <c r="W447" s="998"/>
      <c r="X447" s="2961">
        <f t="shared" si="115"/>
        <v>0</v>
      </c>
      <c r="Y447" s="2961">
        <f t="shared" si="116"/>
        <v>0</v>
      </c>
      <c r="Z447" s="998"/>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1</v>
      </c>
      <c r="R448" s="597">
        <f t="shared" si="117"/>
        <v>0</v>
      </c>
      <c r="S448" s="250">
        <f t="shared" si="118"/>
        <v>0</v>
      </c>
      <c r="T448" s="901">
        <f t="shared" si="119"/>
        <v>0</v>
      </c>
      <c r="U448" s="2961">
        <f t="shared" si="113"/>
        <v>0</v>
      </c>
      <c r="V448" s="2961">
        <f t="shared" si="114"/>
        <v>0</v>
      </c>
      <c r="W448" s="998"/>
      <c r="X448" s="2961">
        <f t="shared" si="115"/>
        <v>0</v>
      </c>
      <c r="Y448" s="2961">
        <f t="shared" si="116"/>
        <v>0</v>
      </c>
      <c r="Z448" s="998"/>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1</v>
      </c>
      <c r="R449" s="597">
        <f t="shared" si="117"/>
        <v>0</v>
      </c>
      <c r="S449" s="250">
        <f t="shared" si="118"/>
        <v>0</v>
      </c>
      <c r="T449" s="901">
        <f t="shared" si="119"/>
        <v>0</v>
      </c>
      <c r="U449" s="2961">
        <f t="shared" si="113"/>
        <v>0</v>
      </c>
      <c r="V449" s="2961">
        <f t="shared" si="114"/>
        <v>0</v>
      </c>
      <c r="W449" s="998"/>
      <c r="X449" s="2961">
        <f t="shared" si="115"/>
        <v>0</v>
      </c>
      <c r="Y449" s="2961">
        <f t="shared" si="116"/>
        <v>0</v>
      </c>
      <c r="Z449" s="998"/>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1</v>
      </c>
      <c r="R450" s="597">
        <f t="shared" si="117"/>
        <v>0</v>
      </c>
      <c r="S450" s="250">
        <f t="shared" si="118"/>
        <v>0</v>
      </c>
      <c r="T450" s="901">
        <f t="shared" si="119"/>
        <v>0</v>
      </c>
      <c r="U450" s="2961">
        <f t="shared" si="113"/>
        <v>0</v>
      </c>
      <c r="V450" s="2961">
        <f t="shared" si="114"/>
        <v>0</v>
      </c>
      <c r="W450" s="998"/>
      <c r="X450" s="2961">
        <f t="shared" si="115"/>
        <v>0</v>
      </c>
      <c r="Y450" s="2961">
        <f t="shared" si="116"/>
        <v>0</v>
      </c>
      <c r="Z450" s="998"/>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1</v>
      </c>
      <c r="R451" s="597">
        <f t="shared" si="117"/>
        <v>0</v>
      </c>
      <c r="S451" s="250">
        <f t="shared" si="118"/>
        <v>0</v>
      </c>
      <c r="T451" s="901">
        <f t="shared" si="119"/>
        <v>0</v>
      </c>
      <c r="U451" s="2961">
        <f t="shared" si="113"/>
        <v>0</v>
      </c>
      <c r="V451" s="2961">
        <f t="shared" si="114"/>
        <v>0</v>
      </c>
      <c r="W451" s="998"/>
      <c r="X451" s="2961">
        <f t="shared" si="115"/>
        <v>0</v>
      </c>
      <c r="Y451" s="2961">
        <f t="shared" si="116"/>
        <v>0</v>
      </c>
      <c r="Z451" s="998"/>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1</v>
      </c>
      <c r="R452" s="597">
        <f t="shared" si="117"/>
        <v>0</v>
      </c>
      <c r="S452" s="250">
        <f t="shared" si="118"/>
        <v>0</v>
      </c>
      <c r="T452" s="901">
        <f t="shared" si="119"/>
        <v>0</v>
      </c>
      <c r="U452" s="2961">
        <f t="shared" si="113"/>
        <v>0</v>
      </c>
      <c r="V452" s="2961">
        <f t="shared" si="114"/>
        <v>0</v>
      </c>
      <c r="W452" s="998"/>
      <c r="X452" s="2961">
        <f t="shared" si="115"/>
        <v>0</v>
      </c>
      <c r="Y452" s="2961">
        <f t="shared" si="116"/>
        <v>0</v>
      </c>
      <c r="Z452" s="998"/>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1</v>
      </c>
      <c r="R453" s="597">
        <f t="shared" si="117"/>
        <v>0</v>
      </c>
      <c r="S453" s="250">
        <f t="shared" si="118"/>
        <v>0</v>
      </c>
      <c r="T453" s="901">
        <f t="shared" si="119"/>
        <v>0</v>
      </c>
      <c r="U453" s="2961">
        <f t="shared" si="113"/>
        <v>0</v>
      </c>
      <c r="V453" s="2961">
        <f t="shared" si="114"/>
        <v>0</v>
      </c>
      <c r="W453" s="998"/>
      <c r="X453" s="2961">
        <f t="shared" si="115"/>
        <v>0</v>
      </c>
      <c r="Y453" s="2961">
        <f t="shared" si="116"/>
        <v>0</v>
      </c>
      <c r="Z453" s="998"/>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1</v>
      </c>
      <c r="R454" s="597">
        <f t="shared" si="117"/>
        <v>0</v>
      </c>
      <c r="S454" s="250">
        <f t="shared" si="118"/>
        <v>0</v>
      </c>
      <c r="T454" s="901">
        <f t="shared" si="119"/>
        <v>0</v>
      </c>
      <c r="U454" s="2961">
        <f t="shared" si="113"/>
        <v>0</v>
      </c>
      <c r="V454" s="2961">
        <f t="shared" si="114"/>
        <v>0</v>
      </c>
      <c r="W454" s="998"/>
      <c r="X454" s="2961">
        <f t="shared" si="115"/>
        <v>0</v>
      </c>
      <c r="Y454" s="2961">
        <f t="shared" si="116"/>
        <v>0</v>
      </c>
      <c r="Z454" s="998"/>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1</v>
      </c>
      <c r="R455" s="597">
        <f t="shared" si="117"/>
        <v>0</v>
      </c>
      <c r="S455" s="250">
        <f t="shared" si="118"/>
        <v>0</v>
      </c>
      <c r="T455" s="901">
        <f t="shared" si="119"/>
        <v>0</v>
      </c>
      <c r="U455" s="2961">
        <f t="shared" si="113"/>
        <v>0</v>
      </c>
      <c r="V455" s="2961">
        <f t="shared" si="114"/>
        <v>0</v>
      </c>
      <c r="W455" s="998"/>
      <c r="X455" s="2961">
        <f t="shared" si="115"/>
        <v>0</v>
      </c>
      <c r="Y455" s="2961">
        <f t="shared" si="116"/>
        <v>0</v>
      </c>
      <c r="Z455" s="998"/>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1</v>
      </c>
      <c r="R456" s="597">
        <f t="shared" si="117"/>
        <v>0</v>
      </c>
      <c r="S456" s="250">
        <f t="shared" si="118"/>
        <v>0</v>
      </c>
      <c r="T456" s="901">
        <f t="shared" si="119"/>
        <v>0</v>
      </c>
      <c r="U456" s="2961">
        <f t="shared" si="113"/>
        <v>0</v>
      </c>
      <c r="V456" s="2961">
        <f t="shared" si="114"/>
        <v>0</v>
      </c>
      <c r="W456" s="998"/>
      <c r="X456" s="2961">
        <f t="shared" si="115"/>
        <v>0</v>
      </c>
      <c r="Y456" s="2961">
        <f t="shared" si="116"/>
        <v>0</v>
      </c>
      <c r="Z456" s="998"/>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1</v>
      </c>
      <c r="R457" s="597">
        <f t="shared" si="117"/>
        <v>0</v>
      </c>
      <c r="S457" s="250">
        <f t="shared" si="118"/>
        <v>0</v>
      </c>
      <c r="T457" s="901">
        <f t="shared" si="119"/>
        <v>0</v>
      </c>
      <c r="U457" s="2961">
        <f t="shared" si="113"/>
        <v>0</v>
      </c>
      <c r="V457" s="2961">
        <f t="shared" si="114"/>
        <v>0</v>
      </c>
      <c r="W457" s="998"/>
      <c r="X457" s="2961">
        <f t="shared" si="115"/>
        <v>0</v>
      </c>
      <c r="Y457" s="2961">
        <f t="shared" si="116"/>
        <v>0</v>
      </c>
      <c r="Z457" s="998"/>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1</v>
      </c>
      <c r="R458" s="597">
        <f t="shared" si="117"/>
        <v>0</v>
      </c>
      <c r="S458" s="250">
        <f t="shared" si="118"/>
        <v>0</v>
      </c>
      <c r="T458" s="901">
        <f t="shared" si="119"/>
        <v>0</v>
      </c>
      <c r="U458" s="2961">
        <f t="shared" si="113"/>
        <v>0</v>
      </c>
      <c r="V458" s="2961">
        <f t="shared" si="114"/>
        <v>0</v>
      </c>
      <c r="W458" s="998"/>
      <c r="X458" s="2961">
        <f t="shared" si="115"/>
        <v>0</v>
      </c>
      <c r="Y458" s="2961">
        <f t="shared" si="116"/>
        <v>0</v>
      </c>
      <c r="Z458" s="998"/>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1</v>
      </c>
      <c r="R459" s="597">
        <f t="shared" si="117"/>
        <v>0</v>
      </c>
      <c r="S459" s="250">
        <f t="shared" si="118"/>
        <v>0</v>
      </c>
      <c r="T459" s="901">
        <f t="shared" si="119"/>
        <v>0</v>
      </c>
      <c r="U459" s="2961">
        <f t="shared" si="113"/>
        <v>0</v>
      </c>
      <c r="V459" s="2961">
        <f t="shared" si="114"/>
        <v>0</v>
      </c>
      <c r="W459" s="998"/>
      <c r="X459" s="2961">
        <f t="shared" si="115"/>
        <v>0</v>
      </c>
      <c r="Y459" s="2961">
        <f t="shared" si="116"/>
        <v>0</v>
      </c>
      <c r="Z459" s="998"/>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1</v>
      </c>
      <c r="R460" s="597">
        <f t="shared" si="117"/>
        <v>0</v>
      </c>
      <c r="S460" s="250">
        <f t="shared" si="118"/>
        <v>0</v>
      </c>
      <c r="T460" s="901">
        <f t="shared" si="119"/>
        <v>0</v>
      </c>
      <c r="U460" s="2961">
        <f t="shared" si="113"/>
        <v>0</v>
      </c>
      <c r="V460" s="2961">
        <f t="shared" si="114"/>
        <v>0</v>
      </c>
      <c r="W460" s="998"/>
      <c r="X460" s="2961">
        <f t="shared" si="115"/>
        <v>0</v>
      </c>
      <c r="Y460" s="2961">
        <f t="shared" si="116"/>
        <v>0</v>
      </c>
      <c r="Z460" s="998"/>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1</v>
      </c>
      <c r="R461" s="597">
        <f t="shared" si="117"/>
        <v>0</v>
      </c>
      <c r="S461" s="250">
        <f t="shared" si="118"/>
        <v>0</v>
      </c>
      <c r="T461" s="901">
        <f t="shared" si="119"/>
        <v>0</v>
      </c>
      <c r="U461" s="2961">
        <f t="shared" si="113"/>
        <v>0</v>
      </c>
      <c r="V461" s="2961">
        <f t="shared" si="114"/>
        <v>0</v>
      </c>
      <c r="W461" s="998"/>
      <c r="X461" s="2961">
        <f t="shared" si="115"/>
        <v>0</v>
      </c>
      <c r="Y461" s="2961">
        <f t="shared" si="116"/>
        <v>0</v>
      </c>
      <c r="Z461" s="998"/>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1</v>
      </c>
      <c r="R462" s="597">
        <f t="shared" si="117"/>
        <v>0</v>
      </c>
      <c r="S462" s="250">
        <f t="shared" si="118"/>
        <v>0</v>
      </c>
      <c r="T462" s="901">
        <f t="shared" si="119"/>
        <v>0</v>
      </c>
      <c r="U462" s="2961">
        <f t="shared" si="113"/>
        <v>0</v>
      </c>
      <c r="V462" s="2961">
        <f t="shared" si="114"/>
        <v>0</v>
      </c>
      <c r="W462" s="998"/>
      <c r="X462" s="2961">
        <f t="shared" si="115"/>
        <v>0</v>
      </c>
      <c r="Y462" s="2961">
        <f t="shared" si="116"/>
        <v>0</v>
      </c>
      <c r="Z462" s="998"/>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1</v>
      </c>
      <c r="R463" s="597">
        <f t="shared" si="117"/>
        <v>0</v>
      </c>
      <c r="S463" s="250">
        <f t="shared" si="118"/>
        <v>0</v>
      </c>
      <c r="T463" s="901">
        <f t="shared" si="119"/>
        <v>0</v>
      </c>
      <c r="U463" s="2961">
        <f t="shared" si="113"/>
        <v>0</v>
      </c>
      <c r="V463" s="2961">
        <f t="shared" si="114"/>
        <v>0</v>
      </c>
      <c r="W463" s="998"/>
      <c r="X463" s="2961">
        <f t="shared" si="115"/>
        <v>0</v>
      </c>
      <c r="Y463" s="2961">
        <f t="shared" si="116"/>
        <v>0</v>
      </c>
      <c r="Z463" s="998"/>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1</v>
      </c>
      <c r="R464" s="597">
        <f t="shared" si="117"/>
        <v>0</v>
      </c>
      <c r="S464" s="250">
        <f t="shared" si="118"/>
        <v>0</v>
      </c>
      <c r="T464" s="901">
        <f t="shared" si="119"/>
        <v>0</v>
      </c>
      <c r="U464" s="2961">
        <f t="shared" si="113"/>
        <v>0</v>
      </c>
      <c r="V464" s="2961">
        <f t="shared" si="114"/>
        <v>0</v>
      </c>
      <c r="W464" s="998"/>
      <c r="X464" s="2961">
        <f t="shared" si="115"/>
        <v>0</v>
      </c>
      <c r="Y464" s="2961">
        <f t="shared" si="116"/>
        <v>0</v>
      </c>
      <c r="Z464" s="998"/>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1</v>
      </c>
      <c r="R465" s="597">
        <f t="shared" si="117"/>
        <v>0</v>
      </c>
      <c r="S465" s="250">
        <f t="shared" si="118"/>
        <v>0</v>
      </c>
      <c r="T465" s="901">
        <f t="shared" si="119"/>
        <v>0</v>
      </c>
      <c r="U465" s="2961">
        <f t="shared" si="113"/>
        <v>0</v>
      </c>
      <c r="V465" s="2961">
        <f t="shared" si="114"/>
        <v>0</v>
      </c>
      <c r="W465" s="998"/>
      <c r="X465" s="2961">
        <f t="shared" si="115"/>
        <v>0</v>
      </c>
      <c r="Y465" s="2961">
        <f t="shared" si="116"/>
        <v>0</v>
      </c>
      <c r="Z465" s="998"/>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1</v>
      </c>
      <c r="R466" s="597">
        <f t="shared" si="117"/>
        <v>0</v>
      </c>
      <c r="S466" s="250">
        <f t="shared" si="118"/>
        <v>0</v>
      </c>
      <c r="T466" s="901">
        <f t="shared" si="119"/>
        <v>0</v>
      </c>
      <c r="U466" s="2961">
        <f t="shared" si="113"/>
        <v>0</v>
      </c>
      <c r="V466" s="2961">
        <f t="shared" si="114"/>
        <v>0</v>
      </c>
      <c r="W466" s="998"/>
      <c r="X466" s="2961">
        <f t="shared" si="115"/>
        <v>0</v>
      </c>
      <c r="Y466" s="2961">
        <f t="shared" si="116"/>
        <v>0</v>
      </c>
      <c r="Z466" s="998"/>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1</v>
      </c>
      <c r="R467" s="597">
        <f t="shared" si="117"/>
        <v>0</v>
      </c>
      <c r="S467" s="250">
        <f t="shared" si="118"/>
        <v>0</v>
      </c>
      <c r="T467" s="901">
        <f t="shared" si="119"/>
        <v>0</v>
      </c>
      <c r="U467" s="2961">
        <f t="shared" si="113"/>
        <v>0</v>
      </c>
      <c r="V467" s="2961">
        <f t="shared" si="114"/>
        <v>0</v>
      </c>
      <c r="W467" s="998"/>
      <c r="X467" s="2961">
        <f t="shared" si="115"/>
        <v>0</v>
      </c>
      <c r="Y467" s="2961">
        <f t="shared" si="116"/>
        <v>0</v>
      </c>
      <c r="Z467" s="998"/>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1</v>
      </c>
      <c r="R468" s="597">
        <f t="shared" si="117"/>
        <v>0</v>
      </c>
      <c r="S468" s="250">
        <f t="shared" si="118"/>
        <v>0</v>
      </c>
      <c r="T468" s="901">
        <f t="shared" si="119"/>
        <v>0</v>
      </c>
      <c r="U468" s="2961">
        <f t="shared" si="113"/>
        <v>0</v>
      </c>
      <c r="V468" s="2961">
        <f t="shared" si="114"/>
        <v>0</v>
      </c>
      <c r="W468" s="998"/>
      <c r="X468" s="2961">
        <f t="shared" si="115"/>
        <v>0</v>
      </c>
      <c r="Y468" s="2961">
        <f t="shared" si="116"/>
        <v>0</v>
      </c>
      <c r="Z468" s="998"/>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1</v>
      </c>
      <c r="R469" s="597">
        <f t="shared" si="117"/>
        <v>0</v>
      </c>
      <c r="S469" s="250">
        <f t="shared" si="118"/>
        <v>0</v>
      </c>
      <c r="T469" s="901">
        <f t="shared" si="119"/>
        <v>0</v>
      </c>
      <c r="U469" s="2961">
        <f t="shared" si="113"/>
        <v>0</v>
      </c>
      <c r="V469" s="2961">
        <f t="shared" si="114"/>
        <v>0</v>
      </c>
      <c r="W469" s="998"/>
      <c r="X469" s="2961">
        <f t="shared" si="115"/>
        <v>0</v>
      </c>
      <c r="Y469" s="2961">
        <f t="shared" si="116"/>
        <v>0</v>
      </c>
      <c r="Z469" s="998"/>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1</v>
      </c>
      <c r="R470" s="597">
        <f t="shared" si="117"/>
        <v>0</v>
      </c>
      <c r="S470" s="250">
        <f t="shared" si="118"/>
        <v>0</v>
      </c>
      <c r="T470" s="901">
        <f t="shared" si="119"/>
        <v>0</v>
      </c>
      <c r="U470" s="2961">
        <f t="shared" si="113"/>
        <v>0</v>
      </c>
      <c r="V470" s="2961">
        <f t="shared" si="114"/>
        <v>0</v>
      </c>
      <c r="W470" s="998"/>
      <c r="X470" s="2961">
        <f t="shared" si="115"/>
        <v>0</v>
      </c>
      <c r="Y470" s="2961">
        <f t="shared" si="116"/>
        <v>0</v>
      </c>
      <c r="Z470" s="998"/>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1</v>
      </c>
      <c r="R471" s="597">
        <f t="shared" si="117"/>
        <v>0</v>
      </c>
      <c r="S471" s="250">
        <f t="shared" si="118"/>
        <v>0</v>
      </c>
      <c r="T471" s="901">
        <f t="shared" si="119"/>
        <v>0</v>
      </c>
      <c r="U471" s="2961">
        <f t="shared" si="113"/>
        <v>0</v>
      </c>
      <c r="V471" s="2961">
        <f t="shared" si="114"/>
        <v>0</v>
      </c>
      <c r="W471" s="998"/>
      <c r="X471" s="2961">
        <f t="shared" si="115"/>
        <v>0</v>
      </c>
      <c r="Y471" s="2961">
        <f t="shared" si="116"/>
        <v>0</v>
      </c>
      <c r="Z471" s="998"/>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1</v>
      </c>
      <c r="R472" s="597">
        <f t="shared" si="117"/>
        <v>0</v>
      </c>
      <c r="S472" s="250">
        <f t="shared" si="118"/>
        <v>0</v>
      </c>
      <c r="T472" s="901">
        <f t="shared" si="119"/>
        <v>0</v>
      </c>
      <c r="U472" s="2961">
        <f t="shared" si="113"/>
        <v>0</v>
      </c>
      <c r="V472" s="2961">
        <f t="shared" si="114"/>
        <v>0</v>
      </c>
      <c r="W472" s="998"/>
      <c r="X472" s="2961">
        <f t="shared" si="115"/>
        <v>0</v>
      </c>
      <c r="Y472" s="2961">
        <f t="shared" si="116"/>
        <v>0</v>
      </c>
      <c r="Z472" s="998"/>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1</v>
      </c>
      <c r="R473" s="597">
        <f t="shared" si="117"/>
        <v>0</v>
      </c>
      <c r="S473" s="250">
        <f t="shared" si="118"/>
        <v>0</v>
      </c>
      <c r="T473" s="901">
        <f t="shared" si="119"/>
        <v>0</v>
      </c>
      <c r="U473" s="2961">
        <f t="shared" si="113"/>
        <v>0</v>
      </c>
      <c r="V473" s="2961">
        <f t="shared" si="114"/>
        <v>0</v>
      </c>
      <c r="W473" s="998"/>
      <c r="X473" s="2961">
        <f t="shared" si="115"/>
        <v>0</v>
      </c>
      <c r="Y473" s="2961">
        <f t="shared" si="116"/>
        <v>0</v>
      </c>
      <c r="Z473" s="998"/>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1</v>
      </c>
      <c r="R474" s="597">
        <f t="shared" si="117"/>
        <v>0</v>
      </c>
      <c r="S474" s="250">
        <f t="shared" si="118"/>
        <v>0</v>
      </c>
      <c r="T474" s="901">
        <f t="shared" si="119"/>
        <v>0</v>
      </c>
      <c r="U474" s="2961">
        <f t="shared" si="113"/>
        <v>0</v>
      </c>
      <c r="V474" s="2961">
        <f t="shared" si="114"/>
        <v>0</v>
      </c>
      <c r="W474" s="998"/>
      <c r="X474" s="2961">
        <f t="shared" si="115"/>
        <v>0</v>
      </c>
      <c r="Y474" s="2961">
        <f t="shared" si="116"/>
        <v>0</v>
      </c>
      <c r="Z474" s="998"/>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1</v>
      </c>
      <c r="R475" s="597">
        <f t="shared" si="117"/>
        <v>0</v>
      </c>
      <c r="S475" s="250">
        <f t="shared" si="118"/>
        <v>0</v>
      </c>
      <c r="T475" s="901">
        <f t="shared" si="119"/>
        <v>0</v>
      </c>
      <c r="U475" s="2961">
        <f t="shared" si="113"/>
        <v>0</v>
      </c>
      <c r="V475" s="2961">
        <f t="shared" si="114"/>
        <v>0</v>
      </c>
      <c r="W475" s="998"/>
      <c r="X475" s="2961">
        <f t="shared" si="115"/>
        <v>0</v>
      </c>
      <c r="Y475" s="2961">
        <f t="shared" si="116"/>
        <v>0</v>
      </c>
      <c r="Z475" s="998"/>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1</v>
      </c>
      <c r="R476" s="597">
        <f t="shared" si="117"/>
        <v>0</v>
      </c>
      <c r="S476" s="250">
        <f t="shared" si="118"/>
        <v>0</v>
      </c>
      <c r="T476" s="901">
        <f t="shared" si="119"/>
        <v>0</v>
      </c>
      <c r="U476" s="2961">
        <f t="shared" ref="U476:U527" si="128">ROUND(W476*B476,0)</f>
        <v>0</v>
      </c>
      <c r="V476" s="2961">
        <f t="shared" ref="V476:V527" si="129">ROUND(W476*B476/10000,0)</f>
        <v>0</v>
      </c>
      <c r="W476" s="998"/>
      <c r="X476" s="2961">
        <f t="shared" ref="X476:X527" si="130">ROUND(Z476*B476,0)</f>
        <v>0</v>
      </c>
      <c r="Y476" s="2961">
        <f t="shared" ref="Y476:Y527" si="131">ROUND(Z476*B476/10000,0)</f>
        <v>0</v>
      </c>
      <c r="Z476" s="998"/>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1</v>
      </c>
      <c r="R477" s="597">
        <f t="shared" ref="R477:R527" si="132">IF(B477="",0,ROUND($R$27*C477*E477*G477*I477*K477*M477*O477*Q477,0))</f>
        <v>0</v>
      </c>
      <c r="S477" s="250">
        <f t="shared" ref="S477:S527" si="133">ROUND(R477*B477,0)</f>
        <v>0</v>
      </c>
      <c r="T477" s="901">
        <f t="shared" ref="T477:T527" si="134">ROUND(R477*B477/10000,0)</f>
        <v>0</v>
      </c>
      <c r="U477" s="2961">
        <f t="shared" si="128"/>
        <v>0</v>
      </c>
      <c r="V477" s="2961">
        <f t="shared" si="129"/>
        <v>0</v>
      </c>
      <c r="W477" s="998"/>
      <c r="X477" s="2961">
        <f t="shared" si="130"/>
        <v>0</v>
      </c>
      <c r="Y477" s="2961">
        <f t="shared" si="131"/>
        <v>0</v>
      </c>
      <c r="Z477" s="998"/>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1</v>
      </c>
      <c r="R478" s="597">
        <f t="shared" si="132"/>
        <v>0</v>
      </c>
      <c r="S478" s="250">
        <f t="shared" si="133"/>
        <v>0</v>
      </c>
      <c r="T478" s="901">
        <f t="shared" si="134"/>
        <v>0</v>
      </c>
      <c r="U478" s="2961">
        <f t="shared" si="128"/>
        <v>0</v>
      </c>
      <c r="V478" s="2961">
        <f t="shared" si="129"/>
        <v>0</v>
      </c>
      <c r="W478" s="998"/>
      <c r="X478" s="2961">
        <f t="shared" si="130"/>
        <v>0</v>
      </c>
      <c r="Y478" s="2961">
        <f t="shared" si="131"/>
        <v>0</v>
      </c>
      <c r="Z478" s="998"/>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1</v>
      </c>
      <c r="R479" s="597">
        <f t="shared" si="132"/>
        <v>0</v>
      </c>
      <c r="S479" s="250">
        <f t="shared" si="133"/>
        <v>0</v>
      </c>
      <c r="T479" s="901">
        <f t="shared" si="134"/>
        <v>0</v>
      </c>
      <c r="U479" s="2961">
        <f t="shared" si="128"/>
        <v>0</v>
      </c>
      <c r="V479" s="2961">
        <f t="shared" si="129"/>
        <v>0</v>
      </c>
      <c r="W479" s="998"/>
      <c r="X479" s="2961">
        <f t="shared" si="130"/>
        <v>0</v>
      </c>
      <c r="Y479" s="2961">
        <f t="shared" si="131"/>
        <v>0</v>
      </c>
      <c r="Z479" s="998"/>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1</v>
      </c>
      <c r="R480" s="597">
        <f t="shared" si="132"/>
        <v>0</v>
      </c>
      <c r="S480" s="250">
        <f t="shared" si="133"/>
        <v>0</v>
      </c>
      <c r="T480" s="901">
        <f t="shared" si="134"/>
        <v>0</v>
      </c>
      <c r="U480" s="2961">
        <f t="shared" si="128"/>
        <v>0</v>
      </c>
      <c r="V480" s="2961">
        <f t="shared" si="129"/>
        <v>0</v>
      </c>
      <c r="W480" s="998"/>
      <c r="X480" s="2961">
        <f t="shared" si="130"/>
        <v>0</v>
      </c>
      <c r="Y480" s="2961">
        <f t="shared" si="131"/>
        <v>0</v>
      </c>
      <c r="Z480" s="998"/>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1</v>
      </c>
      <c r="R481" s="597">
        <f t="shared" si="132"/>
        <v>0</v>
      </c>
      <c r="S481" s="250">
        <f t="shared" si="133"/>
        <v>0</v>
      </c>
      <c r="T481" s="901">
        <f t="shared" si="134"/>
        <v>0</v>
      </c>
      <c r="U481" s="2961">
        <f t="shared" si="128"/>
        <v>0</v>
      </c>
      <c r="V481" s="2961">
        <f t="shared" si="129"/>
        <v>0</v>
      </c>
      <c r="W481" s="998"/>
      <c r="X481" s="2961">
        <f t="shared" si="130"/>
        <v>0</v>
      </c>
      <c r="Y481" s="2961">
        <f t="shared" si="131"/>
        <v>0</v>
      </c>
      <c r="Z481" s="998"/>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1</v>
      </c>
      <c r="R482" s="597">
        <f t="shared" si="132"/>
        <v>0</v>
      </c>
      <c r="S482" s="250">
        <f t="shared" si="133"/>
        <v>0</v>
      </c>
      <c r="T482" s="901">
        <f t="shared" si="134"/>
        <v>0</v>
      </c>
      <c r="U482" s="2961">
        <f t="shared" si="128"/>
        <v>0</v>
      </c>
      <c r="V482" s="2961">
        <f t="shared" si="129"/>
        <v>0</v>
      </c>
      <c r="W482" s="998"/>
      <c r="X482" s="2961">
        <f t="shared" si="130"/>
        <v>0</v>
      </c>
      <c r="Y482" s="2961">
        <f t="shared" si="131"/>
        <v>0</v>
      </c>
      <c r="Z482" s="998"/>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1</v>
      </c>
      <c r="R483" s="597">
        <f t="shared" si="132"/>
        <v>0</v>
      </c>
      <c r="S483" s="250">
        <f t="shared" si="133"/>
        <v>0</v>
      </c>
      <c r="T483" s="901">
        <f t="shared" si="134"/>
        <v>0</v>
      </c>
      <c r="U483" s="2961">
        <f t="shared" si="128"/>
        <v>0</v>
      </c>
      <c r="V483" s="2961">
        <f t="shared" si="129"/>
        <v>0</v>
      </c>
      <c r="W483" s="998"/>
      <c r="X483" s="2961">
        <f t="shared" si="130"/>
        <v>0</v>
      </c>
      <c r="Y483" s="2961">
        <f t="shared" si="131"/>
        <v>0</v>
      </c>
      <c r="Z483" s="998"/>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1</v>
      </c>
      <c r="R484" s="597">
        <f t="shared" si="132"/>
        <v>0</v>
      </c>
      <c r="S484" s="250">
        <f t="shared" si="133"/>
        <v>0</v>
      </c>
      <c r="T484" s="901">
        <f t="shared" si="134"/>
        <v>0</v>
      </c>
      <c r="U484" s="2961">
        <f t="shared" si="128"/>
        <v>0</v>
      </c>
      <c r="V484" s="2961">
        <f t="shared" si="129"/>
        <v>0</v>
      </c>
      <c r="W484" s="998"/>
      <c r="X484" s="2961">
        <f t="shared" si="130"/>
        <v>0</v>
      </c>
      <c r="Y484" s="2961">
        <f t="shared" si="131"/>
        <v>0</v>
      </c>
      <c r="Z484" s="998"/>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1</v>
      </c>
      <c r="R485" s="597">
        <f t="shared" si="132"/>
        <v>0</v>
      </c>
      <c r="S485" s="250">
        <f t="shared" si="133"/>
        <v>0</v>
      </c>
      <c r="T485" s="901">
        <f t="shared" si="134"/>
        <v>0</v>
      </c>
      <c r="U485" s="2961">
        <f t="shared" si="128"/>
        <v>0</v>
      </c>
      <c r="V485" s="2961">
        <f t="shared" si="129"/>
        <v>0</v>
      </c>
      <c r="W485" s="998"/>
      <c r="X485" s="2961">
        <f t="shared" si="130"/>
        <v>0</v>
      </c>
      <c r="Y485" s="2961">
        <f t="shared" si="131"/>
        <v>0</v>
      </c>
      <c r="Z485" s="998"/>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1</v>
      </c>
      <c r="R486" s="597">
        <f t="shared" si="132"/>
        <v>0</v>
      </c>
      <c r="S486" s="250">
        <f t="shared" si="133"/>
        <v>0</v>
      </c>
      <c r="T486" s="901">
        <f t="shared" si="134"/>
        <v>0</v>
      </c>
      <c r="U486" s="2961">
        <f t="shared" si="128"/>
        <v>0</v>
      </c>
      <c r="V486" s="2961">
        <f t="shared" si="129"/>
        <v>0</v>
      </c>
      <c r="W486" s="998"/>
      <c r="X486" s="2961">
        <f t="shared" si="130"/>
        <v>0</v>
      </c>
      <c r="Y486" s="2961">
        <f t="shared" si="131"/>
        <v>0</v>
      </c>
      <c r="Z486" s="998"/>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1</v>
      </c>
      <c r="R487" s="597">
        <f t="shared" si="132"/>
        <v>0</v>
      </c>
      <c r="S487" s="250">
        <f t="shared" si="133"/>
        <v>0</v>
      </c>
      <c r="T487" s="901">
        <f t="shared" si="134"/>
        <v>0</v>
      </c>
      <c r="U487" s="2961">
        <f t="shared" si="128"/>
        <v>0</v>
      </c>
      <c r="V487" s="2961">
        <f t="shared" si="129"/>
        <v>0</v>
      </c>
      <c r="W487" s="998"/>
      <c r="X487" s="2961">
        <f t="shared" si="130"/>
        <v>0</v>
      </c>
      <c r="Y487" s="2961">
        <f t="shared" si="131"/>
        <v>0</v>
      </c>
      <c r="Z487" s="998"/>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1</v>
      </c>
      <c r="R488" s="597">
        <f t="shared" si="132"/>
        <v>0</v>
      </c>
      <c r="S488" s="250">
        <f t="shared" si="133"/>
        <v>0</v>
      </c>
      <c r="T488" s="901">
        <f t="shared" si="134"/>
        <v>0</v>
      </c>
      <c r="U488" s="2961">
        <f t="shared" si="128"/>
        <v>0</v>
      </c>
      <c r="V488" s="2961">
        <f t="shared" si="129"/>
        <v>0</v>
      </c>
      <c r="W488" s="998"/>
      <c r="X488" s="2961">
        <f t="shared" si="130"/>
        <v>0</v>
      </c>
      <c r="Y488" s="2961">
        <f t="shared" si="131"/>
        <v>0</v>
      </c>
      <c r="Z488" s="998"/>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1</v>
      </c>
      <c r="R489" s="597">
        <f t="shared" si="132"/>
        <v>0</v>
      </c>
      <c r="S489" s="250">
        <f t="shared" si="133"/>
        <v>0</v>
      </c>
      <c r="T489" s="901">
        <f t="shared" si="134"/>
        <v>0</v>
      </c>
      <c r="U489" s="2961">
        <f t="shared" si="128"/>
        <v>0</v>
      </c>
      <c r="V489" s="2961">
        <f t="shared" si="129"/>
        <v>0</v>
      </c>
      <c r="W489" s="998"/>
      <c r="X489" s="2961">
        <f t="shared" si="130"/>
        <v>0</v>
      </c>
      <c r="Y489" s="2961">
        <f t="shared" si="131"/>
        <v>0</v>
      </c>
      <c r="Z489" s="998"/>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1</v>
      </c>
      <c r="R490" s="597">
        <f t="shared" si="132"/>
        <v>0</v>
      </c>
      <c r="S490" s="250">
        <f t="shared" si="133"/>
        <v>0</v>
      </c>
      <c r="T490" s="901">
        <f t="shared" si="134"/>
        <v>0</v>
      </c>
      <c r="U490" s="2961">
        <f t="shared" si="128"/>
        <v>0</v>
      </c>
      <c r="V490" s="2961">
        <f t="shared" si="129"/>
        <v>0</v>
      </c>
      <c r="W490" s="998"/>
      <c r="X490" s="2961">
        <f t="shared" si="130"/>
        <v>0</v>
      </c>
      <c r="Y490" s="2961">
        <f t="shared" si="131"/>
        <v>0</v>
      </c>
      <c r="Z490" s="998"/>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1</v>
      </c>
      <c r="R491" s="597">
        <f t="shared" si="132"/>
        <v>0</v>
      </c>
      <c r="S491" s="250">
        <f t="shared" si="133"/>
        <v>0</v>
      </c>
      <c r="T491" s="901">
        <f t="shared" si="134"/>
        <v>0</v>
      </c>
      <c r="U491" s="2961">
        <f t="shared" si="128"/>
        <v>0</v>
      </c>
      <c r="V491" s="2961">
        <f t="shared" si="129"/>
        <v>0</v>
      </c>
      <c r="W491" s="998"/>
      <c r="X491" s="2961">
        <f t="shared" si="130"/>
        <v>0</v>
      </c>
      <c r="Y491" s="2961">
        <f t="shared" si="131"/>
        <v>0</v>
      </c>
      <c r="Z491" s="998"/>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1</v>
      </c>
      <c r="R492" s="597">
        <f t="shared" si="132"/>
        <v>0</v>
      </c>
      <c r="S492" s="250">
        <f t="shared" si="133"/>
        <v>0</v>
      </c>
      <c r="T492" s="901">
        <f t="shared" si="134"/>
        <v>0</v>
      </c>
      <c r="U492" s="2961">
        <f t="shared" si="128"/>
        <v>0</v>
      </c>
      <c r="V492" s="2961">
        <f t="shared" si="129"/>
        <v>0</v>
      </c>
      <c r="W492" s="998"/>
      <c r="X492" s="2961">
        <f t="shared" si="130"/>
        <v>0</v>
      </c>
      <c r="Y492" s="2961">
        <f t="shared" si="131"/>
        <v>0</v>
      </c>
      <c r="Z492" s="998"/>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1</v>
      </c>
      <c r="R493" s="597">
        <f t="shared" si="132"/>
        <v>0</v>
      </c>
      <c r="S493" s="250">
        <f t="shared" si="133"/>
        <v>0</v>
      </c>
      <c r="T493" s="901">
        <f t="shared" si="134"/>
        <v>0</v>
      </c>
      <c r="U493" s="2961">
        <f t="shared" si="128"/>
        <v>0</v>
      </c>
      <c r="V493" s="2961">
        <f t="shared" si="129"/>
        <v>0</v>
      </c>
      <c r="W493" s="998"/>
      <c r="X493" s="2961">
        <f t="shared" si="130"/>
        <v>0</v>
      </c>
      <c r="Y493" s="2961">
        <f t="shared" si="131"/>
        <v>0</v>
      </c>
      <c r="Z493" s="998"/>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1</v>
      </c>
      <c r="R494" s="597">
        <f t="shared" si="132"/>
        <v>0</v>
      </c>
      <c r="S494" s="250">
        <f t="shared" si="133"/>
        <v>0</v>
      </c>
      <c r="T494" s="901">
        <f t="shared" si="134"/>
        <v>0</v>
      </c>
      <c r="U494" s="2961">
        <f t="shared" si="128"/>
        <v>0</v>
      </c>
      <c r="V494" s="2961">
        <f t="shared" si="129"/>
        <v>0</v>
      </c>
      <c r="W494" s="998"/>
      <c r="X494" s="2961">
        <f t="shared" si="130"/>
        <v>0</v>
      </c>
      <c r="Y494" s="2961">
        <f t="shared" si="131"/>
        <v>0</v>
      </c>
      <c r="Z494" s="998"/>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1</v>
      </c>
      <c r="R495" s="597">
        <f t="shared" si="132"/>
        <v>0</v>
      </c>
      <c r="S495" s="250">
        <f t="shared" si="133"/>
        <v>0</v>
      </c>
      <c r="T495" s="901">
        <f t="shared" si="134"/>
        <v>0</v>
      </c>
      <c r="U495" s="2961">
        <f t="shared" si="128"/>
        <v>0</v>
      </c>
      <c r="V495" s="2961">
        <f t="shared" si="129"/>
        <v>0</v>
      </c>
      <c r="W495" s="998"/>
      <c r="X495" s="2961">
        <f t="shared" si="130"/>
        <v>0</v>
      </c>
      <c r="Y495" s="2961">
        <f t="shared" si="131"/>
        <v>0</v>
      </c>
      <c r="Z495" s="998"/>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1</v>
      </c>
      <c r="R496" s="597">
        <f t="shared" si="132"/>
        <v>0</v>
      </c>
      <c r="S496" s="250">
        <f t="shared" si="133"/>
        <v>0</v>
      </c>
      <c r="T496" s="901">
        <f t="shared" si="134"/>
        <v>0</v>
      </c>
      <c r="U496" s="2961">
        <f t="shared" si="128"/>
        <v>0</v>
      </c>
      <c r="V496" s="2961">
        <f t="shared" si="129"/>
        <v>0</v>
      </c>
      <c r="W496" s="998"/>
      <c r="X496" s="2961">
        <f t="shared" si="130"/>
        <v>0</v>
      </c>
      <c r="Y496" s="2961">
        <f t="shared" si="131"/>
        <v>0</v>
      </c>
      <c r="Z496" s="998"/>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1</v>
      </c>
      <c r="R497" s="597">
        <f t="shared" si="132"/>
        <v>0</v>
      </c>
      <c r="S497" s="250">
        <f t="shared" si="133"/>
        <v>0</v>
      </c>
      <c r="T497" s="901">
        <f t="shared" si="134"/>
        <v>0</v>
      </c>
      <c r="U497" s="2961">
        <f t="shared" si="128"/>
        <v>0</v>
      </c>
      <c r="V497" s="2961">
        <f t="shared" si="129"/>
        <v>0</v>
      </c>
      <c r="W497" s="998"/>
      <c r="X497" s="2961">
        <f t="shared" si="130"/>
        <v>0</v>
      </c>
      <c r="Y497" s="2961">
        <f t="shared" si="131"/>
        <v>0</v>
      </c>
      <c r="Z497" s="998"/>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1</v>
      </c>
      <c r="R498" s="597">
        <f t="shared" si="132"/>
        <v>0</v>
      </c>
      <c r="S498" s="250">
        <f t="shared" si="133"/>
        <v>0</v>
      </c>
      <c r="T498" s="901">
        <f t="shared" si="134"/>
        <v>0</v>
      </c>
      <c r="U498" s="2961">
        <f t="shared" si="128"/>
        <v>0</v>
      </c>
      <c r="V498" s="2961">
        <f t="shared" si="129"/>
        <v>0</v>
      </c>
      <c r="W498" s="998"/>
      <c r="X498" s="2961">
        <f t="shared" si="130"/>
        <v>0</v>
      </c>
      <c r="Y498" s="2961">
        <f t="shared" si="131"/>
        <v>0</v>
      </c>
      <c r="Z498" s="998"/>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1</v>
      </c>
      <c r="R499" s="597">
        <f t="shared" si="132"/>
        <v>0</v>
      </c>
      <c r="S499" s="250">
        <f t="shared" si="133"/>
        <v>0</v>
      </c>
      <c r="T499" s="901">
        <f t="shared" si="134"/>
        <v>0</v>
      </c>
      <c r="U499" s="2961">
        <f t="shared" si="128"/>
        <v>0</v>
      </c>
      <c r="V499" s="2961">
        <f t="shared" si="129"/>
        <v>0</v>
      </c>
      <c r="W499" s="998"/>
      <c r="X499" s="2961">
        <f t="shared" si="130"/>
        <v>0</v>
      </c>
      <c r="Y499" s="2961">
        <f t="shared" si="131"/>
        <v>0</v>
      </c>
      <c r="Z499" s="998"/>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1</v>
      </c>
      <c r="R500" s="597">
        <f t="shared" si="132"/>
        <v>0</v>
      </c>
      <c r="S500" s="250">
        <f t="shared" si="133"/>
        <v>0</v>
      </c>
      <c r="T500" s="901">
        <f t="shared" si="134"/>
        <v>0</v>
      </c>
      <c r="U500" s="2961">
        <f t="shared" si="128"/>
        <v>0</v>
      </c>
      <c r="V500" s="2961">
        <f t="shared" si="129"/>
        <v>0</v>
      </c>
      <c r="W500" s="998"/>
      <c r="X500" s="2961">
        <f t="shared" si="130"/>
        <v>0</v>
      </c>
      <c r="Y500" s="2961">
        <f t="shared" si="131"/>
        <v>0</v>
      </c>
      <c r="Z500" s="998"/>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1</v>
      </c>
      <c r="R501" s="597">
        <f t="shared" si="132"/>
        <v>0</v>
      </c>
      <c r="S501" s="250">
        <f t="shared" si="133"/>
        <v>0</v>
      </c>
      <c r="T501" s="901">
        <f t="shared" si="134"/>
        <v>0</v>
      </c>
      <c r="U501" s="2961">
        <f t="shared" si="128"/>
        <v>0</v>
      </c>
      <c r="V501" s="2961">
        <f t="shared" si="129"/>
        <v>0</v>
      </c>
      <c r="W501" s="998"/>
      <c r="X501" s="2961">
        <f t="shared" si="130"/>
        <v>0</v>
      </c>
      <c r="Y501" s="2961">
        <f t="shared" si="131"/>
        <v>0</v>
      </c>
      <c r="Z501" s="998"/>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1</v>
      </c>
      <c r="R502" s="597">
        <f t="shared" si="132"/>
        <v>0</v>
      </c>
      <c r="S502" s="250">
        <f t="shared" si="133"/>
        <v>0</v>
      </c>
      <c r="T502" s="901">
        <f t="shared" si="134"/>
        <v>0</v>
      </c>
      <c r="U502" s="2961">
        <f t="shared" si="128"/>
        <v>0</v>
      </c>
      <c r="V502" s="2961">
        <f t="shared" si="129"/>
        <v>0</v>
      </c>
      <c r="W502" s="998"/>
      <c r="X502" s="2961">
        <f t="shared" si="130"/>
        <v>0</v>
      </c>
      <c r="Y502" s="2961">
        <f t="shared" si="131"/>
        <v>0</v>
      </c>
      <c r="Z502" s="998"/>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1</v>
      </c>
      <c r="R503" s="597">
        <f t="shared" si="132"/>
        <v>0</v>
      </c>
      <c r="S503" s="250">
        <f t="shared" si="133"/>
        <v>0</v>
      </c>
      <c r="T503" s="901">
        <f t="shared" si="134"/>
        <v>0</v>
      </c>
      <c r="U503" s="2961">
        <f t="shared" si="128"/>
        <v>0</v>
      </c>
      <c r="V503" s="2961">
        <f t="shared" si="129"/>
        <v>0</v>
      </c>
      <c r="W503" s="998"/>
      <c r="X503" s="2961">
        <f t="shared" si="130"/>
        <v>0</v>
      </c>
      <c r="Y503" s="2961">
        <f t="shared" si="131"/>
        <v>0</v>
      </c>
      <c r="Z503" s="998"/>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1</v>
      </c>
      <c r="R504" s="597">
        <f t="shared" si="132"/>
        <v>0</v>
      </c>
      <c r="S504" s="250">
        <f t="shared" si="133"/>
        <v>0</v>
      </c>
      <c r="T504" s="901">
        <f t="shared" si="134"/>
        <v>0</v>
      </c>
      <c r="U504" s="2961">
        <f t="shared" si="128"/>
        <v>0</v>
      </c>
      <c r="V504" s="2961">
        <f t="shared" si="129"/>
        <v>0</v>
      </c>
      <c r="W504" s="998"/>
      <c r="X504" s="2961">
        <f t="shared" si="130"/>
        <v>0</v>
      </c>
      <c r="Y504" s="2961">
        <f t="shared" si="131"/>
        <v>0</v>
      </c>
      <c r="Z504" s="998"/>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1</v>
      </c>
      <c r="R505" s="597">
        <f t="shared" si="132"/>
        <v>0</v>
      </c>
      <c r="S505" s="250">
        <f t="shared" si="133"/>
        <v>0</v>
      </c>
      <c r="T505" s="901">
        <f t="shared" si="134"/>
        <v>0</v>
      </c>
      <c r="U505" s="2961">
        <f t="shared" si="128"/>
        <v>0</v>
      </c>
      <c r="V505" s="2961">
        <f t="shared" si="129"/>
        <v>0</v>
      </c>
      <c r="W505" s="998"/>
      <c r="X505" s="2961">
        <f t="shared" si="130"/>
        <v>0</v>
      </c>
      <c r="Y505" s="2961">
        <f t="shared" si="131"/>
        <v>0</v>
      </c>
      <c r="Z505" s="998"/>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1</v>
      </c>
      <c r="R506" s="597">
        <f t="shared" si="132"/>
        <v>0</v>
      </c>
      <c r="S506" s="250">
        <f t="shared" si="133"/>
        <v>0</v>
      </c>
      <c r="T506" s="901">
        <f t="shared" si="134"/>
        <v>0</v>
      </c>
      <c r="U506" s="2961">
        <f t="shared" si="128"/>
        <v>0</v>
      </c>
      <c r="V506" s="2961">
        <f t="shared" si="129"/>
        <v>0</v>
      </c>
      <c r="W506" s="998"/>
      <c r="X506" s="2961">
        <f t="shared" si="130"/>
        <v>0</v>
      </c>
      <c r="Y506" s="2961">
        <f t="shared" si="131"/>
        <v>0</v>
      </c>
      <c r="Z506" s="998"/>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1</v>
      </c>
      <c r="R507" s="597">
        <f t="shared" si="132"/>
        <v>0</v>
      </c>
      <c r="S507" s="250">
        <f t="shared" si="133"/>
        <v>0</v>
      </c>
      <c r="T507" s="901">
        <f t="shared" si="134"/>
        <v>0</v>
      </c>
      <c r="U507" s="2961">
        <f t="shared" si="128"/>
        <v>0</v>
      </c>
      <c r="V507" s="2961">
        <f t="shared" si="129"/>
        <v>0</v>
      </c>
      <c r="W507" s="998"/>
      <c r="X507" s="2961">
        <f t="shared" si="130"/>
        <v>0</v>
      </c>
      <c r="Y507" s="2961">
        <f t="shared" si="131"/>
        <v>0</v>
      </c>
      <c r="Z507" s="998"/>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1</v>
      </c>
      <c r="R508" s="597">
        <f t="shared" si="132"/>
        <v>0</v>
      </c>
      <c r="S508" s="250">
        <f t="shared" si="133"/>
        <v>0</v>
      </c>
      <c r="T508" s="901">
        <f t="shared" si="134"/>
        <v>0</v>
      </c>
      <c r="U508" s="2961">
        <f t="shared" si="128"/>
        <v>0</v>
      </c>
      <c r="V508" s="2961">
        <f t="shared" si="129"/>
        <v>0</v>
      </c>
      <c r="W508" s="998"/>
      <c r="X508" s="2961">
        <f t="shared" si="130"/>
        <v>0</v>
      </c>
      <c r="Y508" s="2961">
        <f t="shared" si="131"/>
        <v>0</v>
      </c>
      <c r="Z508" s="998"/>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1</v>
      </c>
      <c r="R509" s="597">
        <f t="shared" si="132"/>
        <v>0</v>
      </c>
      <c r="S509" s="250">
        <f t="shared" si="133"/>
        <v>0</v>
      </c>
      <c r="T509" s="901">
        <f t="shared" si="134"/>
        <v>0</v>
      </c>
      <c r="U509" s="2961">
        <f t="shared" si="128"/>
        <v>0</v>
      </c>
      <c r="V509" s="2961">
        <f t="shared" si="129"/>
        <v>0</v>
      </c>
      <c r="W509" s="998"/>
      <c r="X509" s="2961">
        <f t="shared" si="130"/>
        <v>0</v>
      </c>
      <c r="Y509" s="2961">
        <f t="shared" si="131"/>
        <v>0</v>
      </c>
      <c r="Z509" s="998"/>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1</v>
      </c>
      <c r="R510" s="597">
        <f t="shared" si="132"/>
        <v>0</v>
      </c>
      <c r="S510" s="250">
        <f t="shared" si="133"/>
        <v>0</v>
      </c>
      <c r="T510" s="901">
        <f t="shared" si="134"/>
        <v>0</v>
      </c>
      <c r="U510" s="2961">
        <f t="shared" si="128"/>
        <v>0</v>
      </c>
      <c r="V510" s="2961">
        <f t="shared" si="129"/>
        <v>0</v>
      </c>
      <c r="W510" s="998"/>
      <c r="X510" s="2961">
        <f t="shared" si="130"/>
        <v>0</v>
      </c>
      <c r="Y510" s="2961">
        <f t="shared" si="131"/>
        <v>0</v>
      </c>
      <c r="Z510" s="998"/>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1</v>
      </c>
      <c r="R511" s="597">
        <f t="shared" si="132"/>
        <v>0</v>
      </c>
      <c r="S511" s="250">
        <f t="shared" si="133"/>
        <v>0</v>
      </c>
      <c r="T511" s="901">
        <f t="shared" si="134"/>
        <v>0</v>
      </c>
      <c r="U511" s="2961">
        <f t="shared" si="128"/>
        <v>0</v>
      </c>
      <c r="V511" s="2961">
        <f t="shared" si="129"/>
        <v>0</v>
      </c>
      <c r="W511" s="998"/>
      <c r="X511" s="2961">
        <f t="shared" si="130"/>
        <v>0</v>
      </c>
      <c r="Y511" s="2961">
        <f t="shared" si="131"/>
        <v>0</v>
      </c>
      <c r="Z511" s="998"/>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1</v>
      </c>
      <c r="R512" s="597">
        <f t="shared" si="132"/>
        <v>0</v>
      </c>
      <c r="S512" s="250">
        <f t="shared" si="133"/>
        <v>0</v>
      </c>
      <c r="T512" s="901">
        <f t="shared" si="134"/>
        <v>0</v>
      </c>
      <c r="U512" s="2961">
        <f t="shared" si="128"/>
        <v>0</v>
      </c>
      <c r="V512" s="2961">
        <f t="shared" si="129"/>
        <v>0</v>
      </c>
      <c r="W512" s="998"/>
      <c r="X512" s="2961">
        <f t="shared" si="130"/>
        <v>0</v>
      </c>
      <c r="Y512" s="2961">
        <f t="shared" si="131"/>
        <v>0</v>
      </c>
      <c r="Z512" s="998"/>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1</v>
      </c>
      <c r="R513" s="597">
        <f t="shared" si="132"/>
        <v>0</v>
      </c>
      <c r="S513" s="250">
        <f t="shared" si="133"/>
        <v>0</v>
      </c>
      <c r="T513" s="901">
        <f t="shared" si="134"/>
        <v>0</v>
      </c>
      <c r="U513" s="2961">
        <f t="shared" si="128"/>
        <v>0</v>
      </c>
      <c r="V513" s="2961">
        <f t="shared" si="129"/>
        <v>0</v>
      </c>
      <c r="W513" s="998"/>
      <c r="X513" s="2961">
        <f t="shared" si="130"/>
        <v>0</v>
      </c>
      <c r="Y513" s="2961">
        <f t="shared" si="131"/>
        <v>0</v>
      </c>
      <c r="Z513" s="998"/>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1</v>
      </c>
      <c r="R514" s="597">
        <f t="shared" si="132"/>
        <v>0</v>
      </c>
      <c r="S514" s="250">
        <f t="shared" si="133"/>
        <v>0</v>
      </c>
      <c r="T514" s="901">
        <f t="shared" si="134"/>
        <v>0</v>
      </c>
      <c r="U514" s="2961">
        <f t="shared" si="128"/>
        <v>0</v>
      </c>
      <c r="V514" s="2961">
        <f t="shared" si="129"/>
        <v>0</v>
      </c>
      <c r="W514" s="998"/>
      <c r="X514" s="2961">
        <f t="shared" si="130"/>
        <v>0</v>
      </c>
      <c r="Y514" s="2961">
        <f t="shared" si="131"/>
        <v>0</v>
      </c>
      <c r="Z514" s="998"/>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1</v>
      </c>
      <c r="R515" s="597">
        <f t="shared" si="132"/>
        <v>0</v>
      </c>
      <c r="S515" s="250">
        <f t="shared" si="133"/>
        <v>0</v>
      </c>
      <c r="T515" s="901">
        <f t="shared" si="134"/>
        <v>0</v>
      </c>
      <c r="U515" s="2961">
        <f t="shared" si="128"/>
        <v>0</v>
      </c>
      <c r="V515" s="2961">
        <f t="shared" si="129"/>
        <v>0</v>
      </c>
      <c r="W515" s="998"/>
      <c r="X515" s="2961">
        <f t="shared" si="130"/>
        <v>0</v>
      </c>
      <c r="Y515" s="2961">
        <f t="shared" si="131"/>
        <v>0</v>
      </c>
      <c r="Z515" s="998"/>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1</v>
      </c>
      <c r="R516" s="597">
        <f t="shared" si="132"/>
        <v>0</v>
      </c>
      <c r="S516" s="250">
        <f t="shared" si="133"/>
        <v>0</v>
      </c>
      <c r="T516" s="901">
        <f t="shared" si="134"/>
        <v>0</v>
      </c>
      <c r="U516" s="2961">
        <f t="shared" si="128"/>
        <v>0</v>
      </c>
      <c r="V516" s="2961">
        <f t="shared" si="129"/>
        <v>0</v>
      </c>
      <c r="W516" s="998"/>
      <c r="X516" s="2961">
        <f t="shared" si="130"/>
        <v>0</v>
      </c>
      <c r="Y516" s="2961">
        <f t="shared" si="131"/>
        <v>0</v>
      </c>
      <c r="Z516" s="998"/>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1</v>
      </c>
      <c r="R517" s="597">
        <f t="shared" si="132"/>
        <v>0</v>
      </c>
      <c r="S517" s="250">
        <f t="shared" si="133"/>
        <v>0</v>
      </c>
      <c r="T517" s="901">
        <f t="shared" si="134"/>
        <v>0</v>
      </c>
      <c r="U517" s="2961">
        <f t="shared" si="128"/>
        <v>0</v>
      </c>
      <c r="V517" s="2961">
        <f t="shared" si="129"/>
        <v>0</v>
      </c>
      <c r="W517" s="998"/>
      <c r="X517" s="2961">
        <f t="shared" si="130"/>
        <v>0</v>
      </c>
      <c r="Y517" s="2961">
        <f t="shared" si="131"/>
        <v>0</v>
      </c>
      <c r="Z517" s="998"/>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1</v>
      </c>
      <c r="R518" s="597">
        <f t="shared" si="132"/>
        <v>0</v>
      </c>
      <c r="S518" s="250">
        <f t="shared" si="133"/>
        <v>0</v>
      </c>
      <c r="T518" s="901">
        <f t="shared" si="134"/>
        <v>0</v>
      </c>
      <c r="U518" s="2961">
        <f t="shared" si="128"/>
        <v>0</v>
      </c>
      <c r="V518" s="2961">
        <f t="shared" si="129"/>
        <v>0</v>
      </c>
      <c r="W518" s="998"/>
      <c r="X518" s="2961">
        <f t="shared" si="130"/>
        <v>0</v>
      </c>
      <c r="Y518" s="2961">
        <f t="shared" si="131"/>
        <v>0</v>
      </c>
      <c r="Z518" s="998"/>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1</v>
      </c>
      <c r="R519" s="597">
        <f t="shared" si="132"/>
        <v>0</v>
      </c>
      <c r="S519" s="250">
        <f t="shared" si="133"/>
        <v>0</v>
      </c>
      <c r="T519" s="901">
        <f t="shared" si="134"/>
        <v>0</v>
      </c>
      <c r="U519" s="2961">
        <f t="shared" si="128"/>
        <v>0</v>
      </c>
      <c r="V519" s="2961">
        <f t="shared" si="129"/>
        <v>0</v>
      </c>
      <c r="W519" s="998"/>
      <c r="X519" s="2961">
        <f t="shared" si="130"/>
        <v>0</v>
      </c>
      <c r="Y519" s="2961">
        <f t="shared" si="131"/>
        <v>0</v>
      </c>
      <c r="Z519" s="998"/>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1</v>
      </c>
      <c r="R520" s="597">
        <f t="shared" si="132"/>
        <v>0</v>
      </c>
      <c r="S520" s="250">
        <f t="shared" si="133"/>
        <v>0</v>
      </c>
      <c r="T520" s="901">
        <f t="shared" si="134"/>
        <v>0</v>
      </c>
      <c r="U520" s="2961">
        <f t="shared" si="128"/>
        <v>0</v>
      </c>
      <c r="V520" s="2961">
        <f t="shared" si="129"/>
        <v>0</v>
      </c>
      <c r="W520" s="998"/>
      <c r="X520" s="2961">
        <f t="shared" si="130"/>
        <v>0</v>
      </c>
      <c r="Y520" s="2961">
        <f t="shared" si="131"/>
        <v>0</v>
      </c>
      <c r="Z520" s="998"/>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1</v>
      </c>
      <c r="R521" s="597">
        <f t="shared" si="132"/>
        <v>0</v>
      </c>
      <c r="S521" s="250">
        <f t="shared" si="133"/>
        <v>0</v>
      </c>
      <c r="T521" s="901">
        <f t="shared" si="134"/>
        <v>0</v>
      </c>
      <c r="U521" s="2961">
        <f t="shared" si="128"/>
        <v>0</v>
      </c>
      <c r="V521" s="2961">
        <f t="shared" si="129"/>
        <v>0</v>
      </c>
      <c r="W521" s="998"/>
      <c r="X521" s="2961">
        <f t="shared" si="130"/>
        <v>0</v>
      </c>
      <c r="Y521" s="2961">
        <f t="shared" si="131"/>
        <v>0</v>
      </c>
      <c r="Z521" s="998"/>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1</v>
      </c>
      <c r="R522" s="597">
        <f t="shared" si="132"/>
        <v>0</v>
      </c>
      <c r="S522" s="250">
        <f t="shared" si="133"/>
        <v>0</v>
      </c>
      <c r="T522" s="901">
        <f t="shared" si="134"/>
        <v>0</v>
      </c>
      <c r="U522" s="2961">
        <f t="shared" si="128"/>
        <v>0</v>
      </c>
      <c r="V522" s="2961">
        <f t="shared" si="129"/>
        <v>0</v>
      </c>
      <c r="W522" s="998"/>
      <c r="X522" s="2961">
        <f t="shared" si="130"/>
        <v>0</v>
      </c>
      <c r="Y522" s="2961">
        <f t="shared" si="131"/>
        <v>0</v>
      </c>
      <c r="Z522" s="998"/>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1</v>
      </c>
      <c r="R523" s="597">
        <f t="shared" si="132"/>
        <v>0</v>
      </c>
      <c r="S523" s="250">
        <f t="shared" si="133"/>
        <v>0</v>
      </c>
      <c r="T523" s="901">
        <f t="shared" si="134"/>
        <v>0</v>
      </c>
      <c r="U523" s="2961">
        <f t="shared" si="128"/>
        <v>0</v>
      </c>
      <c r="V523" s="2961">
        <f t="shared" si="129"/>
        <v>0</v>
      </c>
      <c r="W523" s="998"/>
      <c r="X523" s="2961">
        <f t="shared" si="130"/>
        <v>0</v>
      </c>
      <c r="Y523" s="2961">
        <f t="shared" si="131"/>
        <v>0</v>
      </c>
      <c r="Z523" s="998"/>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1</v>
      </c>
      <c r="R524" s="597">
        <f t="shared" si="132"/>
        <v>0</v>
      </c>
      <c r="S524" s="250">
        <f t="shared" si="133"/>
        <v>0</v>
      </c>
      <c r="T524" s="901">
        <f t="shared" si="134"/>
        <v>0</v>
      </c>
      <c r="U524" s="2961">
        <f t="shared" si="128"/>
        <v>0</v>
      </c>
      <c r="V524" s="2961">
        <f t="shared" si="129"/>
        <v>0</v>
      </c>
      <c r="W524" s="998"/>
      <c r="X524" s="2961">
        <f t="shared" si="130"/>
        <v>0</v>
      </c>
      <c r="Y524" s="2961">
        <f t="shared" si="131"/>
        <v>0</v>
      </c>
      <c r="Z524" s="998"/>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1</v>
      </c>
      <c r="R525" s="597">
        <f t="shared" si="132"/>
        <v>0</v>
      </c>
      <c r="S525" s="250">
        <f t="shared" si="133"/>
        <v>0</v>
      </c>
      <c r="T525" s="901">
        <f t="shared" si="134"/>
        <v>0</v>
      </c>
      <c r="U525" s="2961">
        <f t="shared" si="128"/>
        <v>0</v>
      </c>
      <c r="V525" s="2961">
        <f t="shared" si="129"/>
        <v>0</v>
      </c>
      <c r="W525" s="998"/>
      <c r="X525" s="2961">
        <f t="shared" si="130"/>
        <v>0</v>
      </c>
      <c r="Y525" s="2961">
        <f t="shared" si="131"/>
        <v>0</v>
      </c>
      <c r="Z525" s="998"/>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1</v>
      </c>
      <c r="R526" s="597">
        <f t="shared" si="132"/>
        <v>0</v>
      </c>
      <c r="S526" s="250">
        <f t="shared" si="133"/>
        <v>0</v>
      </c>
      <c r="T526" s="901">
        <f t="shared" si="134"/>
        <v>0</v>
      </c>
      <c r="U526" s="2961">
        <f t="shared" si="128"/>
        <v>0</v>
      </c>
      <c r="V526" s="2961">
        <f t="shared" si="129"/>
        <v>0</v>
      </c>
      <c r="W526" s="998"/>
      <c r="X526" s="2961">
        <f t="shared" si="130"/>
        <v>0</v>
      </c>
      <c r="Y526" s="2961">
        <f t="shared" si="131"/>
        <v>0</v>
      </c>
      <c r="Z526" s="998"/>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1</v>
      </c>
      <c r="R527" s="597">
        <f t="shared" si="132"/>
        <v>0</v>
      </c>
      <c r="S527" s="250">
        <f t="shared" si="133"/>
        <v>0</v>
      </c>
      <c r="T527" s="901">
        <f t="shared" si="134"/>
        <v>0</v>
      </c>
      <c r="U527" s="2961">
        <f t="shared" si="128"/>
        <v>0</v>
      </c>
      <c r="V527" s="2961">
        <f t="shared" si="129"/>
        <v>0</v>
      </c>
      <c r="W527" s="998"/>
      <c r="X527" s="2961">
        <f t="shared" si="130"/>
        <v>0</v>
      </c>
      <c r="Y527" s="2961">
        <f t="shared" si="131"/>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847.76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2187</v>
      </c>
      <c r="B4" s="1634"/>
      <c r="C4" s="3583" t="s">
        <v>2188</v>
      </c>
      <c r="D4" s="3584"/>
      <c r="E4" s="3585" t="s">
        <v>2189</v>
      </c>
      <c r="F4" s="3586"/>
      <c r="G4" s="3583" t="s">
        <v>2190</v>
      </c>
      <c r="H4" s="3584"/>
      <c r="I4" s="3583" t="s">
        <v>2191</v>
      </c>
      <c r="J4" s="3584"/>
      <c r="K4" s="1635"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0" t="s">
        <v>2190</v>
      </c>
      <c r="AC4" s="3580" t="s">
        <v>2191</v>
      </c>
    </row>
    <row r="5" spans="1:29">
      <c r="A5" s="1638"/>
      <c r="B5" s="1639"/>
      <c r="C5" s="3602" t="s">
        <v>2194</v>
      </c>
      <c r="D5" s="3603"/>
      <c r="E5" s="3600" t="s">
        <v>2195</v>
      </c>
      <c r="F5" s="3601"/>
      <c r="G5" s="3602" t="s">
        <v>2196</v>
      </c>
      <c r="H5" s="3603"/>
      <c r="I5" s="3602" t="s">
        <v>2197</v>
      </c>
      <c r="J5" s="3603"/>
      <c r="K5" s="1640"/>
      <c r="L5" s="2967"/>
      <c r="M5" s="2968"/>
      <c r="N5" s="2968"/>
      <c r="O5" s="2968"/>
      <c r="P5" s="3589"/>
      <c r="Q5" s="3590"/>
      <c r="R5" s="3595"/>
      <c r="S5" s="3596"/>
      <c r="T5" s="3595"/>
      <c r="U5" s="3596"/>
      <c r="V5" s="3599"/>
      <c r="W5" s="3599"/>
      <c r="X5" s="1636"/>
      <c r="Y5" s="3595"/>
      <c r="Z5" s="3596"/>
      <c r="AA5" s="3581"/>
      <c r="AB5" s="3581"/>
      <c r="AC5" s="3581"/>
    </row>
    <row r="6" spans="1:29" ht="15" thickBot="1">
      <c r="A6" s="1641"/>
      <c r="B6" s="1642"/>
      <c r="C6" s="3604" t="s">
        <v>2198</v>
      </c>
      <c r="D6" s="3605"/>
      <c r="E6" s="3606" t="s">
        <v>2198</v>
      </c>
      <c r="F6" s="3607"/>
      <c r="G6" s="3604" t="s">
        <v>2198</v>
      </c>
      <c r="H6" s="3605"/>
      <c r="I6" s="3604" t="s">
        <v>2198</v>
      </c>
      <c r="J6" s="3605"/>
      <c r="K6" s="1640" t="s">
        <v>2199</v>
      </c>
      <c r="L6" s="2967"/>
      <c r="M6" s="2968"/>
      <c r="N6" s="2968"/>
      <c r="O6" s="2968"/>
      <c r="P6" s="3591"/>
      <c r="Q6" s="3592"/>
      <c r="R6" s="3595"/>
      <c r="S6" s="3596"/>
      <c r="T6" s="3597"/>
      <c r="U6" s="3598"/>
      <c r="V6" s="3599"/>
      <c r="W6" s="3599"/>
      <c r="X6" s="1636"/>
      <c r="Y6" s="3597"/>
      <c r="Z6" s="3598"/>
      <c r="AA6" s="3582"/>
      <c r="AB6" s="3582"/>
      <c r="AC6" s="3582"/>
    </row>
    <row r="7" spans="1:29" s="1655" customFormat="1" ht="15" thickBot="1">
      <c r="A7" s="1643" t="s">
        <v>2200</v>
      </c>
      <c r="B7" s="1644"/>
      <c r="C7" s="1645">
        <f>'数据-取费表'!B2</f>
        <v>44571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5" t="s">
        <v>2201</v>
      </c>
      <c r="Q7" s="3617"/>
      <c r="R7" s="1651" t="s">
        <v>34</v>
      </c>
      <c r="S7" s="1652">
        <f t="shared" ref="S7:S15" si="0">F7</f>
        <v>0</v>
      </c>
      <c r="T7" s="1651" t="s">
        <v>34</v>
      </c>
      <c r="U7" s="1652">
        <f t="shared" ref="U7:U15" si="1">H7</f>
        <v>0</v>
      </c>
      <c r="V7" s="1651" t="s">
        <v>34</v>
      </c>
      <c r="W7" s="1652">
        <f t="shared" ref="W7:W15" si="2">J7</f>
        <v>0</v>
      </c>
      <c r="X7" s="1653"/>
      <c r="Y7" s="3615" t="s">
        <v>2201</v>
      </c>
      <c r="Z7" s="3616"/>
      <c r="AA7" s="1654" t="e">
        <f>D7/F7</f>
        <v>#DIV/0!</v>
      </c>
      <c r="AB7" s="1654" t="e">
        <f>D7/H7</f>
        <v>#DIV/0!</v>
      </c>
      <c r="AC7" s="1654" t="e">
        <f>D7/J7</f>
        <v>#DIV/0!</v>
      </c>
    </row>
    <row r="8" spans="1:29" s="1655" customFormat="1" ht="1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5" t="s">
        <v>2204</v>
      </c>
      <c r="Q8" s="3616"/>
      <c r="R8" s="1651" t="s">
        <v>34</v>
      </c>
      <c r="S8" s="1652">
        <f t="shared" si="0"/>
        <v>0</v>
      </c>
      <c r="T8" s="1651" t="s">
        <v>34</v>
      </c>
      <c r="U8" s="1652">
        <f t="shared" si="1"/>
        <v>0</v>
      </c>
      <c r="V8" s="1651" t="s">
        <v>34</v>
      </c>
      <c r="W8" s="1652">
        <f t="shared" si="2"/>
        <v>0</v>
      </c>
      <c r="X8" s="1653"/>
      <c r="Y8" s="3615" t="s">
        <v>2204</v>
      </c>
      <c r="Z8" s="3616"/>
      <c r="AA8" s="1654" t="e">
        <f t="shared" ref="AA8:AA46" si="3">D8/F8</f>
        <v>#DIV/0!</v>
      </c>
      <c r="AB8" s="1654" t="e">
        <f t="shared" ref="AB8:AB46" si="4">D8/H8</f>
        <v>#DIV/0!</v>
      </c>
      <c r="AC8" s="1654" t="e">
        <f t="shared" ref="AC8:AC46" si="5">D8/J8</f>
        <v>#DIV/0!</v>
      </c>
    </row>
    <row r="9" spans="1:29" s="1655" customFormat="1" ht="14.4">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8"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8"/>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8"/>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8"/>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8"/>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8"/>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6.6">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1" t="s">
        <v>2212</v>
      </c>
      <c r="Q15" s="1586" t="str">
        <f t="shared" si="6"/>
        <v>居住社区成熟度</v>
      </c>
      <c r="R15" s="1696" t="s">
        <v>28</v>
      </c>
      <c r="S15" s="1697">
        <f t="shared" si="0"/>
        <v>100</v>
      </c>
      <c r="T15" s="1696" t="s">
        <v>28</v>
      </c>
      <c r="U15" s="1697">
        <f t="shared" si="1"/>
        <v>100</v>
      </c>
      <c r="V15" s="1696" t="s">
        <v>28</v>
      </c>
      <c r="W15" s="1697">
        <f t="shared" si="2"/>
        <v>100</v>
      </c>
      <c r="X15" s="1636"/>
      <c r="Y15" s="3608"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2"/>
      <c r="Q16" s="1586"/>
      <c r="R16" s="1696"/>
      <c r="S16" s="1697"/>
      <c r="T16" s="1696"/>
      <c r="U16" s="1697"/>
      <c r="V16" s="1696"/>
      <c r="W16" s="1697"/>
      <c r="X16" s="1636"/>
      <c r="Y16" s="3609"/>
      <c r="Z16" s="1698"/>
      <c r="AA16" s="1699">
        <v>1</v>
      </c>
      <c r="AB16" s="1699">
        <v>1</v>
      </c>
      <c r="AC16" s="1699">
        <v>1</v>
      </c>
    </row>
    <row r="17" spans="1:29" ht="82.8">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2"/>
      <c r="Q18" s="1586"/>
      <c r="R18" s="1696"/>
      <c r="S18" s="1697"/>
      <c r="T18" s="1696"/>
      <c r="U18" s="1697"/>
      <c r="V18" s="1696"/>
      <c r="W18" s="1697"/>
      <c r="X18" s="1636"/>
      <c r="Y18" s="3609"/>
      <c r="Z18" s="1698"/>
      <c r="AA18" s="1699">
        <v>1</v>
      </c>
      <c r="AB18" s="1699">
        <v>1</v>
      </c>
      <c r="AC18" s="1699">
        <v>1</v>
      </c>
    </row>
    <row r="19" spans="1:29" ht="41.4">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2"/>
      <c r="Q20" s="1586"/>
      <c r="R20" s="1696"/>
      <c r="S20" s="1697"/>
      <c r="T20" s="1696"/>
      <c r="U20" s="1697"/>
      <c r="V20" s="1696"/>
      <c r="W20" s="1697"/>
      <c r="X20" s="1636"/>
      <c r="Y20" s="3609"/>
      <c r="Z20" s="1698"/>
      <c r="AA20" s="1699">
        <v>1</v>
      </c>
      <c r="AB20" s="1699">
        <v>1</v>
      </c>
      <c r="AC20" s="1699">
        <v>1</v>
      </c>
    </row>
    <row r="21" spans="1:29" ht="27.6">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2"/>
      <c r="Q22" s="1586"/>
      <c r="R22" s="1696"/>
      <c r="S22" s="1697"/>
      <c r="T22" s="1696"/>
      <c r="U22" s="1697"/>
      <c r="V22" s="1696"/>
      <c r="W22" s="1697"/>
      <c r="X22" s="1636"/>
      <c r="Y22" s="3609"/>
      <c r="Z22" s="1698"/>
      <c r="AA22" s="1699">
        <v>1</v>
      </c>
      <c r="AB22" s="1699">
        <v>1</v>
      </c>
      <c r="AC22" s="1699">
        <v>1</v>
      </c>
    </row>
    <row r="23" spans="1:29" ht="55.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2"/>
      <c r="Q24" s="1586"/>
      <c r="R24" s="1696"/>
      <c r="S24" s="1697"/>
      <c r="T24" s="1696"/>
      <c r="U24" s="1697"/>
      <c r="V24" s="1696"/>
      <c r="W24" s="1697"/>
      <c r="X24" s="1636"/>
      <c r="Y24" s="3609"/>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2"/>
      <c r="Q26" s="1586" t="str">
        <f t="shared" si="11"/>
        <v>朝向</v>
      </c>
      <c r="R26" s="1696" t="s">
        <v>28</v>
      </c>
      <c r="S26" s="1697">
        <f>F26</f>
        <v>100</v>
      </c>
      <c r="T26" s="1696" t="s">
        <v>28</v>
      </c>
      <c r="U26" s="1697">
        <f>H26</f>
        <v>100</v>
      </c>
      <c r="V26" s="1696" t="s">
        <v>28</v>
      </c>
      <c r="W26" s="1697">
        <f>J26</f>
        <v>100</v>
      </c>
      <c r="X26" s="1636"/>
      <c r="Y26" s="3609"/>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0" t="s">
        <v>2218</v>
      </c>
      <c r="Q32" s="1586" t="str">
        <f t="shared" si="11"/>
        <v>建筑类型</v>
      </c>
      <c r="R32" s="1696" t="s">
        <v>28</v>
      </c>
      <c r="S32" s="1697">
        <f t="shared" si="12"/>
        <v>100</v>
      </c>
      <c r="T32" s="1696" t="s">
        <v>28</v>
      </c>
      <c r="U32" s="1697">
        <f t="shared" si="13"/>
        <v>100</v>
      </c>
      <c r="V32" s="1696" t="s">
        <v>28</v>
      </c>
      <c r="W32" s="1697">
        <f t="shared" si="14"/>
        <v>100</v>
      </c>
      <c r="X32" s="1636"/>
      <c r="Y32" s="3613"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1"/>
      <c r="Q33" s="1737" t="str">
        <f t="shared" si="11"/>
        <v>项目建筑规模</v>
      </c>
      <c r="R33" s="1738" t="s">
        <v>28</v>
      </c>
      <c r="S33" s="1739" t="e">
        <f t="shared" si="12"/>
        <v>#N/A</v>
      </c>
      <c r="T33" s="1738" t="s">
        <v>28</v>
      </c>
      <c r="U33" s="1739" t="e">
        <f t="shared" si="13"/>
        <v>#N/A</v>
      </c>
      <c r="V33" s="1738" t="s">
        <v>28</v>
      </c>
      <c r="W33" s="1739" t="e">
        <f t="shared" si="14"/>
        <v>#N/A</v>
      </c>
      <c r="X33" s="1740"/>
      <c r="Y33" s="3613"/>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1"/>
      <c r="Q37" s="1605" t="str">
        <f t="shared" si="11"/>
        <v>成新度</v>
      </c>
      <c r="R37" s="1651" t="s">
        <v>28</v>
      </c>
      <c r="S37" s="1652" t="e">
        <f t="shared" si="12"/>
        <v>#N/A</v>
      </c>
      <c r="T37" s="1651" t="s">
        <v>28</v>
      </c>
      <c r="U37" s="1652" t="e">
        <f t="shared" si="13"/>
        <v>#N/A</v>
      </c>
      <c r="V37" s="1651" t="s">
        <v>28</v>
      </c>
      <c r="W37" s="1652" t="e">
        <f t="shared" si="14"/>
        <v>#N/A</v>
      </c>
      <c r="X37" s="1653"/>
      <c r="Y37" s="3613"/>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1" t="s">
        <v>2218</v>
      </c>
      <c r="Q38" s="1586" t="str">
        <f t="shared" si="11"/>
        <v>物业管理</v>
      </c>
      <c r="R38" s="1696" t="s">
        <v>28</v>
      </c>
      <c r="S38" s="1697">
        <f t="shared" si="12"/>
        <v>100</v>
      </c>
      <c r="T38" s="1696" t="s">
        <v>28</v>
      </c>
      <c r="U38" s="1697">
        <f t="shared" si="13"/>
        <v>100</v>
      </c>
      <c r="V38" s="1696" t="s">
        <v>28</v>
      </c>
      <c r="W38" s="1697">
        <f t="shared" si="14"/>
        <v>100</v>
      </c>
      <c r="X38" s="1636"/>
      <c r="Y38" s="3613"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2" customFormat="1" ht="28.8">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1"/>
      <c r="Q41" s="1737" t="str">
        <f t="shared" si="11"/>
        <v>单套/主力户型建筑面积</v>
      </c>
      <c r="R41" s="1738" t="s">
        <v>28</v>
      </c>
      <c r="S41" s="1739">
        <f t="shared" si="12"/>
        <v>100</v>
      </c>
      <c r="T41" s="1738" t="s">
        <v>28</v>
      </c>
      <c r="U41" s="1739">
        <f t="shared" si="13"/>
        <v>100</v>
      </c>
      <c r="V41" s="1738" t="s">
        <v>28</v>
      </c>
      <c r="W41" s="1739">
        <f t="shared" si="14"/>
        <v>100</v>
      </c>
      <c r="X41" s="1740"/>
      <c r="Y41" s="3613"/>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28.8">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1"/>
      <c r="Q44" s="1605">
        <f t="shared" si="11"/>
        <v>111</v>
      </c>
      <c r="R44" s="1651" t="s">
        <v>28</v>
      </c>
      <c r="S44" s="1652">
        <f t="shared" si="12"/>
        <v>100</v>
      </c>
      <c r="T44" s="1651" t="s">
        <v>28</v>
      </c>
      <c r="U44" s="1652">
        <f t="shared" si="13"/>
        <v>100</v>
      </c>
      <c r="V44" s="1651" t="s">
        <v>28</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1"/>
      <c r="Q45" s="1586">
        <f t="shared" si="11"/>
        <v>111</v>
      </c>
      <c r="R45" s="1696" t="s">
        <v>28</v>
      </c>
      <c r="S45" s="1697">
        <f t="shared" si="12"/>
        <v>100</v>
      </c>
      <c r="T45" s="1696" t="s">
        <v>28</v>
      </c>
      <c r="U45" s="1697">
        <f t="shared" si="13"/>
        <v>100</v>
      </c>
      <c r="V45" s="1696" t="s">
        <v>28</v>
      </c>
      <c r="W45" s="1697">
        <f t="shared" si="14"/>
        <v>100</v>
      </c>
      <c r="X45" s="1636"/>
      <c r="Y45" s="3613"/>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2"/>
      <c r="Q46" s="1586">
        <f t="shared" si="11"/>
        <v>111</v>
      </c>
      <c r="R46" s="1696" t="s">
        <v>27</v>
      </c>
      <c r="S46" s="1697">
        <f t="shared" si="12"/>
        <v>100</v>
      </c>
      <c r="T46" s="1696" t="s">
        <v>27</v>
      </c>
      <c r="U46" s="1697">
        <f t="shared" si="13"/>
        <v>100</v>
      </c>
      <c r="V46" s="1696" t="s">
        <v>27</v>
      </c>
      <c r="W46" s="1697">
        <f t="shared" si="14"/>
        <v>100</v>
      </c>
      <c r="X46" s="1636"/>
      <c r="Y46" s="3614"/>
      <c r="Z46" s="1698">
        <f t="shared" si="15"/>
        <v>111</v>
      </c>
      <c r="AA46" s="1699">
        <f t="shared" si="3"/>
        <v>1</v>
      </c>
      <c r="AB46" s="1699">
        <f t="shared" si="4"/>
        <v>1</v>
      </c>
      <c r="AC46" s="1699">
        <f t="shared" si="5"/>
        <v>1</v>
      </c>
    </row>
    <row r="47" spans="1:29" ht="14.4">
      <c r="A47" s="1752" t="s">
        <v>2230</v>
      </c>
      <c r="B47" s="1753"/>
      <c r="C47" s="1754" t="s">
        <v>26</v>
      </c>
      <c r="D47" s="1755"/>
      <c r="E47" s="1756"/>
      <c r="F47" s="1757"/>
      <c r="G47" s="1758"/>
      <c r="H47" s="1759"/>
      <c r="I47" s="1756"/>
      <c r="J47" s="1759"/>
      <c r="K47" s="1760"/>
      <c r="L47" s="2973"/>
      <c r="N47" s="2968"/>
      <c r="P47" s="3619" t="str">
        <f>A47</f>
        <v>成交单价（元/平方米）</v>
      </c>
      <c r="Q47" s="3619"/>
      <c r="R47" s="3620">
        <f>E47</f>
        <v>0</v>
      </c>
      <c r="S47" s="3620"/>
      <c r="T47" s="3620">
        <f>G47</f>
        <v>0</v>
      </c>
      <c r="U47" s="3620"/>
      <c r="V47" s="3620">
        <f>I47</f>
        <v>0</v>
      </c>
      <c r="W47" s="3620"/>
      <c r="X47" s="1762"/>
      <c r="Y47" s="1763"/>
      <c r="Z47" s="1762"/>
      <c r="AA47" s="1762"/>
      <c r="AB47" s="1762"/>
      <c r="AC47" s="1762"/>
    </row>
    <row r="48" spans="1:29" ht="15" thickBot="1">
      <c r="A48" s="1764" t="s">
        <v>2231</v>
      </c>
      <c r="B48" s="1765"/>
      <c r="C48" s="1766" t="e">
        <f>R49</f>
        <v>#DIV/0!</v>
      </c>
      <c r="D48" s="1767" t="s">
        <v>2684</v>
      </c>
      <c r="E48" s="1768" t="e">
        <f>R48</f>
        <v>#DIV/0!</v>
      </c>
      <c r="F48" s="1769"/>
      <c r="G48" s="1766" t="e">
        <f>T48</f>
        <v>#DIV/0!</v>
      </c>
      <c r="H48" s="1769"/>
      <c r="I48" s="1768" t="e">
        <f>V48</f>
        <v>#DIV/0!</v>
      </c>
      <c r="J48" s="1769"/>
      <c r="K48" s="2482">
        <f>F48+H48+J48</f>
        <v>0</v>
      </c>
      <c r="L48" s="2973"/>
      <c r="P48" s="3619" t="str">
        <f>A48</f>
        <v>比较价值（元/平方米）</v>
      </c>
      <c r="Q48" s="3619"/>
      <c r="R48" s="3620" t="e">
        <f>IF(E1="售价",ROUND(PRODUCT(R47,AA7:AA46),0),ROUND(PRODUCT(R47,AA7:AA46),1))</f>
        <v>#DIV/0!</v>
      </c>
      <c r="S48" s="3620"/>
      <c r="T48" s="3623" t="e">
        <f>IF(E1="售价",ROUND(PRODUCT(T47,AB7:AB46),0),ROUND(PRODUCT(T47,AB7:AB46),1))</f>
        <v>#DIV/0!</v>
      </c>
      <c r="U48" s="3624"/>
      <c r="V48" s="3620" t="e">
        <f>IF(E1="售价",ROUND(PRODUCT(V47,AC7:AC46),0),ROUND(PRODUCT(V47,AC7:AC46),1))</f>
        <v>#DIV/0!</v>
      </c>
      <c r="W48" s="3620"/>
      <c r="X48" s="1762"/>
      <c r="Y48" s="1762"/>
      <c r="Z48" s="1762"/>
      <c r="AA48" s="1762"/>
      <c r="AB48" s="1762"/>
      <c r="AC48" s="1762"/>
    </row>
    <row r="49" spans="1:29" ht="15" thickBot="1">
      <c r="A49" s="1770" t="s">
        <v>2232</v>
      </c>
      <c r="B49" s="1771"/>
      <c r="C49" s="1772" t="e">
        <f>R49</f>
        <v>#DIV/0!</v>
      </c>
      <c r="D49" s="1773"/>
      <c r="E49" s="1773"/>
      <c r="F49" s="1773"/>
      <c r="G49" s="1773"/>
      <c r="H49" s="1773"/>
      <c r="I49" s="1773"/>
      <c r="J49" s="1773"/>
      <c r="K49" s="1774"/>
      <c r="L49" s="2973"/>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4.4">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2241</v>
      </c>
      <c r="B63" s="1818" t="s">
        <v>2206</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2263</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6.2"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ht="14.4">
      <c r="B147" s="1543" t="s">
        <v>2294</v>
      </c>
    </row>
    <row r="148" spans="2:11" ht="14.4">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2296</v>
      </c>
      <c r="C1" s="1609" t="s">
        <v>2687</v>
      </c>
      <c r="D1" s="2440"/>
      <c r="E1" s="1611" t="s">
        <v>2685</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8478</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100000</v>
      </c>
      <c r="C3" s="1630" t="s">
        <v>2186</v>
      </c>
      <c r="D3" s="1630">
        <f>IF(C1="仅计算典型户型",'数据-取费表'!E5,'数据-取费表'!B5)</f>
        <v>847.76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99" t="s">
        <v>2190</v>
      </c>
      <c r="AC4" s="3580" t="s">
        <v>2191</v>
      </c>
    </row>
    <row r="5" spans="1:29">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99"/>
      <c r="AC5" s="3581"/>
    </row>
    <row r="6" spans="1:29" ht="1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99"/>
      <c r="AC6" s="3582"/>
    </row>
    <row r="7" spans="1:29" s="1655" customFormat="1" ht="15" thickBot="1">
      <c r="A7" s="1643" t="s">
        <v>2200</v>
      </c>
      <c r="B7" s="1644"/>
      <c r="C7" s="1645">
        <f>'数据-取费表'!B2</f>
        <v>44571</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615" t="s">
        <v>2201</v>
      </c>
      <c r="Q7" s="3617"/>
      <c r="R7" s="1651" t="s">
        <v>25</v>
      </c>
      <c r="S7" s="1652">
        <f t="shared" ref="S7:S15" si="0">F7</f>
        <v>100</v>
      </c>
      <c r="T7" s="1651" t="s">
        <v>25</v>
      </c>
      <c r="U7" s="1652">
        <f t="shared" ref="U7:U15" si="1">H7</f>
        <v>100</v>
      </c>
      <c r="V7" s="1651" t="s">
        <v>25</v>
      </c>
      <c r="W7" s="1652">
        <f t="shared" ref="W7:W15" si="2">J7</f>
        <v>100</v>
      </c>
      <c r="X7" s="1653"/>
      <c r="Y7" s="3615" t="s">
        <v>2201</v>
      </c>
      <c r="Z7" s="3616"/>
      <c r="AA7" s="1654">
        <f>D7/F7</f>
        <v>1</v>
      </c>
      <c r="AB7" s="1654">
        <f>D7/H7</f>
        <v>1</v>
      </c>
      <c r="AC7" s="1654">
        <f>D7/J7</f>
        <v>1</v>
      </c>
    </row>
    <row r="8" spans="1:29" s="1655" customFormat="1" ht="15" thickBot="1">
      <c r="A8" s="1643" t="s">
        <v>2202</v>
      </c>
      <c r="B8" s="1644"/>
      <c r="C8" s="1656" t="s">
        <v>2203</v>
      </c>
      <c r="D8" s="1646">
        <v>100</v>
      </c>
      <c r="E8" s="1656" t="s">
        <v>2822</v>
      </c>
      <c r="F8" s="1648">
        <f>SUMIF(61:61,E8,62:62)-SUMIF(61:61,C8,62:62)+100</f>
        <v>100</v>
      </c>
      <c r="G8" s="1656" t="s">
        <v>2822</v>
      </c>
      <c r="H8" s="1646">
        <f>SUMIF(61:61,G8,62:62)-SUMIF(61:61,C8,62:62)+100</f>
        <v>100</v>
      </c>
      <c r="I8" s="1656" t="s">
        <v>2822</v>
      </c>
      <c r="J8" s="1646">
        <f>SUMIF(61:61,I8,62:62)-SUMIF(61:61,C8,62:62)+100</f>
        <v>100</v>
      </c>
      <c r="K8" s="1938"/>
      <c r="L8" s="2967"/>
      <c r="M8" s="2940"/>
      <c r="N8" s="2940"/>
      <c r="O8" s="2940"/>
      <c r="P8" s="3615" t="s">
        <v>2204</v>
      </c>
      <c r="Q8" s="3616"/>
      <c r="R8" s="1651" t="s">
        <v>25</v>
      </c>
      <c r="S8" s="1652">
        <f t="shared" si="0"/>
        <v>100</v>
      </c>
      <c r="T8" s="1651" t="s">
        <v>25</v>
      </c>
      <c r="U8" s="1652">
        <f t="shared" si="1"/>
        <v>100</v>
      </c>
      <c r="V8" s="1651" t="s">
        <v>25</v>
      </c>
      <c r="W8" s="1652">
        <f t="shared" si="2"/>
        <v>100</v>
      </c>
      <c r="X8" s="1653"/>
      <c r="Y8" s="3615" t="s">
        <v>2204</v>
      </c>
      <c r="Z8" s="3616"/>
      <c r="AA8" s="1654">
        <f t="shared" ref="AA8:AA46" si="3">D8/F8</f>
        <v>1</v>
      </c>
      <c r="AB8" s="1654">
        <f t="shared" ref="AB8:AB46" si="4">D8/H8</f>
        <v>1</v>
      </c>
      <c r="AC8" s="1654">
        <f t="shared" ref="AC8:AC46" si="5">D8/J8</f>
        <v>1</v>
      </c>
    </row>
    <row r="9" spans="1:29" s="1655" customFormat="1" ht="14.4">
      <c r="A9" s="2037" t="s">
        <v>2205</v>
      </c>
      <c r="B9" s="1658" t="s">
        <v>2206</v>
      </c>
      <c r="C9" s="3317" t="s">
        <v>2983</v>
      </c>
      <c r="D9" s="1660">
        <v>100</v>
      </c>
      <c r="E9" s="1661" t="s">
        <v>2980</v>
      </c>
      <c r="F9" s="1662">
        <f>SUMIF(63:63,E9,64:64)-SUMIF(63:63,C9,64:64)+100</f>
        <v>100</v>
      </c>
      <c r="G9" s="1661" t="s">
        <v>2980</v>
      </c>
      <c r="H9" s="1660">
        <f>SUMIF(63:63,G9,64:64)-SUMIF(63:63,C9,64:64)+100</f>
        <v>100</v>
      </c>
      <c r="I9" s="1661" t="s">
        <v>2980</v>
      </c>
      <c r="J9" s="1660">
        <f>SUMIF(63:63,I9,64:64)-SUMIF(63:63,C9,64:64)+100</f>
        <v>100</v>
      </c>
      <c r="K9" s="1938"/>
      <c r="L9" s="2967"/>
      <c r="M9" s="2940"/>
      <c r="N9" s="2940"/>
      <c r="O9" s="2940"/>
      <c r="P9" s="3618" t="s">
        <v>2207</v>
      </c>
      <c r="Q9" s="2036"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8"/>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18"/>
      <c r="Q11" s="2036"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8"/>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8"/>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8"/>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82.8">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1" t="s">
        <v>2212</v>
      </c>
      <c r="Q15" s="2042" t="str">
        <f t="shared" si="6"/>
        <v>商业繁华度</v>
      </c>
      <c r="R15" s="1696" t="s">
        <v>25</v>
      </c>
      <c r="S15" s="1697">
        <f t="shared" si="0"/>
        <v>100</v>
      </c>
      <c r="T15" s="1696" t="s">
        <v>25</v>
      </c>
      <c r="U15" s="1697">
        <f t="shared" si="1"/>
        <v>100</v>
      </c>
      <c r="V15" s="1696" t="s">
        <v>25</v>
      </c>
      <c r="W15" s="1697">
        <f t="shared" si="2"/>
        <v>100</v>
      </c>
      <c r="X15" s="2045"/>
      <c r="Y15" s="3608"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2"/>
      <c r="Q16" s="2042"/>
      <c r="R16" s="1696"/>
      <c r="S16" s="1697"/>
      <c r="T16" s="1696"/>
      <c r="U16" s="1697"/>
      <c r="V16" s="1696"/>
      <c r="W16" s="1697"/>
      <c r="X16" s="2045"/>
      <c r="Y16" s="3609"/>
      <c r="Z16" s="2049"/>
      <c r="AA16" s="2040">
        <v>1</v>
      </c>
      <c r="AB16" s="2040">
        <v>1</v>
      </c>
      <c r="AC16" s="2040">
        <v>1</v>
      </c>
    </row>
    <row r="17" spans="1:29" ht="96.6">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2"/>
      <c r="Q17" s="2042"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2"/>
      <c r="Q18" s="2042"/>
      <c r="R18" s="1696"/>
      <c r="S18" s="1697"/>
      <c r="T18" s="1696"/>
      <c r="U18" s="1697"/>
      <c r="V18" s="1696"/>
      <c r="W18" s="1697"/>
      <c r="X18" s="2045"/>
      <c r="Y18" s="3609"/>
      <c r="Z18" s="2049"/>
      <c r="AA18" s="2040">
        <v>1</v>
      </c>
      <c r="AB18" s="2040">
        <v>1</v>
      </c>
      <c r="AC18" s="2040">
        <v>1</v>
      </c>
    </row>
    <row r="19" spans="1:29" ht="41.4">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2"/>
      <c r="Q19" s="2042"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2"/>
      <c r="Q20" s="2042"/>
      <c r="R20" s="1696"/>
      <c r="S20" s="1697"/>
      <c r="T20" s="1696"/>
      <c r="U20" s="1697"/>
      <c r="V20" s="1696"/>
      <c r="W20" s="1697"/>
      <c r="X20" s="2045"/>
      <c r="Y20" s="3609"/>
      <c r="Z20" s="2049"/>
      <c r="AA20" s="2040">
        <v>1</v>
      </c>
      <c r="AB20" s="2040">
        <v>1</v>
      </c>
      <c r="AC20" s="2040">
        <v>1</v>
      </c>
    </row>
    <row r="21" spans="1:29" ht="41.4">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2"/>
      <c r="Q21" s="2042"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2"/>
      <c r="Q22" s="2042"/>
      <c r="R22" s="1696"/>
      <c r="S22" s="1697"/>
      <c r="T22" s="1696"/>
      <c r="U22" s="1697"/>
      <c r="V22" s="1696"/>
      <c r="W22" s="1697"/>
      <c r="X22" s="2045"/>
      <c r="Y22" s="3609"/>
      <c r="Z22" s="2049"/>
      <c r="AA22" s="2040">
        <v>1</v>
      </c>
      <c r="AB22" s="2040">
        <v>1</v>
      </c>
      <c r="AC22" s="2040">
        <v>1</v>
      </c>
    </row>
    <row r="23" spans="1:29" ht="55.2">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2"/>
      <c r="Q23" s="2042" t="str">
        <f>B23</f>
        <v>自然及人文环境</v>
      </c>
      <c r="R23" s="1696" t="s">
        <v>25</v>
      </c>
      <c r="S23" s="1697">
        <f>F23</f>
        <v>100</v>
      </c>
      <c r="T23" s="1696" t="s">
        <v>25</v>
      </c>
      <c r="U23" s="1697">
        <f>H23</f>
        <v>100</v>
      </c>
      <c r="V23" s="1696" t="s">
        <v>25</v>
      </c>
      <c r="W23" s="1697">
        <f>J23</f>
        <v>100</v>
      </c>
      <c r="X23" s="2045"/>
      <c r="Y23" s="360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2"/>
      <c r="Q24" s="2042"/>
      <c r="R24" s="1696"/>
      <c r="S24" s="1697"/>
      <c r="T24" s="1696"/>
      <c r="U24" s="1697"/>
      <c r="V24" s="1696"/>
      <c r="W24" s="1697"/>
      <c r="X24" s="2045"/>
      <c r="Y24" s="3609"/>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2"/>
      <c r="Q25" s="2042" t="str">
        <f t="shared" ref="Q25:Q46" si="11">B25</f>
        <v>临街状况</v>
      </c>
      <c r="R25" s="1696" t="s">
        <v>25</v>
      </c>
      <c r="S25" s="1697">
        <f>F25</f>
        <v>100</v>
      </c>
      <c r="T25" s="1696" t="s">
        <v>25</v>
      </c>
      <c r="U25" s="1697">
        <f>H25</f>
        <v>100</v>
      </c>
      <c r="V25" s="1696" t="s">
        <v>25</v>
      </c>
      <c r="W25" s="1697">
        <f>J25</f>
        <v>100</v>
      </c>
      <c r="X25" s="2045"/>
      <c r="Y25" s="3609"/>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2"/>
      <c r="Q26" s="2042" t="str">
        <f t="shared" si="11"/>
        <v>平面位置/可视性</v>
      </c>
      <c r="R26" s="1696" t="s">
        <v>25</v>
      </c>
      <c r="S26" s="1697">
        <f>F26</f>
        <v>100</v>
      </c>
      <c r="T26" s="1696" t="s">
        <v>25</v>
      </c>
      <c r="U26" s="1697">
        <f>H26</f>
        <v>100</v>
      </c>
      <c r="V26" s="1696" t="s">
        <v>25</v>
      </c>
      <c r="W26" s="1697">
        <f>J26</f>
        <v>100</v>
      </c>
      <c r="X26" s="2045"/>
      <c r="Y26" s="3609"/>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2"/>
      <c r="Q27" s="2036" t="str">
        <f t="shared" si="11"/>
        <v>人流量</v>
      </c>
      <c r="R27" s="1651" t="s">
        <v>25</v>
      </c>
      <c r="S27" s="1652">
        <f>F27</f>
        <v>100</v>
      </c>
      <c r="T27" s="1651" t="s">
        <v>25</v>
      </c>
      <c r="U27" s="1652">
        <f>H27</f>
        <v>100</v>
      </c>
      <c r="V27" s="1651" t="s">
        <v>25</v>
      </c>
      <c r="W27" s="1652">
        <f>J27</f>
        <v>100</v>
      </c>
      <c r="X27" s="1653"/>
      <c r="Y27" s="3609"/>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2"/>
      <c r="Q29" s="2042">
        <f t="shared" si="11"/>
        <v>111</v>
      </c>
      <c r="R29" s="1696" t="s">
        <v>25</v>
      </c>
      <c r="S29" s="1697">
        <f t="shared" si="12"/>
        <v>100</v>
      </c>
      <c r="T29" s="1696" t="s">
        <v>25</v>
      </c>
      <c r="U29" s="1697">
        <f t="shared" si="13"/>
        <v>100</v>
      </c>
      <c r="V29" s="1696" t="s">
        <v>25</v>
      </c>
      <c r="W29" s="1697">
        <f t="shared" si="14"/>
        <v>100</v>
      </c>
      <c r="X29" s="2045"/>
      <c r="Y29" s="360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2"/>
      <c r="Q30" s="2042">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2"/>
      <c r="Q31" s="2042">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0" t="s">
        <v>2218</v>
      </c>
      <c r="Q32" s="2042" t="str">
        <f t="shared" si="11"/>
        <v>商业类型</v>
      </c>
      <c r="R32" s="1696" t="s">
        <v>25</v>
      </c>
      <c r="S32" s="1697">
        <f t="shared" si="12"/>
        <v>100</v>
      </c>
      <c r="T32" s="1696" t="s">
        <v>25</v>
      </c>
      <c r="U32" s="1697">
        <f t="shared" si="13"/>
        <v>100</v>
      </c>
      <c r="V32" s="1696" t="s">
        <v>25</v>
      </c>
      <c r="W32" s="1697">
        <f t="shared" si="14"/>
        <v>100</v>
      </c>
      <c r="X32" s="2045"/>
      <c r="Y32" s="3613" t="s">
        <v>2218</v>
      </c>
      <c r="Z32" s="2049" t="str">
        <f t="shared" si="15"/>
        <v>商业类型</v>
      </c>
      <c r="AA32" s="2040">
        <f t="shared" si="3"/>
        <v>1</v>
      </c>
      <c r="AB32" s="2040">
        <f t="shared" si="4"/>
        <v>1</v>
      </c>
      <c r="AC32" s="2040">
        <f t="shared" si="5"/>
        <v>1</v>
      </c>
    </row>
    <row r="33" spans="1:29" s="1742" customFormat="1" ht="15">
      <c r="A33" s="1735"/>
      <c r="B33" s="1666" t="s">
        <v>2219</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611"/>
      <c r="Q33" s="1737" t="str">
        <f t="shared" si="11"/>
        <v>项目建筑规模</v>
      </c>
      <c r="R33" s="1738" t="s">
        <v>25</v>
      </c>
      <c r="S33" s="1739">
        <f t="shared" si="12"/>
        <v>100</v>
      </c>
      <c r="T33" s="1738" t="s">
        <v>25</v>
      </c>
      <c r="U33" s="1739">
        <f t="shared" si="13"/>
        <v>100</v>
      </c>
      <c r="V33" s="1738" t="s">
        <v>25</v>
      </c>
      <c r="W33" s="1739">
        <f t="shared" si="14"/>
        <v>100</v>
      </c>
      <c r="X33" s="1740"/>
      <c r="Y33" s="3613"/>
      <c r="Z33" s="1741" t="str">
        <f t="shared" si="15"/>
        <v>项目建筑规模</v>
      </c>
      <c r="AA33" s="2040">
        <f t="shared" si="3"/>
        <v>1</v>
      </c>
      <c r="AB33" s="2040">
        <f t="shared" si="4"/>
        <v>1</v>
      </c>
      <c r="AC33" s="2040">
        <f t="shared" si="5"/>
        <v>1</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1"/>
      <c r="Q34" s="2042" t="str">
        <f t="shared" si="11"/>
        <v>建筑结构</v>
      </c>
      <c r="R34" s="1696" t="s">
        <v>25</v>
      </c>
      <c r="S34" s="1697">
        <f t="shared" si="12"/>
        <v>100</v>
      </c>
      <c r="T34" s="1696" t="s">
        <v>25</v>
      </c>
      <c r="U34" s="1697">
        <f t="shared" si="13"/>
        <v>100</v>
      </c>
      <c r="V34" s="1696" t="s">
        <v>25</v>
      </c>
      <c r="W34" s="1697">
        <f t="shared" si="14"/>
        <v>100</v>
      </c>
      <c r="X34" s="2045"/>
      <c r="Y34" s="3613"/>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1"/>
      <c r="Q35" s="2042" t="str">
        <f t="shared" si="11"/>
        <v>公共部分装修</v>
      </c>
      <c r="R35" s="1696" t="s">
        <v>25</v>
      </c>
      <c r="S35" s="1697">
        <f t="shared" si="12"/>
        <v>100</v>
      </c>
      <c r="T35" s="1696" t="s">
        <v>25</v>
      </c>
      <c r="U35" s="1697">
        <f t="shared" si="13"/>
        <v>100</v>
      </c>
      <c r="V35" s="1696" t="s">
        <v>25</v>
      </c>
      <c r="W35" s="1697">
        <f t="shared" si="14"/>
        <v>100</v>
      </c>
      <c r="X35" s="2045"/>
      <c r="Y35" s="3613"/>
      <c r="Z35" s="2049" t="str">
        <f t="shared" si="15"/>
        <v>公共部分装修</v>
      </c>
      <c r="AA35" s="2040">
        <f t="shared" si="3"/>
        <v>1</v>
      </c>
      <c r="AB35" s="2040">
        <f t="shared" si="4"/>
        <v>1</v>
      </c>
      <c r="AC35" s="2040">
        <f t="shared" si="5"/>
        <v>1</v>
      </c>
    </row>
    <row r="36" spans="1:29" ht="15">
      <c r="A36" s="1743"/>
      <c r="B36" s="1666" t="s">
        <v>2306</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611"/>
      <c r="Q36" s="2042" t="str">
        <f t="shared" si="11"/>
        <v>成新度</v>
      </c>
      <c r="R36" s="1696" t="s">
        <v>25</v>
      </c>
      <c r="S36" s="1697">
        <f t="shared" si="12"/>
        <v>100</v>
      </c>
      <c r="T36" s="1696" t="s">
        <v>25</v>
      </c>
      <c r="U36" s="1697">
        <f t="shared" si="13"/>
        <v>100</v>
      </c>
      <c r="V36" s="1696" t="s">
        <v>25</v>
      </c>
      <c r="W36" s="1697">
        <f t="shared" si="14"/>
        <v>100</v>
      </c>
      <c r="X36" s="2045"/>
      <c r="Y36" s="3613"/>
      <c r="Z36" s="2049" t="str">
        <f t="shared" si="15"/>
        <v>成新度</v>
      </c>
      <c r="AA36" s="2040">
        <f t="shared" si="3"/>
        <v>1</v>
      </c>
      <c r="AB36" s="2040">
        <f t="shared" si="4"/>
        <v>1</v>
      </c>
      <c r="AC36" s="2040">
        <f t="shared" si="5"/>
        <v>1</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1"/>
      <c r="Q37" s="2036"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1" t="s">
        <v>2218</v>
      </c>
      <c r="Q38" s="2042" t="str">
        <f t="shared" si="11"/>
        <v>业态</v>
      </c>
      <c r="R38" s="1696" t="s">
        <v>25</v>
      </c>
      <c r="S38" s="1697">
        <f t="shared" si="12"/>
        <v>100</v>
      </c>
      <c r="T38" s="1696" t="s">
        <v>25</v>
      </c>
      <c r="U38" s="1697">
        <f t="shared" si="13"/>
        <v>100</v>
      </c>
      <c r="V38" s="1696" t="s">
        <v>25</v>
      </c>
      <c r="W38" s="1697">
        <f t="shared" si="14"/>
        <v>100</v>
      </c>
      <c r="X38" s="2045"/>
      <c r="Y38" s="3613"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1"/>
      <c r="Q39" s="2042" t="str">
        <f t="shared" si="11"/>
        <v>层高</v>
      </c>
      <c r="R39" s="1696" t="s">
        <v>25</v>
      </c>
      <c r="S39" s="1697">
        <f t="shared" si="12"/>
        <v>100</v>
      </c>
      <c r="T39" s="1696" t="s">
        <v>25</v>
      </c>
      <c r="U39" s="1697">
        <f t="shared" si="13"/>
        <v>100</v>
      </c>
      <c r="V39" s="1696" t="s">
        <v>25</v>
      </c>
      <c r="W39" s="1697">
        <f t="shared" si="14"/>
        <v>100</v>
      </c>
      <c r="X39" s="2045"/>
      <c r="Y39" s="3613"/>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1"/>
      <c r="Q40" s="2042" t="str">
        <f t="shared" si="11"/>
        <v>单套建筑面积</v>
      </c>
      <c r="R40" s="1696" t="s">
        <v>25</v>
      </c>
      <c r="S40" s="1697">
        <f t="shared" si="12"/>
        <v>100</v>
      </c>
      <c r="T40" s="1696" t="s">
        <v>25</v>
      </c>
      <c r="U40" s="1697">
        <f t="shared" si="13"/>
        <v>100</v>
      </c>
      <c r="V40" s="1696" t="s">
        <v>25</v>
      </c>
      <c r="W40" s="1697">
        <f t="shared" si="14"/>
        <v>100</v>
      </c>
      <c r="X40" s="2045"/>
      <c r="Y40" s="3613"/>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1"/>
      <c r="Q41" s="1737" t="str">
        <f t="shared" si="11"/>
        <v>进深比</v>
      </c>
      <c r="R41" s="1738" t="s">
        <v>25</v>
      </c>
      <c r="S41" s="1739">
        <f t="shared" si="12"/>
        <v>100</v>
      </c>
      <c r="T41" s="1738" t="s">
        <v>25</v>
      </c>
      <c r="U41" s="1739">
        <f t="shared" si="13"/>
        <v>100</v>
      </c>
      <c r="V41" s="1738" t="s">
        <v>25</v>
      </c>
      <c r="W41" s="1739">
        <f t="shared" si="14"/>
        <v>100</v>
      </c>
      <c r="X41" s="1740"/>
      <c r="Y41" s="3613"/>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1"/>
      <c r="Q42" s="2042" t="str">
        <f t="shared" si="11"/>
        <v>内部装修</v>
      </c>
      <c r="R42" s="1696" t="s">
        <v>25</v>
      </c>
      <c r="S42" s="1697">
        <f t="shared" si="12"/>
        <v>100</v>
      </c>
      <c r="T42" s="1696" t="s">
        <v>25</v>
      </c>
      <c r="U42" s="1697">
        <f t="shared" si="13"/>
        <v>100</v>
      </c>
      <c r="V42" s="1696" t="s">
        <v>25</v>
      </c>
      <c r="W42" s="1697">
        <f t="shared" si="14"/>
        <v>100</v>
      </c>
      <c r="X42" s="2045"/>
      <c r="Y42" s="3613"/>
      <c r="Z42" s="2049" t="str">
        <f t="shared" si="15"/>
        <v>内部装修</v>
      </c>
      <c r="AA42" s="2040">
        <f t="shared" si="3"/>
        <v>1</v>
      </c>
      <c r="AB42" s="2040">
        <f t="shared" si="4"/>
        <v>1</v>
      </c>
      <c r="AC42" s="2040">
        <f t="shared" si="5"/>
        <v>1</v>
      </c>
    </row>
    <row r="43" spans="1:29" ht="28.8">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1"/>
      <c r="Q43" s="2042" t="str">
        <f t="shared" si="11"/>
        <v>内部装修维护情况</v>
      </c>
      <c r="R43" s="1696" t="s">
        <v>25</v>
      </c>
      <c r="S43" s="1697">
        <f t="shared" si="12"/>
        <v>100</v>
      </c>
      <c r="T43" s="1696" t="s">
        <v>25</v>
      </c>
      <c r="U43" s="1697">
        <f t="shared" si="13"/>
        <v>100</v>
      </c>
      <c r="V43" s="1696" t="s">
        <v>25</v>
      </c>
      <c r="W43" s="1697">
        <f t="shared" si="14"/>
        <v>100</v>
      </c>
      <c r="X43" s="2045"/>
      <c r="Y43" s="361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1"/>
      <c r="Q44" s="2036">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1"/>
      <c r="Q45" s="2042">
        <f t="shared" si="11"/>
        <v>111</v>
      </c>
      <c r="R45" s="1696" t="s">
        <v>25</v>
      </c>
      <c r="S45" s="1697">
        <f t="shared" si="12"/>
        <v>100</v>
      </c>
      <c r="T45" s="1696" t="s">
        <v>25</v>
      </c>
      <c r="U45" s="1697">
        <f t="shared" si="13"/>
        <v>100</v>
      </c>
      <c r="V45" s="1696" t="s">
        <v>25</v>
      </c>
      <c r="W45" s="1697">
        <f t="shared" si="14"/>
        <v>100</v>
      </c>
      <c r="X45" s="2045"/>
      <c r="Y45" s="3613"/>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2"/>
      <c r="Q46" s="2042">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4.4">
      <c r="A47" s="1752" t="s">
        <v>2230</v>
      </c>
      <c r="B47" s="1753"/>
      <c r="C47" s="1754" t="s">
        <v>1</v>
      </c>
      <c r="D47" s="1755"/>
      <c r="E47" s="1756">
        <v>100000</v>
      </c>
      <c r="F47" s="1757"/>
      <c r="G47" s="1756">
        <v>100000</v>
      </c>
      <c r="H47" s="1759"/>
      <c r="I47" s="1756">
        <v>100000</v>
      </c>
      <c r="J47" s="1759"/>
      <c r="K47" s="1984"/>
      <c r="L47" s="2973"/>
      <c r="N47" s="2968"/>
      <c r="P47" s="3619" t="str">
        <f>A47</f>
        <v>成交单价（元/平方米）</v>
      </c>
      <c r="Q47" s="3619"/>
      <c r="R47" s="3620">
        <f>E47</f>
        <v>100000</v>
      </c>
      <c r="S47" s="3620"/>
      <c r="T47" s="3620">
        <f>G47</f>
        <v>100000</v>
      </c>
      <c r="U47" s="3620"/>
      <c r="V47" s="3620">
        <f>I47</f>
        <v>100000</v>
      </c>
      <c r="W47" s="3620"/>
      <c r="X47" s="1762"/>
      <c r="Y47" s="2044"/>
      <c r="Z47" s="1762"/>
      <c r="AA47" s="1762"/>
      <c r="AB47" s="1762"/>
      <c r="AC47" s="1762"/>
    </row>
    <row r="48" spans="1:29" ht="15" thickBot="1">
      <c r="A48" s="1764" t="s">
        <v>2313</v>
      </c>
      <c r="B48" s="1765"/>
      <c r="C48" s="1766">
        <f>R49</f>
        <v>100000</v>
      </c>
      <c r="D48" s="1767" t="s">
        <v>2684</v>
      </c>
      <c r="E48" s="1768">
        <f>R48</f>
        <v>100000</v>
      </c>
      <c r="F48" s="1769"/>
      <c r="G48" s="1766">
        <f>T48</f>
        <v>100000</v>
      </c>
      <c r="H48" s="1769"/>
      <c r="I48" s="1768">
        <f>V48</f>
        <v>100000</v>
      </c>
      <c r="J48" s="1769"/>
      <c r="K48" s="2481">
        <f>F48+H48+J48</f>
        <v>0</v>
      </c>
      <c r="L48" s="2973"/>
      <c r="N48" s="2968"/>
      <c r="P48" s="3619" t="str">
        <f>A48</f>
        <v>比较价值（元/平方米）</v>
      </c>
      <c r="Q48" s="3619"/>
      <c r="R48" s="3620">
        <f>IF(E1="售价",ROUND(PRODUCT(R47,AA7:AA46),0),ROUND(PRODUCT(R47,AA7:AA46),1))</f>
        <v>100000</v>
      </c>
      <c r="S48" s="3620"/>
      <c r="T48" s="3620">
        <f>IF(E1="售价",ROUND(PRODUCT(T47,AB7:AB46),0),ROUND(PRODUCT(T47,AB7:AB46),1))</f>
        <v>100000</v>
      </c>
      <c r="U48" s="3620"/>
      <c r="V48" s="3620">
        <f>IF(E1="售价",ROUND(PRODUCT(V47,AC7:AC46),0),ROUND(PRODUCT(V47,AC7:AC46),1))</f>
        <v>100000</v>
      </c>
      <c r="W48" s="3620"/>
      <c r="X48" s="1762"/>
      <c r="Y48" s="1762"/>
      <c r="Z48" s="1762"/>
      <c r="AA48" s="1762"/>
      <c r="AB48" s="1762"/>
      <c r="AC48" s="1762"/>
    </row>
    <row r="49" spans="1:29" ht="15" thickBot="1">
      <c r="A49" s="1770" t="s">
        <v>2314</v>
      </c>
      <c r="B49" s="1771"/>
      <c r="C49" s="1773">
        <f>R49</f>
        <v>100000</v>
      </c>
      <c r="D49" s="1773"/>
      <c r="E49" s="1773"/>
      <c r="F49" s="1773"/>
      <c r="G49" s="1773"/>
      <c r="H49" s="1773"/>
      <c r="I49" s="1773"/>
      <c r="J49" s="1773"/>
      <c r="K49" s="1989"/>
      <c r="L49" s="2973"/>
      <c r="N49" s="2968"/>
      <c r="P49" s="3625" t="str">
        <f>A49</f>
        <v>估价对象XX用房的比较价值（楼面单价，元/平方米）</v>
      </c>
      <c r="Q49" s="3626"/>
      <c r="R49" s="3627">
        <f>IF(E1="售价",ROUND(IF(D48="简单平均",AVERAGE(R48:V48),R48*F48+T48*H48+V48*J48),0),ROUND(IF(D48="简单平均",AVERAGE(R48:V48),R48*F48+T48*H48+V48*J48),1))</f>
        <v>100000</v>
      </c>
      <c r="S49" s="3627"/>
      <c r="T49" s="3627"/>
      <c r="U49" s="3627"/>
      <c r="V49" s="3627"/>
      <c r="W49" s="3627"/>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2200</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2241</v>
      </c>
      <c r="B63" s="1818" t="s">
        <v>2206</v>
      </c>
      <c r="C63" s="1819" t="str">
        <f>C9</f>
        <v>商业</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 thickTop="1">
      <c r="A67" s="1824"/>
      <c r="B67" s="1835" t="s">
        <v>2210</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v>0</v>
      </c>
      <c r="D68" s="1838">
        <v>1</v>
      </c>
      <c r="E68" s="1838">
        <v>2</v>
      </c>
      <c r="F68" s="1838">
        <v>3</v>
      </c>
      <c r="G68" s="1838"/>
      <c r="H68" s="1838"/>
      <c r="I68" s="1838"/>
      <c r="J68" s="1838"/>
      <c r="K68" s="438"/>
      <c r="L68" s="438"/>
      <c r="M68" s="1839"/>
      <c r="N68" s="2986"/>
      <c r="O68" s="2986"/>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4.4"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thickBot="1">
      <c r="A71" s="1840"/>
      <c r="B71" s="1832"/>
      <c r="C71" s="1845"/>
      <c r="D71" s="1826"/>
      <c r="E71" s="1826"/>
      <c r="F71" s="1826"/>
      <c r="G71" s="1826"/>
      <c r="H71" s="1826"/>
      <c r="I71" s="1826"/>
      <c r="J71" s="1826"/>
      <c r="K71" s="1826"/>
      <c r="L71" s="1826"/>
      <c r="M71" s="1827"/>
      <c r="N71" s="2987"/>
      <c r="O71" s="2987"/>
      <c r="P71" s="1843"/>
      <c r="Q71" s="1844"/>
    </row>
    <row r="72" spans="1:17" s="1742" customFormat="1" ht="14.4"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thickBot="1">
      <c r="A73" s="1840"/>
      <c r="B73" s="1832"/>
      <c r="C73" s="1845"/>
      <c r="D73" s="1826"/>
      <c r="E73" s="1826"/>
      <c r="F73" s="1826"/>
      <c r="G73" s="1845"/>
      <c r="H73" s="1848"/>
      <c r="I73" s="1848"/>
      <c r="J73" s="1848"/>
      <c r="K73" s="1848"/>
      <c r="L73" s="1848"/>
      <c r="M73" s="1849"/>
      <c r="N73" s="2988"/>
      <c r="O73" s="2988"/>
      <c r="P73" s="1843"/>
      <c r="Q73" s="1844"/>
    </row>
    <row r="74" spans="1:17" s="1742" customFormat="1" ht="14.4"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thickBot="1">
      <c r="A75" s="1851"/>
      <c r="B75" s="1852"/>
      <c r="C75" s="1853"/>
      <c r="D75" s="1853"/>
      <c r="E75" s="1853"/>
      <c r="F75" s="1853"/>
      <c r="G75" s="1853"/>
      <c r="H75" s="1854"/>
      <c r="I75" s="1854"/>
      <c r="J75" s="1854"/>
      <c r="K75" s="1854"/>
      <c r="L75" s="1854"/>
      <c r="M75" s="1855"/>
      <c r="N75" s="2988"/>
      <c r="O75" s="2988"/>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 thickTop="1">
      <c r="A86" s="1860"/>
      <c r="B86" s="1829" t="s">
        <v>2319</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4.4" thickTop="1">
      <c r="A92" s="1824"/>
      <c r="B92" s="1829" t="str">
        <f>B28</f>
        <v>楼层</v>
      </c>
      <c r="C92" s="468"/>
      <c r="D92" s="468"/>
      <c r="E92" s="468"/>
      <c r="F92" s="468"/>
      <c r="G92" s="468"/>
      <c r="H92" s="468"/>
      <c r="I92" s="468"/>
      <c r="J92" s="468"/>
      <c r="K92" s="468"/>
      <c r="L92" s="468"/>
      <c r="M92" s="1861"/>
      <c r="N92" s="2986"/>
      <c r="O92" s="2986"/>
      <c r="P92" s="1823"/>
      <c r="Q92" s="1792"/>
    </row>
    <row r="93" spans="1:17" ht="14.4" thickBot="1">
      <c r="A93" s="1824"/>
      <c r="B93" s="1832"/>
      <c r="C93" s="1826"/>
      <c r="D93" s="1826"/>
      <c r="E93" s="1826"/>
      <c r="F93" s="1826"/>
      <c r="G93" s="1826"/>
      <c r="H93" s="1826"/>
      <c r="I93" s="1826"/>
      <c r="J93" s="1826"/>
      <c r="K93" s="1826"/>
      <c r="L93" s="1826"/>
      <c r="M93" s="1827"/>
      <c r="N93" s="2987"/>
      <c r="O93" s="2987"/>
      <c r="P93" s="1823"/>
      <c r="Q93" s="1792"/>
    </row>
    <row r="94" spans="1:17" ht="14.4" thickTop="1">
      <c r="A94" s="1824"/>
      <c r="B94" s="1829">
        <f>B29</f>
        <v>111</v>
      </c>
      <c r="C94" s="468"/>
      <c r="D94" s="468"/>
      <c r="E94" s="468"/>
      <c r="F94" s="468"/>
      <c r="G94" s="1548"/>
      <c r="H94" s="1548"/>
      <c r="I94" s="1548"/>
      <c r="J94" s="1548"/>
      <c r="K94" s="473"/>
      <c r="L94" s="473"/>
      <c r="M94" s="1864"/>
      <c r="N94" s="2986"/>
      <c r="O94" s="2986"/>
      <c r="P94" s="1823"/>
      <c r="Q94" s="1792"/>
    </row>
    <row r="95" spans="1:17" ht="14.4" thickBot="1">
      <c r="A95" s="1824"/>
      <c r="B95" s="1832"/>
      <c r="C95" s="1845"/>
      <c r="D95" s="1826"/>
      <c r="E95" s="1826"/>
      <c r="F95" s="1826"/>
      <c r="G95" s="1826"/>
      <c r="H95" s="1826"/>
      <c r="I95" s="1826"/>
      <c r="J95" s="1826"/>
      <c r="K95" s="1826"/>
      <c r="L95" s="1826"/>
      <c r="M95" s="1827"/>
      <c r="N95" s="2987"/>
      <c r="O95" s="2987"/>
      <c r="P95" s="1823"/>
      <c r="Q95" s="1792"/>
    </row>
    <row r="96" spans="1:17" ht="14.4" thickTop="1">
      <c r="A96" s="1824"/>
      <c r="B96" s="1829">
        <f>B30</f>
        <v>111</v>
      </c>
      <c r="C96" s="468"/>
      <c r="D96" s="468"/>
      <c r="E96" s="468"/>
      <c r="F96" s="468"/>
      <c r="G96" s="1548"/>
      <c r="H96" s="1548"/>
      <c r="I96" s="1548"/>
      <c r="J96" s="1548"/>
      <c r="K96" s="473"/>
      <c r="L96" s="473"/>
      <c r="M96" s="1864"/>
      <c r="N96" s="2986"/>
      <c r="O96" s="2986"/>
      <c r="P96" s="1823"/>
      <c r="Q96" s="1792"/>
    </row>
    <row r="97" spans="1:17" ht="14.4" thickBot="1">
      <c r="A97" s="1824"/>
      <c r="B97" s="1832"/>
      <c r="C97" s="1845"/>
      <c r="D97" s="1826"/>
      <c r="E97" s="1826"/>
      <c r="F97" s="1826"/>
      <c r="G97" s="1826"/>
      <c r="H97" s="1826"/>
      <c r="I97" s="1826"/>
      <c r="J97" s="1826"/>
      <c r="K97" s="1826"/>
      <c r="L97" s="1826"/>
      <c r="M97" s="1827"/>
      <c r="N97" s="2987"/>
      <c r="O97" s="2987"/>
      <c r="P97" s="1823"/>
      <c r="Q97" s="1792"/>
    </row>
    <row r="98" spans="1:17" ht="14.4" thickTop="1">
      <c r="A98" s="1824"/>
      <c r="B98" s="1835">
        <f>B31</f>
        <v>111</v>
      </c>
      <c r="C98" s="468"/>
      <c r="D98" s="468"/>
      <c r="E98" s="468"/>
      <c r="F98" s="468"/>
      <c r="G98" s="1865"/>
      <c r="H98" s="1865"/>
      <c r="I98" s="1865"/>
      <c r="J98" s="1865"/>
      <c r="K98" s="477"/>
      <c r="L98" s="477"/>
      <c r="M98" s="1866"/>
      <c r="N98" s="2986"/>
      <c r="O98" s="2986"/>
      <c r="P98" s="1823"/>
      <c r="Q98" s="1792"/>
    </row>
    <row r="99" spans="1:17" ht="14.4" thickBot="1">
      <c r="A99" s="1867"/>
      <c r="B99" s="1852"/>
      <c r="C99" s="1853"/>
      <c r="D99" s="1853"/>
      <c r="E99" s="1853"/>
      <c r="F99" s="1853"/>
      <c r="G99" s="1868"/>
      <c r="H99" s="1868"/>
      <c r="I99" s="1868"/>
      <c r="J99" s="1868"/>
      <c r="K99" s="1868"/>
      <c r="L99" s="1868"/>
      <c r="M99" s="1869"/>
      <c r="N99" s="2987"/>
      <c r="O99" s="2987"/>
      <c r="P99" s="1823"/>
      <c r="Q99" s="1792"/>
    </row>
    <row r="100" spans="1:17" ht="14.4">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 thickTop="1">
      <c r="A102" s="1824"/>
      <c r="B102" s="1829" t="s">
        <v>2266</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4.4"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4.4" thickBot="1">
      <c r="A127" s="1840"/>
      <c r="B127" s="1832"/>
      <c r="C127" s="1845"/>
      <c r="D127" s="1826"/>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847.76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2045"/>
      <c r="Y4" s="3593" t="s">
        <v>2193</v>
      </c>
      <c r="Z4" s="3594"/>
      <c r="AA4" s="3580" t="s">
        <v>2189</v>
      </c>
      <c r="AB4" s="3580" t="s">
        <v>2190</v>
      </c>
      <c r="AC4" s="3580" t="s">
        <v>2191</v>
      </c>
    </row>
    <row r="5" spans="1:29">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2045"/>
      <c r="Y5" s="3595"/>
      <c r="Z5" s="3596"/>
      <c r="AA5" s="3581"/>
      <c r="AB5" s="3581"/>
      <c r="AC5" s="3581"/>
    </row>
    <row r="6" spans="1:29" ht="1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2045"/>
      <c r="Y6" s="3597"/>
      <c r="Z6" s="3598"/>
      <c r="AA6" s="3582"/>
      <c r="AB6" s="3582"/>
      <c r="AC6" s="3582"/>
    </row>
    <row r="7" spans="1:29" s="1655" customFormat="1" ht="15" thickBot="1">
      <c r="A7" s="1643" t="s">
        <v>2200</v>
      </c>
      <c r="B7" s="1644"/>
      <c r="C7" s="1645">
        <f>'数据-取费表'!B2</f>
        <v>44571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29" s="1655" customFormat="1" ht="1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7" si="3">D8/F8</f>
        <v>#DIV/0!</v>
      </c>
      <c r="AB8" s="1654" t="e">
        <f t="shared" ref="AB8:AB47" si="4">D8/H8</f>
        <v>#DIV/0!</v>
      </c>
      <c r="AC8" s="1654" t="e">
        <f t="shared" ref="AC8:AC47" si="5">D8/J8</f>
        <v>#DIV/0!</v>
      </c>
    </row>
    <row r="9" spans="1:29" s="1655" customFormat="1" ht="14.4">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9" t="s">
        <v>2207</v>
      </c>
      <c r="Q9" s="288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9"/>
      <c r="Q10" s="288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9"/>
      <c r="Q11" s="288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9"/>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9"/>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9"/>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82.8">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8" t="s">
        <v>2212</v>
      </c>
      <c r="Q15" s="2886" t="str">
        <f t="shared" si="6"/>
        <v>办公集聚程度</v>
      </c>
      <c r="R15" s="1696" t="s">
        <v>25</v>
      </c>
      <c r="S15" s="1697">
        <f t="shared" si="0"/>
        <v>100</v>
      </c>
      <c r="T15" s="1696" t="s">
        <v>25</v>
      </c>
      <c r="U15" s="1697">
        <f t="shared" si="1"/>
        <v>100</v>
      </c>
      <c r="V15" s="1696" t="s">
        <v>25</v>
      </c>
      <c r="W15" s="1697">
        <f t="shared" si="2"/>
        <v>100</v>
      </c>
      <c r="X15" s="2045"/>
      <c r="Y15" s="3608"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9"/>
      <c r="Q16" s="2886"/>
      <c r="R16" s="1696"/>
      <c r="S16" s="1697"/>
      <c r="T16" s="1696"/>
      <c r="U16" s="1697"/>
      <c r="V16" s="1696"/>
      <c r="W16" s="1697"/>
      <c r="X16" s="2045"/>
      <c r="Y16" s="3609"/>
      <c r="Z16" s="2049"/>
      <c r="AA16" s="2040">
        <v>1</v>
      </c>
      <c r="AB16" s="2040">
        <v>1</v>
      </c>
      <c r="AC16" s="2040">
        <v>1</v>
      </c>
    </row>
    <row r="17" spans="1:29" ht="96.6">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9"/>
      <c r="Q17" s="2886" t="str">
        <f>B17</f>
        <v>交通便捷度</v>
      </c>
      <c r="R17" s="1696" t="s">
        <v>25</v>
      </c>
      <c r="S17" s="1697">
        <f>F17</f>
        <v>100</v>
      </c>
      <c r="T17" s="1696" t="s">
        <v>25</v>
      </c>
      <c r="U17" s="1697">
        <f>H17</f>
        <v>100</v>
      </c>
      <c r="V17" s="1696" t="s">
        <v>25</v>
      </c>
      <c r="W17" s="1697">
        <f>J17</f>
        <v>100</v>
      </c>
      <c r="X17" s="2045"/>
      <c r="Y17" s="360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9"/>
      <c r="Q18" s="2886"/>
      <c r="R18" s="1696"/>
      <c r="S18" s="1697"/>
      <c r="T18" s="1696"/>
      <c r="U18" s="1697"/>
      <c r="V18" s="1696"/>
      <c r="W18" s="1697"/>
      <c r="X18" s="2045"/>
      <c r="Y18" s="3609"/>
      <c r="Z18" s="2049"/>
      <c r="AA18" s="2040">
        <v>1</v>
      </c>
      <c r="AB18" s="2040">
        <v>1</v>
      </c>
      <c r="AC18" s="2040">
        <v>1</v>
      </c>
    </row>
    <row r="19" spans="1:29" ht="41.4">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9"/>
      <c r="Q19" s="2886" t="str">
        <f>B19</f>
        <v>公共配套设施</v>
      </c>
      <c r="R19" s="1696" t="s">
        <v>25</v>
      </c>
      <c r="S19" s="1697">
        <f>F19</f>
        <v>100</v>
      </c>
      <c r="T19" s="1696" t="s">
        <v>25</v>
      </c>
      <c r="U19" s="1697">
        <f>H19</f>
        <v>100</v>
      </c>
      <c r="V19" s="1696" t="s">
        <v>25</v>
      </c>
      <c r="W19" s="1697">
        <f>J19</f>
        <v>100</v>
      </c>
      <c r="X19" s="2045"/>
      <c r="Y19" s="360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9"/>
      <c r="Q20" s="2886"/>
      <c r="R20" s="1696"/>
      <c r="S20" s="1697"/>
      <c r="T20" s="1696"/>
      <c r="U20" s="1697"/>
      <c r="V20" s="1696"/>
      <c r="W20" s="1697"/>
      <c r="X20" s="2045"/>
      <c r="Y20" s="3609"/>
      <c r="Z20" s="2049"/>
      <c r="AA20" s="2040">
        <v>1</v>
      </c>
      <c r="AB20" s="2040">
        <v>1</v>
      </c>
      <c r="AC20" s="2040">
        <v>1</v>
      </c>
    </row>
    <row r="21" spans="1:29" ht="41.4">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9"/>
      <c r="Q21" s="2886" t="str">
        <f>B21</f>
        <v>基础设施水平</v>
      </c>
      <c r="R21" s="1696" t="s">
        <v>25</v>
      </c>
      <c r="S21" s="1697">
        <f>F21</f>
        <v>100</v>
      </c>
      <c r="T21" s="1696" t="s">
        <v>25</v>
      </c>
      <c r="U21" s="1697">
        <f>H21</f>
        <v>100</v>
      </c>
      <c r="V21" s="1696" t="s">
        <v>25</v>
      </c>
      <c r="W21" s="1697">
        <f>J21</f>
        <v>100</v>
      </c>
      <c r="X21" s="2045"/>
      <c r="Y21" s="360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9"/>
      <c r="Q22" s="2886"/>
      <c r="R22" s="1696"/>
      <c r="S22" s="1697"/>
      <c r="T22" s="1696"/>
      <c r="U22" s="1697"/>
      <c r="V22" s="1696"/>
      <c r="W22" s="1697"/>
      <c r="X22" s="2045"/>
      <c r="Y22" s="3609"/>
      <c r="Z22" s="2049"/>
      <c r="AA22" s="2040">
        <v>1</v>
      </c>
      <c r="AB22" s="2040">
        <v>1</v>
      </c>
      <c r="AC22" s="2040">
        <v>1</v>
      </c>
    </row>
    <row r="23" spans="1:29" ht="55.2">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9"/>
      <c r="Q23" s="2886" t="str">
        <f>B23</f>
        <v>环境质量</v>
      </c>
      <c r="R23" s="1696" t="s">
        <v>25</v>
      </c>
      <c r="S23" s="1697">
        <f>F23</f>
        <v>100</v>
      </c>
      <c r="T23" s="1696" t="s">
        <v>25</v>
      </c>
      <c r="U23" s="1697">
        <f>H23</f>
        <v>100</v>
      </c>
      <c r="V23" s="1696" t="s">
        <v>25</v>
      </c>
      <c r="W23" s="1697">
        <f>J23</f>
        <v>100</v>
      </c>
      <c r="X23" s="2045"/>
      <c r="Y23" s="360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9"/>
      <c r="Q24" s="2886"/>
      <c r="R24" s="1696"/>
      <c r="S24" s="1697"/>
      <c r="T24" s="1696"/>
      <c r="U24" s="1697"/>
      <c r="V24" s="1696"/>
      <c r="W24" s="1697"/>
      <c r="X24" s="2045"/>
      <c r="Y24" s="3609"/>
      <c r="Z24" s="2049"/>
      <c r="AA24" s="2040">
        <v>1</v>
      </c>
      <c r="AB24" s="2040">
        <v>1</v>
      </c>
      <c r="AC24" s="2040">
        <v>1</v>
      </c>
    </row>
    <row r="25" spans="1:29" ht="28.8">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9"/>
      <c r="Q25" s="2886" t="str">
        <f>B25</f>
        <v>毗邻道路的类型与等级</v>
      </c>
      <c r="R25" s="1696" t="s">
        <v>25</v>
      </c>
      <c r="S25" s="1697">
        <f>F25</f>
        <v>100</v>
      </c>
      <c r="T25" s="1696" t="s">
        <v>25</v>
      </c>
      <c r="U25" s="1697">
        <f>H25</f>
        <v>100</v>
      </c>
      <c r="V25" s="1696" t="s">
        <v>25</v>
      </c>
      <c r="W25" s="1697">
        <f>J25</f>
        <v>100</v>
      </c>
      <c r="X25" s="2045"/>
      <c r="Y25" s="360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9"/>
      <c r="Q26" s="2886"/>
      <c r="R26" s="1696"/>
      <c r="S26" s="1697"/>
      <c r="T26" s="1696"/>
      <c r="U26" s="1697"/>
      <c r="V26" s="1696"/>
      <c r="W26" s="1697"/>
      <c r="X26" s="2045"/>
      <c r="Y26" s="3609"/>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9"/>
      <c r="Q27" s="2886" t="str">
        <f t="shared" ref="Q27:Q47" si="11">B27</f>
        <v>楼层</v>
      </c>
      <c r="R27" s="1696" t="s">
        <v>25</v>
      </c>
      <c r="S27" s="1697">
        <f>F27</f>
        <v>100</v>
      </c>
      <c r="T27" s="1696" t="s">
        <v>25</v>
      </c>
      <c r="U27" s="1697">
        <f>H27</f>
        <v>100</v>
      </c>
      <c r="V27" s="1696" t="s">
        <v>25</v>
      </c>
      <c r="W27" s="1697">
        <f>J27</f>
        <v>100</v>
      </c>
      <c r="X27" s="2045"/>
      <c r="Y27" s="3609"/>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9"/>
      <c r="Q28" s="2885" t="str">
        <f t="shared" si="11"/>
        <v>朝向</v>
      </c>
      <c r="R28" s="1651" t="s">
        <v>25</v>
      </c>
      <c r="S28" s="1652">
        <f>F28</f>
        <v>100</v>
      </c>
      <c r="T28" s="1651" t="s">
        <v>25</v>
      </c>
      <c r="U28" s="1652">
        <f>H28</f>
        <v>100</v>
      </c>
      <c r="V28" s="1651" t="s">
        <v>25</v>
      </c>
      <c r="W28" s="1652">
        <f>J28</f>
        <v>100</v>
      </c>
      <c r="X28" s="1653"/>
      <c r="Y28" s="360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9"/>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9"/>
      <c r="Q30" s="2886">
        <f t="shared" si="11"/>
        <v>111</v>
      </c>
      <c r="R30" s="1696" t="s">
        <v>25</v>
      </c>
      <c r="S30" s="1697">
        <f t="shared" si="12"/>
        <v>100</v>
      </c>
      <c r="T30" s="1696" t="s">
        <v>25</v>
      </c>
      <c r="U30" s="1697">
        <f t="shared" si="13"/>
        <v>100</v>
      </c>
      <c r="V30" s="1696" t="s">
        <v>25</v>
      </c>
      <c r="W30" s="1697">
        <f t="shared" si="14"/>
        <v>100</v>
      </c>
      <c r="X30" s="2045"/>
      <c r="Y30" s="360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9"/>
      <c r="Q31" s="2886">
        <f t="shared" si="11"/>
        <v>111</v>
      </c>
      <c r="R31" s="1696" t="s">
        <v>25</v>
      </c>
      <c r="S31" s="1697">
        <f t="shared" si="12"/>
        <v>100</v>
      </c>
      <c r="T31" s="1696" t="s">
        <v>25</v>
      </c>
      <c r="U31" s="1697">
        <f t="shared" si="13"/>
        <v>100</v>
      </c>
      <c r="V31" s="1696" t="s">
        <v>25</v>
      </c>
      <c r="W31" s="1697">
        <f t="shared" si="14"/>
        <v>100</v>
      </c>
      <c r="X31" s="2045"/>
      <c r="Y31" s="3609"/>
      <c r="Z31" s="2049">
        <f t="shared" si="15"/>
        <v>111</v>
      </c>
      <c r="AA31" s="2040">
        <f t="shared" si="3"/>
        <v>1</v>
      </c>
      <c r="AB31" s="2040">
        <f t="shared" si="4"/>
        <v>1</v>
      </c>
      <c r="AC31" s="2040">
        <f t="shared" si="5"/>
        <v>1</v>
      </c>
    </row>
    <row r="32" spans="1:29" ht="15.6"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9"/>
      <c r="Q32" s="2886">
        <f t="shared" si="11"/>
        <v>111</v>
      </c>
      <c r="R32" s="1696" t="s">
        <v>25</v>
      </c>
      <c r="S32" s="1697">
        <f t="shared" si="12"/>
        <v>100</v>
      </c>
      <c r="T32" s="1696" t="s">
        <v>25</v>
      </c>
      <c r="U32" s="1697">
        <f t="shared" si="13"/>
        <v>100</v>
      </c>
      <c r="V32" s="1696" t="s">
        <v>25</v>
      </c>
      <c r="W32" s="1697">
        <f t="shared" si="14"/>
        <v>100</v>
      </c>
      <c r="X32" s="2045"/>
      <c r="Y32" s="3609"/>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8" t="s">
        <v>2218</v>
      </c>
      <c r="Q33" s="2886" t="str">
        <f t="shared" si="11"/>
        <v>建筑类型</v>
      </c>
      <c r="R33" s="1696" t="s">
        <v>25</v>
      </c>
      <c r="S33" s="1697">
        <f t="shared" si="12"/>
        <v>100</v>
      </c>
      <c r="T33" s="1696" t="s">
        <v>25</v>
      </c>
      <c r="U33" s="1697">
        <f t="shared" si="13"/>
        <v>100</v>
      </c>
      <c r="V33" s="1696" t="s">
        <v>25</v>
      </c>
      <c r="W33" s="1697">
        <f t="shared" si="14"/>
        <v>100</v>
      </c>
      <c r="X33" s="2045"/>
      <c r="Y33" s="3613"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13"/>
      <c r="Q34" s="1737" t="str">
        <f t="shared" si="11"/>
        <v>项目建筑规模</v>
      </c>
      <c r="R34" s="1738" t="s">
        <v>25</v>
      </c>
      <c r="S34" s="1739" t="e">
        <f t="shared" si="12"/>
        <v>#N/A</v>
      </c>
      <c r="T34" s="1738" t="s">
        <v>25</v>
      </c>
      <c r="U34" s="1739" t="e">
        <f t="shared" si="13"/>
        <v>#N/A</v>
      </c>
      <c r="V34" s="1738" t="s">
        <v>25</v>
      </c>
      <c r="W34" s="1739" t="e">
        <f t="shared" si="14"/>
        <v>#N/A</v>
      </c>
      <c r="X34" s="1740"/>
      <c r="Y34" s="3613"/>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13"/>
      <c r="Q35" s="2886" t="str">
        <f t="shared" si="11"/>
        <v>建筑结构</v>
      </c>
      <c r="R35" s="1696" t="s">
        <v>25</v>
      </c>
      <c r="S35" s="1697">
        <f t="shared" si="12"/>
        <v>100</v>
      </c>
      <c r="T35" s="1696" t="s">
        <v>25</v>
      </c>
      <c r="U35" s="1697">
        <f t="shared" si="13"/>
        <v>100</v>
      </c>
      <c r="V35" s="1696" t="s">
        <v>25</v>
      </c>
      <c r="W35" s="1697">
        <f t="shared" si="14"/>
        <v>100</v>
      </c>
      <c r="X35" s="2045"/>
      <c r="Y35" s="3613"/>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13"/>
      <c r="Q36" s="2886" t="str">
        <f t="shared" si="11"/>
        <v>公共部分装修</v>
      </c>
      <c r="R36" s="1696" t="s">
        <v>25</v>
      </c>
      <c r="S36" s="1697">
        <f t="shared" si="12"/>
        <v>100</v>
      </c>
      <c r="T36" s="1696" t="s">
        <v>25</v>
      </c>
      <c r="U36" s="1697">
        <f t="shared" si="13"/>
        <v>100</v>
      </c>
      <c r="V36" s="1696" t="s">
        <v>25</v>
      </c>
      <c r="W36" s="1697">
        <f t="shared" si="14"/>
        <v>100</v>
      </c>
      <c r="X36" s="2045"/>
      <c r="Y36" s="3613"/>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13"/>
      <c r="Q37" s="2886" t="str">
        <f t="shared" si="11"/>
        <v>成新度</v>
      </c>
      <c r="R37" s="1696" t="s">
        <v>25</v>
      </c>
      <c r="S37" s="1697" t="e">
        <f t="shared" si="12"/>
        <v>#N/A</v>
      </c>
      <c r="T37" s="1696" t="s">
        <v>25</v>
      </c>
      <c r="U37" s="1697" t="e">
        <f t="shared" si="13"/>
        <v>#N/A</v>
      </c>
      <c r="V37" s="1696" t="s">
        <v>25</v>
      </c>
      <c r="W37" s="1697" t="e">
        <f t="shared" si="14"/>
        <v>#N/A</v>
      </c>
      <c r="X37" s="2045"/>
      <c r="Y37" s="3613"/>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13"/>
      <c r="Q38" s="2885"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13" t="s">
        <v>2218</v>
      </c>
      <c r="Q39" s="2886" t="str">
        <f t="shared" si="11"/>
        <v>物业管理</v>
      </c>
      <c r="R39" s="1696" t="s">
        <v>25</v>
      </c>
      <c r="S39" s="1697">
        <f t="shared" si="12"/>
        <v>100</v>
      </c>
      <c r="T39" s="1696" t="s">
        <v>25</v>
      </c>
      <c r="U39" s="1697">
        <f t="shared" si="13"/>
        <v>100</v>
      </c>
      <c r="V39" s="1696" t="s">
        <v>25</v>
      </c>
      <c r="W39" s="1697">
        <f t="shared" si="14"/>
        <v>100</v>
      </c>
      <c r="X39" s="2045"/>
      <c r="Y39" s="3613"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13"/>
      <c r="Q40" s="2886" t="str">
        <f t="shared" si="11"/>
        <v>市政基础设施</v>
      </c>
      <c r="R40" s="1696" t="s">
        <v>25</v>
      </c>
      <c r="S40" s="1697">
        <f t="shared" si="12"/>
        <v>100</v>
      </c>
      <c r="T40" s="1696" t="s">
        <v>25</v>
      </c>
      <c r="U40" s="1697">
        <f t="shared" si="13"/>
        <v>100</v>
      </c>
      <c r="V40" s="1696" t="s">
        <v>25</v>
      </c>
      <c r="W40" s="1697">
        <f t="shared" si="14"/>
        <v>100</v>
      </c>
      <c r="X40" s="2045"/>
      <c r="Y40" s="3613"/>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13"/>
      <c r="Q41" s="2886" t="str">
        <f t="shared" si="11"/>
        <v>层高</v>
      </c>
      <c r="R41" s="1696" t="s">
        <v>25</v>
      </c>
      <c r="S41" s="1697">
        <f t="shared" si="12"/>
        <v>100</v>
      </c>
      <c r="T41" s="1696" t="s">
        <v>25</v>
      </c>
      <c r="U41" s="1697">
        <f t="shared" si="13"/>
        <v>100</v>
      </c>
      <c r="V41" s="1696" t="s">
        <v>25</v>
      </c>
      <c r="W41" s="1697">
        <f t="shared" si="14"/>
        <v>100</v>
      </c>
      <c r="X41" s="2045"/>
      <c r="Y41" s="3613"/>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3"/>
      <c r="Q42" s="1737" t="str">
        <f t="shared" si="11"/>
        <v>单套建筑面积</v>
      </c>
      <c r="R42" s="1738" t="s">
        <v>25</v>
      </c>
      <c r="S42" s="1739">
        <f t="shared" si="12"/>
        <v>100</v>
      </c>
      <c r="T42" s="1738" t="s">
        <v>25</v>
      </c>
      <c r="U42" s="1739">
        <f t="shared" si="13"/>
        <v>100</v>
      </c>
      <c r="V42" s="1738" t="s">
        <v>25</v>
      </c>
      <c r="W42" s="1739">
        <f t="shared" si="14"/>
        <v>100</v>
      </c>
      <c r="X42" s="1740"/>
      <c r="Y42" s="3613"/>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13"/>
      <c r="Q43" s="2886" t="str">
        <f t="shared" si="11"/>
        <v>内部装修</v>
      </c>
      <c r="R43" s="1696" t="s">
        <v>25</v>
      </c>
      <c r="S43" s="1697">
        <f t="shared" si="12"/>
        <v>100</v>
      </c>
      <c r="T43" s="1696" t="s">
        <v>25</v>
      </c>
      <c r="U43" s="1697">
        <f t="shared" si="13"/>
        <v>100</v>
      </c>
      <c r="V43" s="1696" t="s">
        <v>25</v>
      </c>
      <c r="W43" s="1697">
        <f t="shared" si="14"/>
        <v>100</v>
      </c>
      <c r="X43" s="2045"/>
      <c r="Y43" s="3613"/>
      <c r="Z43" s="2049" t="str">
        <f t="shared" si="15"/>
        <v>内部装修</v>
      </c>
      <c r="AA43" s="2040">
        <f t="shared" si="3"/>
        <v>1</v>
      </c>
      <c r="AB43" s="2040">
        <f t="shared" si="4"/>
        <v>1</v>
      </c>
      <c r="AC43" s="2040">
        <f t="shared" si="5"/>
        <v>1</v>
      </c>
    </row>
    <row r="44" spans="1:29" ht="28.8">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13"/>
      <c r="Q44" s="2886" t="str">
        <f t="shared" si="11"/>
        <v>内部装修维护情况</v>
      </c>
      <c r="R44" s="1696" t="s">
        <v>25</v>
      </c>
      <c r="S44" s="1697">
        <f t="shared" si="12"/>
        <v>100</v>
      </c>
      <c r="T44" s="1696" t="s">
        <v>25</v>
      </c>
      <c r="U44" s="1697">
        <f t="shared" si="13"/>
        <v>100</v>
      </c>
      <c r="V44" s="1696" t="s">
        <v>25</v>
      </c>
      <c r="W44" s="1697">
        <f t="shared" si="14"/>
        <v>100</v>
      </c>
      <c r="X44" s="2045"/>
      <c r="Y44" s="361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3"/>
      <c r="Q45" s="2885">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3"/>
      <c r="Q46" s="2886">
        <f t="shared" si="11"/>
        <v>111</v>
      </c>
      <c r="R46" s="1696" t="s">
        <v>25</v>
      </c>
      <c r="S46" s="1697">
        <f t="shared" si="12"/>
        <v>100</v>
      </c>
      <c r="T46" s="1696" t="s">
        <v>25</v>
      </c>
      <c r="U46" s="1697">
        <f t="shared" si="13"/>
        <v>100</v>
      </c>
      <c r="V46" s="1696" t="s">
        <v>25</v>
      </c>
      <c r="W46" s="1697">
        <f t="shared" si="14"/>
        <v>100</v>
      </c>
      <c r="X46" s="2045"/>
      <c r="Y46" s="3613"/>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4"/>
      <c r="Q47" s="2886">
        <f t="shared" si="11"/>
        <v>111</v>
      </c>
      <c r="R47" s="1696" t="s">
        <v>25</v>
      </c>
      <c r="S47" s="1697">
        <f t="shared" si="12"/>
        <v>100</v>
      </c>
      <c r="T47" s="1696" t="s">
        <v>25</v>
      </c>
      <c r="U47" s="1697">
        <f t="shared" si="13"/>
        <v>100</v>
      </c>
      <c r="V47" s="1696" t="s">
        <v>25</v>
      </c>
      <c r="W47" s="1697">
        <f t="shared" si="14"/>
        <v>100</v>
      </c>
      <c r="X47" s="2045"/>
      <c r="Y47" s="3614"/>
      <c r="Z47" s="2049">
        <f t="shared" si="15"/>
        <v>111</v>
      </c>
      <c r="AA47" s="2040">
        <f t="shared" si="3"/>
        <v>1</v>
      </c>
      <c r="AB47" s="2040">
        <f t="shared" si="4"/>
        <v>1</v>
      </c>
      <c r="AC47" s="2040">
        <f t="shared" si="5"/>
        <v>1</v>
      </c>
    </row>
    <row r="48" spans="1:29" ht="14.4">
      <c r="A48" s="1752" t="s">
        <v>2230</v>
      </c>
      <c r="B48" s="1753"/>
      <c r="C48" s="1754" t="s">
        <v>1</v>
      </c>
      <c r="D48" s="1755"/>
      <c r="E48" s="1756"/>
      <c r="F48" s="1757"/>
      <c r="G48" s="1758"/>
      <c r="H48" s="1759"/>
      <c r="I48" s="1756"/>
      <c r="J48" s="1759"/>
      <c r="K48" s="1984"/>
      <c r="L48" s="2973"/>
      <c r="M48" s="2968"/>
      <c r="N48" s="2968"/>
      <c r="O48" s="2968"/>
      <c r="P48" s="3619" t="str">
        <f>A48</f>
        <v>成交单价（元/平方米）</v>
      </c>
      <c r="Q48" s="3619"/>
      <c r="R48" s="3620">
        <f>E48</f>
        <v>0</v>
      </c>
      <c r="S48" s="3620"/>
      <c r="T48" s="3620">
        <f>G48</f>
        <v>0</v>
      </c>
      <c r="U48" s="3620"/>
      <c r="V48" s="3620">
        <f>I48</f>
        <v>0</v>
      </c>
      <c r="W48" s="3620"/>
      <c r="X48" s="1762"/>
      <c r="Y48" s="2044"/>
      <c r="Z48" s="1762"/>
      <c r="AA48" s="1762"/>
      <c r="AB48" s="1762"/>
      <c r="AC48" s="1762"/>
    </row>
    <row r="49" spans="1:29" ht="15" thickBot="1">
      <c r="A49" s="1764" t="s">
        <v>2313</v>
      </c>
      <c r="B49" s="1765"/>
      <c r="C49" s="1766" t="e">
        <f>R50</f>
        <v>#DIV/0!</v>
      </c>
      <c r="D49" s="1767" t="s">
        <v>2684</v>
      </c>
      <c r="E49" s="1768" t="e">
        <f>R49</f>
        <v>#DIV/0!</v>
      </c>
      <c r="F49" s="1769"/>
      <c r="G49" s="1766" t="e">
        <f>T49</f>
        <v>#DIV/0!</v>
      </c>
      <c r="H49" s="1769"/>
      <c r="I49" s="1768" t="e">
        <f>V49</f>
        <v>#DIV/0!</v>
      </c>
      <c r="J49" s="1769"/>
      <c r="K49" s="2481">
        <f>F49+H49+J49</f>
        <v>0</v>
      </c>
      <c r="L49" s="2973"/>
      <c r="M49" s="2968"/>
      <c r="N49" s="2968"/>
      <c r="O49" s="2968"/>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2"/>
      <c r="Y49" s="1762"/>
      <c r="Z49" s="1762"/>
      <c r="AA49" s="1762"/>
      <c r="AB49" s="1762"/>
      <c r="AC49" s="1762"/>
    </row>
    <row r="50" spans="1:29" ht="15" thickBot="1">
      <c r="A50" s="1770" t="s">
        <v>2336</v>
      </c>
      <c r="B50" s="1771"/>
      <c r="C50" s="1773" t="e">
        <f>R50</f>
        <v>#DIV/0!</v>
      </c>
      <c r="D50" s="1773"/>
      <c r="E50" s="1773"/>
      <c r="F50" s="1773"/>
      <c r="G50" s="1773"/>
      <c r="H50" s="1773"/>
      <c r="I50" s="1773"/>
      <c r="J50" s="1773"/>
      <c r="K50" s="1989"/>
      <c r="L50" s="2973"/>
      <c r="M50" s="2968"/>
      <c r="N50" s="2968"/>
      <c r="O50" s="2968"/>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2.2"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4.4">
      <c r="A59" s="1793" t="s">
        <v>2200</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4.4">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2241</v>
      </c>
      <c r="B64" s="1818" t="s">
        <v>2206</v>
      </c>
      <c r="C64" s="1819">
        <f>C9</f>
        <v>0</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9.4" thickTop="1">
      <c r="A87" s="1860"/>
      <c r="B87" s="1829" t="s">
        <v>2339</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4.4"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29.4"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 thickBot="1">
      <c r="A7" s="301" t="s">
        <v>2200</v>
      </c>
      <c r="B7" s="302"/>
      <c r="C7" s="303">
        <f>'数据-取费表'!B2</f>
        <v>44571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 thickBot="1">
      <c r="A8" s="301" t="s">
        <v>2202</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69">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2"/>
      <c r="Q16" s="1304"/>
      <c r="R16" s="631"/>
      <c r="S16" s="632"/>
      <c r="T16" s="631"/>
      <c r="U16" s="632"/>
      <c r="V16" s="631"/>
      <c r="W16" s="632"/>
      <c r="X16" s="1305"/>
      <c r="Y16" s="3662"/>
      <c r="Z16" s="1306"/>
      <c r="AA16" s="1307">
        <v>1</v>
      </c>
      <c r="AB16" s="1307">
        <v>1</v>
      </c>
      <c r="AC16" s="1307">
        <v>1</v>
      </c>
    </row>
    <row r="17" spans="1:29" ht="96.6">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2"/>
      <c r="Q18" s="1304"/>
      <c r="R18" s="631"/>
      <c r="S18" s="632"/>
      <c r="T18" s="631"/>
      <c r="U18" s="632"/>
      <c r="V18" s="631"/>
      <c r="W18" s="632"/>
      <c r="X18" s="1305"/>
      <c r="Y18" s="3662"/>
      <c r="Z18" s="1306"/>
      <c r="AA18" s="1307">
        <v>1</v>
      </c>
      <c r="AB18" s="1307">
        <v>1</v>
      </c>
      <c r="AC18" s="1307">
        <v>1</v>
      </c>
    </row>
    <row r="19" spans="1:29" ht="41.4">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2"/>
      <c r="Q19" s="1304" t="str">
        <f>B19</f>
        <v>公共配套设施</v>
      </c>
      <c r="R19" s="631" t="s">
        <v>25</v>
      </c>
      <c r="S19" s="632">
        <f>F19</f>
        <v>100</v>
      </c>
      <c r="T19" s="631" t="s">
        <v>25</v>
      </c>
      <c r="U19" s="632">
        <f>H19</f>
        <v>100</v>
      </c>
      <c r="V19" s="631" t="s">
        <v>25</v>
      </c>
      <c r="W19" s="632">
        <f>J19</f>
        <v>100</v>
      </c>
      <c r="X19" s="1305"/>
      <c r="Y19" s="366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2"/>
      <c r="Q20" s="1304"/>
      <c r="R20" s="631"/>
      <c r="S20" s="632"/>
      <c r="T20" s="631"/>
      <c r="U20" s="632"/>
      <c r="V20" s="631"/>
      <c r="W20" s="632"/>
      <c r="X20" s="1305"/>
      <c r="Y20" s="3662"/>
      <c r="Z20" s="1306"/>
      <c r="AA20" s="1307">
        <v>1</v>
      </c>
      <c r="AB20" s="1307">
        <v>1</v>
      </c>
      <c r="AC20" s="1307">
        <v>1</v>
      </c>
    </row>
    <row r="21" spans="1:29" ht="41.4">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2"/>
      <c r="Q21" s="1304" t="str">
        <f>B21</f>
        <v>基础设施水平</v>
      </c>
      <c r="R21" s="631" t="s">
        <v>25</v>
      </c>
      <c r="S21" s="632">
        <f>F21</f>
        <v>100</v>
      </c>
      <c r="T21" s="631" t="s">
        <v>25</v>
      </c>
      <c r="U21" s="632">
        <f>H21</f>
        <v>100</v>
      </c>
      <c r="V21" s="631" t="s">
        <v>25</v>
      </c>
      <c r="W21" s="632">
        <f>J21</f>
        <v>100</v>
      </c>
      <c r="X21" s="1305"/>
      <c r="Y21" s="366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2"/>
      <c r="Q22" s="1304"/>
      <c r="R22" s="631"/>
      <c r="S22" s="632"/>
      <c r="T22" s="631"/>
      <c r="U22" s="632"/>
      <c r="V22" s="631"/>
      <c r="W22" s="632"/>
      <c r="X22" s="1305"/>
      <c r="Y22" s="3662"/>
      <c r="Z22" s="1306"/>
      <c r="AA22" s="1307">
        <v>1</v>
      </c>
      <c r="AB22" s="1307">
        <v>1</v>
      </c>
      <c r="AC22" s="1307">
        <v>1</v>
      </c>
    </row>
    <row r="23" spans="1:29" ht="82.8">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2"/>
      <c r="Q23" s="1304" t="str">
        <f>B23</f>
        <v>环境质量</v>
      </c>
      <c r="R23" s="631" t="s">
        <v>25</v>
      </c>
      <c r="S23" s="632">
        <f>F23</f>
        <v>100</v>
      </c>
      <c r="T23" s="631" t="s">
        <v>25</v>
      </c>
      <c r="U23" s="632">
        <f>H23</f>
        <v>100</v>
      </c>
      <c r="V23" s="631" t="s">
        <v>25</v>
      </c>
      <c r="W23" s="632">
        <f>J23</f>
        <v>100</v>
      </c>
      <c r="X23" s="1305"/>
      <c r="Y23" s="366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2"/>
      <c r="Q24" s="1304"/>
      <c r="R24" s="631"/>
      <c r="S24" s="632"/>
      <c r="T24" s="631"/>
      <c r="U24" s="632"/>
      <c r="V24" s="631"/>
      <c r="W24" s="632"/>
      <c r="X24" s="1305"/>
      <c r="Y24" s="366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2"/>
      <c r="Q25" s="1304">
        <f>B25</f>
        <v>111</v>
      </c>
      <c r="R25" s="631" t="s">
        <v>25</v>
      </c>
      <c r="S25" s="632">
        <f>F25</f>
        <v>100</v>
      </c>
      <c r="T25" s="631" t="s">
        <v>25</v>
      </c>
      <c r="U25" s="632">
        <f>H25</f>
        <v>100</v>
      </c>
      <c r="V25" s="631" t="s">
        <v>25</v>
      </c>
      <c r="W25" s="632">
        <f>J25</f>
        <v>100</v>
      </c>
      <c r="X25" s="1305"/>
      <c r="Y25" s="366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2"/>
      <c r="Q26" s="1304">
        <f t="shared" ref="Q26:Q40" si="11">B26</f>
        <v>111</v>
      </c>
      <c r="R26" s="631" t="s">
        <v>25</v>
      </c>
      <c r="S26" s="632">
        <f>F26</f>
        <v>100</v>
      </c>
      <c r="T26" s="631" t="s">
        <v>25</v>
      </c>
      <c r="U26" s="632">
        <f>H26</f>
        <v>100</v>
      </c>
      <c r="V26" s="631" t="s">
        <v>25</v>
      </c>
      <c r="W26" s="632">
        <f>J26</f>
        <v>100</v>
      </c>
      <c r="X26" s="1305"/>
      <c r="Y26" s="366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2"/>
      <c r="Q27" s="1297">
        <f t="shared" si="11"/>
        <v>111</v>
      </c>
      <c r="R27" s="627" t="s">
        <v>25</v>
      </c>
      <c r="S27" s="628">
        <f>F27</f>
        <v>100</v>
      </c>
      <c r="T27" s="627" t="s">
        <v>25</v>
      </c>
      <c r="U27" s="628">
        <f>H27</f>
        <v>100</v>
      </c>
      <c r="V27" s="627" t="s">
        <v>25</v>
      </c>
      <c r="W27" s="628">
        <f>J27</f>
        <v>100</v>
      </c>
      <c r="X27" s="629"/>
      <c r="Y27" s="3662"/>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2"/>
      <c r="Q28" s="1304">
        <f t="shared" si="11"/>
        <v>111</v>
      </c>
      <c r="R28" s="631" t="s">
        <v>25</v>
      </c>
      <c r="S28" s="632">
        <f t="shared" ref="S28:S40" si="12">F28</f>
        <v>100</v>
      </c>
      <c r="T28" s="631" t="s">
        <v>25</v>
      </c>
      <c r="U28" s="632">
        <f t="shared" ref="U28:U40" si="13">H28</f>
        <v>100</v>
      </c>
      <c r="V28" s="631" t="s">
        <v>25</v>
      </c>
      <c r="W28" s="632">
        <f t="shared" ref="W28:W40" si="14">J28</f>
        <v>100</v>
      </c>
      <c r="X28" s="1305"/>
      <c r="Y28" s="3662"/>
      <c r="Z28" s="1306">
        <f t="shared" ref="Z28:Z40" si="15">Q28</f>
        <v>111</v>
      </c>
      <c r="AA28" s="1307">
        <f t="shared" si="3"/>
        <v>1</v>
      </c>
      <c r="AB28" s="1307">
        <f t="shared" si="4"/>
        <v>1</v>
      </c>
      <c r="AC28" s="1307">
        <f t="shared" si="5"/>
        <v>1</v>
      </c>
    </row>
    <row r="29" spans="1:29" ht="30">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4" t="s">
        <v>2218</v>
      </c>
      <c r="Q29" s="1304" t="str">
        <f t="shared" si="11"/>
        <v>建筑类型</v>
      </c>
      <c r="R29" s="631" t="s">
        <v>25</v>
      </c>
      <c r="S29" s="632">
        <f t="shared" si="12"/>
        <v>100</v>
      </c>
      <c r="T29" s="631" t="s">
        <v>25</v>
      </c>
      <c r="U29" s="632">
        <f t="shared" si="13"/>
        <v>100</v>
      </c>
      <c r="V29" s="631" t="s">
        <v>25</v>
      </c>
      <c r="W29" s="632">
        <f t="shared" si="14"/>
        <v>100</v>
      </c>
      <c r="X29" s="1305"/>
      <c r="Y29" s="366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5"/>
      <c r="Q30" s="633" t="str">
        <f t="shared" si="11"/>
        <v>项目建筑规模</v>
      </c>
      <c r="R30" s="634" t="s">
        <v>25</v>
      </c>
      <c r="S30" s="635" t="e">
        <f t="shared" si="12"/>
        <v>#N/A</v>
      </c>
      <c r="T30" s="634" t="s">
        <v>25</v>
      </c>
      <c r="U30" s="635" t="e">
        <f t="shared" si="13"/>
        <v>#N/A</v>
      </c>
      <c r="V30" s="634" t="s">
        <v>25</v>
      </c>
      <c r="W30" s="635" t="e">
        <f t="shared" si="14"/>
        <v>#N/A</v>
      </c>
      <c r="X30" s="636"/>
      <c r="Y30" s="366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5"/>
      <c r="Q31" s="1304" t="str">
        <f t="shared" si="11"/>
        <v>建筑结构</v>
      </c>
      <c r="R31" s="631" t="s">
        <v>25</v>
      </c>
      <c r="S31" s="632">
        <f t="shared" si="12"/>
        <v>100</v>
      </c>
      <c r="T31" s="631" t="s">
        <v>25</v>
      </c>
      <c r="U31" s="632">
        <f t="shared" si="13"/>
        <v>100</v>
      </c>
      <c r="V31" s="631" t="s">
        <v>25</v>
      </c>
      <c r="W31" s="632">
        <f t="shared" si="14"/>
        <v>100</v>
      </c>
      <c r="X31" s="1305"/>
      <c r="Y31" s="366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5"/>
      <c r="Q32" s="1304" t="str">
        <f t="shared" si="11"/>
        <v>公共部分装修</v>
      </c>
      <c r="R32" s="631" t="s">
        <v>25</v>
      </c>
      <c r="S32" s="632">
        <f t="shared" si="12"/>
        <v>100</v>
      </c>
      <c r="T32" s="631" t="s">
        <v>25</v>
      </c>
      <c r="U32" s="632">
        <f t="shared" si="13"/>
        <v>100</v>
      </c>
      <c r="V32" s="631" t="s">
        <v>25</v>
      </c>
      <c r="W32" s="632">
        <f t="shared" si="14"/>
        <v>100</v>
      </c>
      <c r="X32" s="1305"/>
      <c r="Y32" s="366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5"/>
      <c r="Q33" s="1304" t="str">
        <f t="shared" si="11"/>
        <v>成新度</v>
      </c>
      <c r="R33" s="631" t="s">
        <v>25</v>
      </c>
      <c r="S33" s="632" t="e">
        <f t="shared" si="12"/>
        <v>#N/A</v>
      </c>
      <c r="T33" s="631" t="s">
        <v>25</v>
      </c>
      <c r="U33" s="632" t="e">
        <f t="shared" si="13"/>
        <v>#N/A</v>
      </c>
      <c r="V33" s="631" t="s">
        <v>25</v>
      </c>
      <c r="W33" s="632" t="e">
        <f t="shared" si="14"/>
        <v>#N/A</v>
      </c>
      <c r="X33" s="1305"/>
      <c r="Y33" s="366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5"/>
      <c r="Q34" s="1297" t="str">
        <f t="shared" si="11"/>
        <v>物业管理</v>
      </c>
      <c r="R34" s="627" t="s">
        <v>25</v>
      </c>
      <c r="S34" s="628">
        <f t="shared" si="12"/>
        <v>100</v>
      </c>
      <c r="T34" s="627" t="s">
        <v>25</v>
      </c>
      <c r="U34" s="628">
        <f t="shared" si="13"/>
        <v>100</v>
      </c>
      <c r="V34" s="627" t="s">
        <v>25</v>
      </c>
      <c r="W34" s="628">
        <f t="shared" si="14"/>
        <v>100</v>
      </c>
      <c r="X34" s="629"/>
      <c r="Y34" s="366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5" t="s">
        <v>2218</v>
      </c>
      <c r="Q35" s="1304" t="str">
        <f t="shared" si="11"/>
        <v>市政基础设施</v>
      </c>
      <c r="R35" s="631" t="s">
        <v>25</v>
      </c>
      <c r="S35" s="632">
        <f t="shared" si="12"/>
        <v>100</v>
      </c>
      <c r="T35" s="631" t="s">
        <v>25</v>
      </c>
      <c r="U35" s="632">
        <f t="shared" si="13"/>
        <v>100</v>
      </c>
      <c r="V35" s="631" t="s">
        <v>25</v>
      </c>
      <c r="W35" s="632">
        <f t="shared" si="14"/>
        <v>100</v>
      </c>
      <c r="X35" s="1305"/>
      <c r="Y35" s="366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5"/>
      <c r="Q36" s="1304" t="str">
        <f t="shared" si="11"/>
        <v>内部装修</v>
      </c>
      <c r="R36" s="631" t="s">
        <v>25</v>
      </c>
      <c r="S36" s="632">
        <f t="shared" si="12"/>
        <v>100</v>
      </c>
      <c r="T36" s="631" t="s">
        <v>25</v>
      </c>
      <c r="U36" s="632">
        <f t="shared" si="13"/>
        <v>100</v>
      </c>
      <c r="V36" s="631" t="s">
        <v>25</v>
      </c>
      <c r="W36" s="632">
        <f t="shared" si="14"/>
        <v>100</v>
      </c>
      <c r="X36" s="1305"/>
      <c r="Y36" s="366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5"/>
      <c r="Q37" s="1304" t="str">
        <f t="shared" si="11"/>
        <v>内部装修状况</v>
      </c>
      <c r="R37" s="631" t="s">
        <v>25</v>
      </c>
      <c r="S37" s="632">
        <f t="shared" si="12"/>
        <v>100</v>
      </c>
      <c r="T37" s="631" t="s">
        <v>25</v>
      </c>
      <c r="U37" s="632">
        <f t="shared" si="13"/>
        <v>100</v>
      </c>
      <c r="V37" s="631" t="s">
        <v>25</v>
      </c>
      <c r="W37" s="632">
        <f t="shared" si="14"/>
        <v>100</v>
      </c>
      <c r="X37" s="1305"/>
      <c r="Y37" s="366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5"/>
      <c r="Q38" s="633">
        <f t="shared" si="11"/>
        <v>111</v>
      </c>
      <c r="R38" s="634" t="s">
        <v>25</v>
      </c>
      <c r="S38" s="635">
        <f t="shared" si="12"/>
        <v>100</v>
      </c>
      <c r="T38" s="634" t="s">
        <v>25</v>
      </c>
      <c r="U38" s="635">
        <f t="shared" si="13"/>
        <v>100</v>
      </c>
      <c r="V38" s="634" t="s">
        <v>25</v>
      </c>
      <c r="W38" s="635">
        <f t="shared" si="14"/>
        <v>100</v>
      </c>
      <c r="X38" s="636"/>
      <c r="Y38" s="366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5"/>
      <c r="Q39" s="1304">
        <f t="shared" si="11"/>
        <v>111</v>
      </c>
      <c r="R39" s="631" t="s">
        <v>25</v>
      </c>
      <c r="S39" s="632">
        <f t="shared" si="12"/>
        <v>100</v>
      </c>
      <c r="T39" s="631" t="s">
        <v>25</v>
      </c>
      <c r="U39" s="632">
        <f t="shared" si="13"/>
        <v>100</v>
      </c>
      <c r="V39" s="631" t="s">
        <v>25</v>
      </c>
      <c r="W39" s="632">
        <f t="shared" si="14"/>
        <v>100</v>
      </c>
      <c r="X39" s="1305"/>
      <c r="Y39" s="3665"/>
      <c r="Z39" s="1306">
        <f t="shared" si="15"/>
        <v>111</v>
      </c>
      <c r="AA39" s="1307">
        <f t="shared" si="3"/>
        <v>1</v>
      </c>
      <c r="AB39" s="1307">
        <f t="shared" si="4"/>
        <v>1</v>
      </c>
      <c r="AC39" s="1307">
        <f t="shared" si="5"/>
        <v>1</v>
      </c>
    </row>
    <row r="40" spans="1:29" ht="15.6"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6"/>
      <c r="Q40" s="1304">
        <f t="shared" si="11"/>
        <v>111</v>
      </c>
      <c r="R40" s="631" t="s">
        <v>25</v>
      </c>
      <c r="S40" s="632">
        <f t="shared" si="12"/>
        <v>100</v>
      </c>
      <c r="T40" s="631" t="s">
        <v>25</v>
      </c>
      <c r="U40" s="632">
        <f t="shared" si="13"/>
        <v>100</v>
      </c>
      <c r="V40" s="631" t="s">
        <v>25</v>
      </c>
      <c r="W40" s="632">
        <f t="shared" si="14"/>
        <v>100</v>
      </c>
      <c r="X40" s="1305"/>
      <c r="Y40" s="3666"/>
      <c r="Z40" s="1306">
        <f t="shared" si="15"/>
        <v>111</v>
      </c>
      <c r="AA40" s="1307">
        <f t="shared" si="3"/>
        <v>1</v>
      </c>
      <c r="AB40" s="1307">
        <f t="shared" si="4"/>
        <v>1</v>
      </c>
      <c r="AC40" s="1307">
        <f t="shared" si="5"/>
        <v>1</v>
      </c>
    </row>
    <row r="41" spans="1:29" ht="14.4">
      <c r="A41" s="367" t="s">
        <v>2230</v>
      </c>
      <c r="B41" s="368"/>
      <c r="C41" s="1124" t="s">
        <v>1</v>
      </c>
      <c r="D41" s="1125"/>
      <c r="E41" s="1126"/>
      <c r="F41" s="1127"/>
      <c r="G41" s="1128"/>
      <c r="H41" s="1129"/>
      <c r="I41" s="1126"/>
      <c r="J41" s="1129"/>
      <c r="K41" s="640"/>
      <c r="L41" s="3007"/>
      <c r="N41" s="2996"/>
      <c r="P41" s="3633" t="str">
        <f>A41</f>
        <v>成交单价（元/平方米）</v>
      </c>
      <c r="Q41" s="3633"/>
      <c r="R41" s="3667">
        <f>E41</f>
        <v>0</v>
      </c>
      <c r="S41" s="3667"/>
      <c r="T41" s="3667">
        <f>G41</f>
        <v>0</v>
      </c>
      <c r="U41" s="3667"/>
      <c r="V41" s="3667">
        <f>I41</f>
        <v>0</v>
      </c>
      <c r="W41" s="3667"/>
      <c r="X41" s="618"/>
      <c r="Y41" s="638"/>
      <c r="Z41" s="618"/>
      <c r="AA41" s="618"/>
      <c r="AB41" s="618"/>
      <c r="AC41" s="618"/>
    </row>
    <row r="42" spans="1:29" ht="15" thickBot="1">
      <c r="A42" s="374" t="s">
        <v>2313</v>
      </c>
      <c r="B42" s="375"/>
      <c r="C42" s="1130" t="e">
        <f>R43</f>
        <v>#DIV/0!</v>
      </c>
      <c r="D42" s="1767" t="s">
        <v>2684</v>
      </c>
      <c r="E42" s="1131" t="e">
        <f>R42</f>
        <v>#DIV/0!</v>
      </c>
      <c r="F42" s="1769"/>
      <c r="G42" s="1130" t="e">
        <f>T42</f>
        <v>#DIV/0!</v>
      </c>
      <c r="H42" s="1769"/>
      <c r="I42" s="1131" t="e">
        <f>V42</f>
        <v>#DIV/0!</v>
      </c>
      <c r="J42" s="1769"/>
      <c r="K42" s="2481">
        <f>F42+H42+J42</f>
        <v>0</v>
      </c>
      <c r="L42" s="3007"/>
      <c r="N42" s="2996"/>
      <c r="P42" s="3633" t="str">
        <f>A42</f>
        <v>比较价值（元/平方米）</v>
      </c>
      <c r="Q42" s="3633"/>
      <c r="R42" s="3667" t="e">
        <f>IF(E1="售价",ROUND(PRODUCT(R41,AA7:AA40),0),ROUND(PRODUCT(R41,AA7:AA40),1))</f>
        <v>#DIV/0!</v>
      </c>
      <c r="S42" s="3667"/>
      <c r="T42" s="3667" t="e">
        <f>IF(E1="售价",ROUND(PRODUCT(T41,AB7:AB40),0),ROUND(PRODUCT(T41,AB7:AB40),1))</f>
        <v>#DIV/0!</v>
      </c>
      <c r="U42" s="3667"/>
      <c r="V42" s="3667" t="e">
        <f>IF(E1="售价",ROUND(PRODUCT(V41,AC7:AC40),0),ROUND(PRODUCT(V41,AC7:AC40),1))</f>
        <v>#DIV/0!</v>
      </c>
      <c r="W42" s="3667"/>
      <c r="X42" s="618"/>
      <c r="Y42" s="618"/>
      <c r="Z42" s="618"/>
      <c r="AA42" s="618"/>
      <c r="AB42" s="618"/>
      <c r="AC42" s="618"/>
    </row>
    <row r="43" spans="1:29" ht="15" thickBot="1">
      <c r="A43" s="378" t="s">
        <v>2336</v>
      </c>
      <c r="B43" s="379"/>
      <c r="C43" s="1132" t="e">
        <f>R43</f>
        <v>#DIV/0!</v>
      </c>
      <c r="D43" s="1132"/>
      <c r="E43" s="1132"/>
      <c r="F43" s="1132"/>
      <c r="G43" s="1132"/>
      <c r="H43" s="1132"/>
      <c r="I43" s="1132"/>
      <c r="J43" s="1132"/>
      <c r="K43" s="641"/>
      <c r="L43" s="3007"/>
      <c r="P43" s="3668" t="str">
        <f>A43</f>
        <v>估价对象XX用房的比较价值（楼面单价，元/平方米）</v>
      </c>
      <c r="Q43" s="3669"/>
      <c r="R43" s="3670" t="e">
        <f>IF(E1="售价",ROUND(IF(D42="简单平均",AVERAGE(R42:V42),R42*F42+T42*H42+V42*J42),0),ROUND(IF(D42="简单平均",AVERAGE(R42:V42),R42*F42+T42*H42+V42*J42),1))</f>
        <v>#DIV/0!</v>
      </c>
      <c r="S43" s="3670"/>
      <c r="T43" s="3670"/>
      <c r="U43" s="3670"/>
      <c r="V43" s="3670"/>
      <c r="W43" s="3670"/>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2.2" thickBot="1">
      <c r="A51" s="620" t="s">
        <v>2318</v>
      </c>
      <c r="B51" s="618"/>
      <c r="C51" s="621"/>
      <c r="D51" s="621"/>
      <c r="E51" s="621"/>
      <c r="F51" s="622"/>
      <c r="G51" s="622"/>
      <c r="H51" s="621"/>
      <c r="I51" s="621"/>
      <c r="J51" s="621"/>
      <c r="K51" s="623"/>
      <c r="L51" s="624"/>
      <c r="M51" s="621"/>
      <c r="N51" s="3013"/>
      <c r="O51" s="3013"/>
      <c r="P51" s="389"/>
      <c r="Q51" s="390"/>
    </row>
    <row r="52" spans="1:17" s="394" customFormat="1" ht="14.4">
      <c r="A52" s="391" t="s">
        <v>2200</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847.76</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 thickBot="1">
      <c r="A7" s="301" t="s">
        <v>2200</v>
      </c>
      <c r="B7" s="302"/>
      <c r="C7" s="303">
        <f>'数据-取费表'!B2</f>
        <v>44571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6" si="3">D8/F8</f>
        <v>#DIV/0!</v>
      </c>
      <c r="AB8" s="630" t="e">
        <f t="shared" ref="AB8:AB36" si="4">D8/H8</f>
        <v>#DIV/0!</v>
      </c>
      <c r="AC8" s="630"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96.6">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1.4">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41.4">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5.2">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2"/>
      <c r="Q24" s="1304">
        <f t="shared" ref="Q24:Q36"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30">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5"/>
      <c r="Q27" s="633" t="str">
        <f t="shared" si="11"/>
        <v>项目停车位配比</v>
      </c>
      <c r="R27" s="634" t="s">
        <v>25</v>
      </c>
      <c r="S27" s="635">
        <f t="shared" si="12"/>
        <v>100</v>
      </c>
      <c r="T27" s="634" t="s">
        <v>25</v>
      </c>
      <c r="U27" s="635">
        <f t="shared" si="13"/>
        <v>100</v>
      </c>
      <c r="V27" s="634" t="s">
        <v>25</v>
      </c>
      <c r="W27" s="635">
        <f t="shared" si="14"/>
        <v>100</v>
      </c>
      <c r="X27" s="636"/>
      <c r="Y27" s="366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5"/>
      <c r="Q28" s="1304" t="str">
        <f t="shared" si="11"/>
        <v>公共部分装修</v>
      </c>
      <c r="R28" s="631" t="s">
        <v>25</v>
      </c>
      <c r="S28" s="632">
        <f t="shared" si="12"/>
        <v>100</v>
      </c>
      <c r="T28" s="631" t="s">
        <v>25</v>
      </c>
      <c r="U28" s="632">
        <f t="shared" si="13"/>
        <v>100</v>
      </c>
      <c r="V28" s="631" t="s">
        <v>25</v>
      </c>
      <c r="W28" s="632">
        <f t="shared" si="14"/>
        <v>100</v>
      </c>
      <c r="X28" s="1305"/>
      <c r="Y28" s="366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5"/>
      <c r="Q29" s="1304" t="str">
        <f t="shared" si="11"/>
        <v>成新率</v>
      </c>
      <c r="R29" s="631" t="s">
        <v>25</v>
      </c>
      <c r="S29" s="632" t="e">
        <f t="shared" si="12"/>
        <v>#N/A</v>
      </c>
      <c r="T29" s="631" t="s">
        <v>25</v>
      </c>
      <c r="U29" s="632" t="e">
        <f t="shared" si="13"/>
        <v>#N/A</v>
      </c>
      <c r="V29" s="631" t="s">
        <v>25</v>
      </c>
      <c r="W29" s="632" t="e">
        <f t="shared" si="14"/>
        <v>#N/A</v>
      </c>
      <c r="X29" s="1305"/>
      <c r="Y29" s="366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5"/>
      <c r="Q30" s="1304" t="str">
        <f t="shared" si="11"/>
        <v>物业等级</v>
      </c>
      <c r="R30" s="631" t="s">
        <v>25</v>
      </c>
      <c r="S30" s="632">
        <f t="shared" si="12"/>
        <v>100</v>
      </c>
      <c r="T30" s="631" t="s">
        <v>25</v>
      </c>
      <c r="U30" s="632">
        <f t="shared" si="13"/>
        <v>100</v>
      </c>
      <c r="V30" s="631" t="s">
        <v>25</v>
      </c>
      <c r="W30" s="632">
        <f t="shared" si="14"/>
        <v>100</v>
      </c>
      <c r="X30" s="1305"/>
      <c r="Y30" s="366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5"/>
      <c r="Q31" s="1297" t="str">
        <f t="shared" si="11"/>
        <v>停车位面积</v>
      </c>
      <c r="R31" s="627" t="s">
        <v>25</v>
      </c>
      <c r="S31" s="628" t="e">
        <f t="shared" si="12"/>
        <v>#N/A</v>
      </c>
      <c r="T31" s="627" t="s">
        <v>25</v>
      </c>
      <c r="U31" s="628" t="e">
        <f t="shared" si="13"/>
        <v>#N/A</v>
      </c>
      <c r="V31" s="627" t="s">
        <v>25</v>
      </c>
      <c r="W31" s="628" t="e">
        <f t="shared" si="14"/>
        <v>#N/A</v>
      </c>
      <c r="X31" s="629"/>
      <c r="Y31" s="366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5" t="s">
        <v>2218</v>
      </c>
      <c r="Q32" s="1304" t="str">
        <f t="shared" si="11"/>
        <v>车位类型</v>
      </c>
      <c r="R32" s="631" t="s">
        <v>25</v>
      </c>
      <c r="S32" s="632">
        <f t="shared" si="12"/>
        <v>100</v>
      </c>
      <c r="T32" s="631" t="s">
        <v>25</v>
      </c>
      <c r="U32" s="632">
        <f t="shared" si="13"/>
        <v>100</v>
      </c>
      <c r="V32" s="631" t="s">
        <v>25</v>
      </c>
      <c r="W32" s="632">
        <f t="shared" si="14"/>
        <v>100</v>
      </c>
      <c r="X32" s="1305"/>
      <c r="Y32" s="366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5"/>
      <c r="Q33" s="1304" t="str">
        <f t="shared" si="11"/>
        <v>是否直接入户</v>
      </c>
      <c r="R33" s="631" t="s">
        <v>25</v>
      </c>
      <c r="S33" s="632">
        <f t="shared" si="12"/>
        <v>100</v>
      </c>
      <c r="T33" s="631" t="s">
        <v>25</v>
      </c>
      <c r="U33" s="632">
        <f t="shared" si="13"/>
        <v>100</v>
      </c>
      <c r="V33" s="631" t="s">
        <v>25</v>
      </c>
      <c r="W33" s="632">
        <f t="shared" si="14"/>
        <v>100</v>
      </c>
      <c r="X33" s="1305"/>
      <c r="Y33" s="366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5"/>
      <c r="Q35" s="633">
        <f t="shared" si="11"/>
        <v>111</v>
      </c>
      <c r="R35" s="634" t="s">
        <v>25</v>
      </c>
      <c r="S35" s="635">
        <f t="shared" si="12"/>
        <v>100</v>
      </c>
      <c r="T35" s="634" t="s">
        <v>25</v>
      </c>
      <c r="U35" s="635">
        <f t="shared" si="13"/>
        <v>100</v>
      </c>
      <c r="V35" s="634" t="s">
        <v>25</v>
      </c>
      <c r="W35" s="635">
        <f t="shared" si="14"/>
        <v>100</v>
      </c>
      <c r="X35" s="636"/>
      <c r="Y35" s="3665"/>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5"/>
      <c r="Q36" s="1304">
        <f t="shared" si="11"/>
        <v>111</v>
      </c>
      <c r="R36" s="631" t="s">
        <v>25</v>
      </c>
      <c r="S36" s="632">
        <f t="shared" si="12"/>
        <v>100</v>
      </c>
      <c r="T36" s="631" t="s">
        <v>25</v>
      </c>
      <c r="U36" s="632">
        <f t="shared" si="13"/>
        <v>100</v>
      </c>
      <c r="V36" s="631" t="s">
        <v>25</v>
      </c>
      <c r="W36" s="632">
        <f t="shared" si="14"/>
        <v>100</v>
      </c>
      <c r="X36" s="1305"/>
      <c r="Y36" s="3665"/>
      <c r="Z36" s="1306">
        <f t="shared" si="15"/>
        <v>111</v>
      </c>
      <c r="AA36" s="1307">
        <f t="shared" si="3"/>
        <v>1</v>
      </c>
      <c r="AB36" s="1307">
        <f t="shared" si="4"/>
        <v>1</v>
      </c>
      <c r="AC36" s="1307">
        <f t="shared" si="5"/>
        <v>1</v>
      </c>
    </row>
    <row r="37" spans="1:29" ht="14.4">
      <c r="A37" s="367" t="s">
        <v>2360</v>
      </c>
      <c r="B37" s="840" t="s">
        <v>2361</v>
      </c>
      <c r="C37" s="1124" t="s">
        <v>1</v>
      </c>
      <c r="D37" s="1125"/>
      <c r="E37" s="1126"/>
      <c r="F37" s="1127"/>
      <c r="G37" s="1128"/>
      <c r="H37" s="1129"/>
      <c r="I37" s="1126"/>
      <c r="J37" s="1129"/>
      <c r="K37" s="503"/>
      <c r="L37" s="3007"/>
      <c r="N37" s="2996"/>
      <c r="P37" s="3633" t="str">
        <f>A37</f>
        <v>成交单价</v>
      </c>
      <c r="Q37" s="3633"/>
      <c r="R37" s="3667">
        <f>E37</f>
        <v>0</v>
      </c>
      <c r="S37" s="3667"/>
      <c r="T37" s="3667">
        <f>G37</f>
        <v>0</v>
      </c>
      <c r="U37" s="3667"/>
      <c r="V37" s="3667">
        <f>I37</f>
        <v>0</v>
      </c>
      <c r="W37" s="3667"/>
      <c r="X37" s="618"/>
      <c r="Y37" s="638"/>
      <c r="Z37" s="618"/>
      <c r="AA37" s="618"/>
      <c r="AB37" s="618"/>
      <c r="AC37" s="618"/>
    </row>
    <row r="38" spans="1:29" ht="15" thickBot="1">
      <c r="A38" s="374" t="s">
        <v>2362</v>
      </c>
      <c r="B38" s="375" t="str">
        <f>B37</f>
        <v>元/平方米</v>
      </c>
      <c r="C38" s="1130" t="e">
        <f>R39</f>
        <v>#DIV/0!</v>
      </c>
      <c r="D38" s="1767" t="s">
        <v>2684</v>
      </c>
      <c r="E38" s="1131" t="e">
        <f>R38</f>
        <v>#DIV/0!</v>
      </c>
      <c r="F38" s="1769"/>
      <c r="G38" s="1130" t="e">
        <f>T38</f>
        <v>#DIV/0!</v>
      </c>
      <c r="H38" s="1769"/>
      <c r="I38" s="1131" t="e">
        <f>V38</f>
        <v>#DIV/0!</v>
      </c>
      <c r="J38" s="1769"/>
      <c r="K38" s="2481">
        <f>F38+H38+J38</f>
        <v>0</v>
      </c>
      <c r="L38" s="3007"/>
      <c r="P38" s="3633" t="str">
        <f>A38</f>
        <v>比较价值</v>
      </c>
      <c r="Q38" s="3633"/>
      <c r="R38" s="3667" t="e">
        <f>IF(E1="售价",ROUND(PRODUCT(R37,AA7:AA36),0),ROUND(PRODUCT(R37,AA7:AA36),1))</f>
        <v>#DIV/0!</v>
      </c>
      <c r="S38" s="3667"/>
      <c r="T38" s="3667" t="e">
        <f>IF(E1="售价",ROUND(PRODUCT(T37,AB7:AB36),0),ROUND(PRODUCT(T37,AB7:AB36),1))</f>
        <v>#DIV/0!</v>
      </c>
      <c r="U38" s="3667"/>
      <c r="V38" s="3667" t="e">
        <f>IF(E1="售价",ROUND(PRODUCT(V37,AC7:AC36),0),ROUND(PRODUCT(V37,AC7:AC36),1))</f>
        <v>#DIV/0!</v>
      </c>
      <c r="W38" s="3667"/>
      <c r="X38" s="618"/>
      <c r="Y38" s="618"/>
      <c r="Z38" s="618"/>
      <c r="AA38" s="618"/>
      <c r="AB38" s="618"/>
      <c r="AC38" s="618"/>
    </row>
    <row r="39" spans="1:29" ht="15" thickBot="1">
      <c r="A39" s="378" t="s">
        <v>2363</v>
      </c>
      <c r="B39" s="379"/>
      <c r="C39" s="1132" t="e">
        <f>R39</f>
        <v>#DIV/0!</v>
      </c>
      <c r="D39" s="1132"/>
      <c r="E39" s="1132"/>
      <c r="F39" s="1132"/>
      <c r="G39" s="1132"/>
      <c r="H39" s="1132"/>
      <c r="I39" s="1132"/>
      <c r="J39" s="1132"/>
      <c r="K39" s="504"/>
      <c r="L39" s="3007"/>
      <c r="P39" s="3668" t="str">
        <f>A39</f>
        <v>估价对象XX用房的比较价值（楼面单价，元/平方米）</v>
      </c>
      <c r="Q39" s="3669"/>
      <c r="R39" s="3670" t="e">
        <f>IF(E1="售价",ROUND(IF(D38="简单平均",AVERAGE(R38:W38),R38*F38+T38*H38+V38*J38),0),ROUND(IF(D38="简单平均",AVERAGE(R38:V38),R38*F38+T38*H38+V38*J38),1))</f>
        <v>#DIV/0!</v>
      </c>
      <c r="S39" s="3670"/>
      <c r="T39" s="3670"/>
      <c r="U39" s="3670"/>
      <c r="V39" s="3670"/>
      <c r="W39" s="367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202"/>
      <c r="E1" s="1529" t="s">
        <v>2685</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 thickBot="1">
      <c r="A7" s="301" t="s">
        <v>2200</v>
      </c>
      <c r="B7" s="302"/>
      <c r="C7" s="303">
        <f>'数据-取费表'!B2</f>
        <v>44571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6" t="s">
        <v>2201</v>
      </c>
      <c r="Q7" s="3660"/>
      <c r="R7" s="627" t="s">
        <v>25</v>
      </c>
      <c r="S7" s="628">
        <f t="shared" ref="S7:S14" si="0">F7</f>
        <v>0</v>
      </c>
      <c r="T7" s="627" t="s">
        <v>25</v>
      </c>
      <c r="U7" s="628">
        <f t="shared" ref="U7:U14" si="1">H7</f>
        <v>0</v>
      </c>
      <c r="V7" s="627" t="s">
        <v>25</v>
      </c>
      <c r="W7" s="628">
        <f t="shared" ref="W7:W14" si="2">J7</f>
        <v>0</v>
      </c>
      <c r="X7" s="629"/>
      <c r="Y7" s="3636" t="s">
        <v>2201</v>
      </c>
      <c r="Z7" s="3637"/>
      <c r="AA7" s="630" t="e">
        <f>D7/F7</f>
        <v>#DIV/0!</v>
      </c>
      <c r="AB7" s="630" t="e">
        <f>D7/H7</f>
        <v>#DIV/0!</v>
      </c>
      <c r="AC7" s="630"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34" si="3">D8/F8</f>
        <v>#DIV/0!</v>
      </c>
      <c r="AB8" s="630" t="e">
        <f t="shared" ref="AB8:AB34" si="4">D8/H8</f>
        <v>#DIV/0!</v>
      </c>
      <c r="AC8" s="630"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3" t="s">
        <v>2207</v>
      </c>
      <c r="Q9" s="1297" t="str">
        <f t="shared" ref="Q9:Q14" si="6">B9</f>
        <v>用途</v>
      </c>
      <c r="R9" s="627" t="s">
        <v>25</v>
      </c>
      <c r="S9" s="628">
        <f t="shared" si="0"/>
        <v>100</v>
      </c>
      <c r="T9" s="627" t="s">
        <v>25</v>
      </c>
      <c r="U9" s="628">
        <f t="shared" si="1"/>
        <v>100</v>
      </c>
      <c r="V9" s="627" t="s">
        <v>25</v>
      </c>
      <c r="W9" s="628">
        <f t="shared" si="2"/>
        <v>100</v>
      </c>
      <c r="X9" s="629"/>
      <c r="Y9" s="3663" t="s">
        <v>2208</v>
      </c>
      <c r="Z9" s="19" t="str">
        <f t="shared" ref="Z9:Z14" si="7">Q9</f>
        <v>用途</v>
      </c>
      <c r="AA9" s="630">
        <f t="shared" si="3"/>
        <v>1</v>
      </c>
      <c r="AB9" s="630">
        <f t="shared" si="4"/>
        <v>1</v>
      </c>
      <c r="AC9" s="630">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3"/>
      <c r="Q10" s="1297"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3"/>
      <c r="Q11" s="1297">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96.6">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1" t="s">
        <v>2212</v>
      </c>
      <c r="Q14" s="1304" t="str">
        <f t="shared" si="6"/>
        <v>交通便捷度</v>
      </c>
      <c r="R14" s="631" t="s">
        <v>25</v>
      </c>
      <c r="S14" s="632">
        <f t="shared" si="0"/>
        <v>100</v>
      </c>
      <c r="T14" s="631" t="s">
        <v>25</v>
      </c>
      <c r="U14" s="632">
        <f t="shared" si="1"/>
        <v>100</v>
      </c>
      <c r="V14" s="631" t="s">
        <v>25</v>
      </c>
      <c r="W14" s="632">
        <f t="shared" si="2"/>
        <v>100</v>
      </c>
      <c r="X14" s="1305"/>
      <c r="Y14" s="3661"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2"/>
      <c r="Q15" s="1304"/>
      <c r="R15" s="631"/>
      <c r="S15" s="632"/>
      <c r="T15" s="631"/>
      <c r="U15" s="632"/>
      <c r="V15" s="631"/>
      <c r="W15" s="632"/>
      <c r="X15" s="1305"/>
      <c r="Y15" s="3662"/>
      <c r="Z15" s="1306"/>
      <c r="AA15" s="1307">
        <v>1</v>
      </c>
      <c r="AB15" s="1307">
        <v>1</v>
      </c>
      <c r="AC15" s="1307">
        <v>1</v>
      </c>
    </row>
    <row r="16" spans="1:29" ht="41.4">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2"/>
      <c r="Q16" s="1304" t="str">
        <f>B16</f>
        <v>公共配套设施</v>
      </c>
      <c r="R16" s="631" t="s">
        <v>25</v>
      </c>
      <c r="S16" s="632">
        <f>F16</f>
        <v>100</v>
      </c>
      <c r="T16" s="631" t="s">
        <v>25</v>
      </c>
      <c r="U16" s="632">
        <f>H16</f>
        <v>100</v>
      </c>
      <c r="V16" s="631" t="s">
        <v>25</v>
      </c>
      <c r="W16" s="632">
        <f>J16</f>
        <v>100</v>
      </c>
      <c r="X16" s="1305"/>
      <c r="Y16" s="366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2"/>
      <c r="Q17" s="1304"/>
      <c r="R17" s="631"/>
      <c r="S17" s="632"/>
      <c r="T17" s="631"/>
      <c r="U17" s="632"/>
      <c r="V17" s="631"/>
      <c r="W17" s="632"/>
      <c r="X17" s="1305"/>
      <c r="Y17" s="3662"/>
      <c r="Z17" s="1306"/>
      <c r="AA17" s="1307">
        <v>1</v>
      </c>
      <c r="AB17" s="1307">
        <v>1</v>
      </c>
      <c r="AC17" s="1307">
        <v>1</v>
      </c>
    </row>
    <row r="18" spans="1:29" ht="41.4">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2"/>
      <c r="Q18" s="1304" t="str">
        <f>B18</f>
        <v>基础设施水平</v>
      </c>
      <c r="R18" s="631" t="s">
        <v>25</v>
      </c>
      <c r="S18" s="632">
        <f>F18</f>
        <v>100</v>
      </c>
      <c r="T18" s="631" t="s">
        <v>25</v>
      </c>
      <c r="U18" s="632">
        <f>H18</f>
        <v>100</v>
      </c>
      <c r="V18" s="631" t="s">
        <v>25</v>
      </c>
      <c r="W18" s="632">
        <f>J18</f>
        <v>100</v>
      </c>
      <c r="X18" s="1305"/>
      <c r="Y18" s="366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2"/>
      <c r="Q19" s="1304"/>
      <c r="R19" s="631"/>
      <c r="S19" s="632"/>
      <c r="T19" s="631"/>
      <c r="U19" s="632"/>
      <c r="V19" s="631"/>
      <c r="W19" s="632"/>
      <c r="X19" s="1305"/>
      <c r="Y19" s="3662"/>
      <c r="Z19" s="1306"/>
      <c r="AA19" s="1307">
        <v>1</v>
      </c>
      <c r="AB19" s="1307">
        <v>1</v>
      </c>
      <c r="AC19" s="1307">
        <v>1</v>
      </c>
    </row>
    <row r="20" spans="1:29" ht="55.2">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2"/>
      <c r="Q20" s="1304" t="str">
        <f>B20</f>
        <v>自然及人文环境</v>
      </c>
      <c r="R20" s="631" t="s">
        <v>25</v>
      </c>
      <c r="S20" s="632">
        <f>F20</f>
        <v>100</v>
      </c>
      <c r="T20" s="631" t="s">
        <v>25</v>
      </c>
      <c r="U20" s="632">
        <f>H20</f>
        <v>100</v>
      </c>
      <c r="V20" s="631" t="s">
        <v>25</v>
      </c>
      <c r="W20" s="632">
        <f>J20</f>
        <v>100</v>
      </c>
      <c r="X20" s="1305"/>
      <c r="Y20" s="366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2"/>
      <c r="Q21" s="1304"/>
      <c r="R21" s="631"/>
      <c r="S21" s="632"/>
      <c r="T21" s="631"/>
      <c r="U21" s="632"/>
      <c r="V21" s="631"/>
      <c r="W21" s="632"/>
      <c r="X21" s="1305"/>
      <c r="Y21" s="3662"/>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2"/>
      <c r="Q22" s="1304" t="str">
        <f>B22</f>
        <v>楼层</v>
      </c>
      <c r="R22" s="631" t="s">
        <v>25</v>
      </c>
      <c r="S22" s="632">
        <f>F22</f>
        <v>100</v>
      </c>
      <c r="T22" s="631" t="s">
        <v>25</v>
      </c>
      <c r="U22" s="632">
        <f>H22</f>
        <v>100</v>
      </c>
      <c r="V22" s="631" t="s">
        <v>25</v>
      </c>
      <c r="W22" s="632">
        <f>J22</f>
        <v>100</v>
      </c>
      <c r="X22" s="1305"/>
      <c r="Y22" s="366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2"/>
      <c r="Q23" s="1304">
        <f>B23</f>
        <v>111</v>
      </c>
      <c r="R23" s="631" t="s">
        <v>25</v>
      </c>
      <c r="S23" s="632">
        <f>F23</f>
        <v>100</v>
      </c>
      <c r="T23" s="631" t="s">
        <v>25</v>
      </c>
      <c r="U23" s="632">
        <f>H23</f>
        <v>100</v>
      </c>
      <c r="V23" s="631" t="s">
        <v>25</v>
      </c>
      <c r="W23" s="632">
        <f>J23</f>
        <v>100</v>
      </c>
      <c r="X23" s="1305"/>
      <c r="Y23" s="366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2"/>
      <c r="Q24" s="1304">
        <f t="shared" ref="Q24:Q34" si="11">B24</f>
        <v>111</v>
      </c>
      <c r="R24" s="631" t="s">
        <v>25</v>
      </c>
      <c r="S24" s="632">
        <f>F24</f>
        <v>100</v>
      </c>
      <c r="T24" s="631" t="s">
        <v>25</v>
      </c>
      <c r="U24" s="632">
        <f>H24</f>
        <v>100</v>
      </c>
      <c r="V24" s="631" t="s">
        <v>25</v>
      </c>
      <c r="W24" s="632">
        <f>J24</f>
        <v>100</v>
      </c>
      <c r="X24" s="1305"/>
      <c r="Y24" s="3662"/>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2"/>
      <c r="Q25" s="1297">
        <f t="shared" si="11"/>
        <v>111</v>
      </c>
      <c r="R25" s="627" t="s">
        <v>25</v>
      </c>
      <c r="S25" s="628">
        <f>F25</f>
        <v>100</v>
      </c>
      <c r="T25" s="627" t="s">
        <v>25</v>
      </c>
      <c r="U25" s="628">
        <f>H25</f>
        <v>100</v>
      </c>
      <c r="V25" s="627" t="s">
        <v>25</v>
      </c>
      <c r="W25" s="628">
        <f>J25</f>
        <v>100</v>
      </c>
      <c r="X25" s="629"/>
      <c r="Y25" s="3662"/>
      <c r="Z25" s="19">
        <f>Q25</f>
        <v>111</v>
      </c>
      <c r="AA25" s="1307">
        <f>D25/F25</f>
        <v>1</v>
      </c>
      <c r="AB25" s="1307">
        <f>D25/H25</f>
        <v>1</v>
      </c>
      <c r="AC25" s="1307">
        <f>D25/J25</f>
        <v>1</v>
      </c>
    </row>
    <row r="26" spans="1:29" ht="30">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5"/>
      <c r="Q27" s="633" t="str">
        <f t="shared" si="11"/>
        <v>成新率</v>
      </c>
      <c r="R27" s="634" t="s">
        <v>25</v>
      </c>
      <c r="S27" s="635" t="e">
        <f t="shared" si="12"/>
        <v>#N/A</v>
      </c>
      <c r="T27" s="634" t="s">
        <v>25</v>
      </c>
      <c r="U27" s="635" t="e">
        <f t="shared" si="13"/>
        <v>#N/A</v>
      </c>
      <c r="V27" s="634" t="s">
        <v>25</v>
      </c>
      <c r="W27" s="635" t="e">
        <f t="shared" si="14"/>
        <v>#N/A</v>
      </c>
      <c r="X27" s="636"/>
      <c r="Y27" s="366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5"/>
      <c r="Q28" s="1304" t="str">
        <f t="shared" si="11"/>
        <v>物业等级</v>
      </c>
      <c r="R28" s="631" t="s">
        <v>25</v>
      </c>
      <c r="S28" s="632">
        <f t="shared" si="12"/>
        <v>100</v>
      </c>
      <c r="T28" s="631" t="s">
        <v>25</v>
      </c>
      <c r="U28" s="632">
        <f t="shared" si="13"/>
        <v>100</v>
      </c>
      <c r="V28" s="631" t="s">
        <v>25</v>
      </c>
      <c r="W28" s="632">
        <f t="shared" si="14"/>
        <v>100</v>
      </c>
      <c r="X28" s="1305"/>
      <c r="Y28" s="366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5"/>
      <c r="Q29" s="1304" t="str">
        <f t="shared" si="11"/>
        <v>有无电梯</v>
      </c>
      <c r="R29" s="631" t="s">
        <v>25</v>
      </c>
      <c r="S29" s="632">
        <f t="shared" si="12"/>
        <v>100</v>
      </c>
      <c r="T29" s="631" t="s">
        <v>25</v>
      </c>
      <c r="U29" s="632">
        <f t="shared" si="13"/>
        <v>100</v>
      </c>
      <c r="V29" s="631" t="s">
        <v>25</v>
      </c>
      <c r="W29" s="632">
        <f t="shared" si="14"/>
        <v>100</v>
      </c>
      <c r="X29" s="1305"/>
      <c r="Y29" s="366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5"/>
      <c r="Q30" s="1304" t="str">
        <f t="shared" si="11"/>
        <v>建筑面积</v>
      </c>
      <c r="R30" s="631" t="s">
        <v>25</v>
      </c>
      <c r="S30" s="632" t="e">
        <f t="shared" si="12"/>
        <v>#N/A</v>
      </c>
      <c r="T30" s="631" t="s">
        <v>25</v>
      </c>
      <c r="U30" s="632" t="e">
        <f t="shared" si="13"/>
        <v>#N/A</v>
      </c>
      <c r="V30" s="631" t="s">
        <v>25</v>
      </c>
      <c r="W30" s="632" t="e">
        <f t="shared" si="14"/>
        <v>#N/A</v>
      </c>
      <c r="X30" s="1305"/>
      <c r="Y30" s="366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5"/>
      <c r="Q31" s="1297" t="str">
        <f t="shared" si="11"/>
        <v>是否封闭</v>
      </c>
      <c r="R31" s="627" t="s">
        <v>25</v>
      </c>
      <c r="S31" s="628">
        <f t="shared" si="12"/>
        <v>100</v>
      </c>
      <c r="T31" s="627" t="s">
        <v>25</v>
      </c>
      <c r="U31" s="628">
        <f t="shared" si="13"/>
        <v>100</v>
      </c>
      <c r="V31" s="627" t="s">
        <v>25</v>
      </c>
      <c r="W31" s="628">
        <f t="shared" si="14"/>
        <v>100</v>
      </c>
      <c r="X31" s="629"/>
      <c r="Y31" s="366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5" t="s">
        <v>2218</v>
      </c>
      <c r="Q32" s="1304">
        <f t="shared" si="11"/>
        <v>111</v>
      </c>
      <c r="R32" s="631" t="s">
        <v>25</v>
      </c>
      <c r="S32" s="632">
        <f t="shared" si="12"/>
        <v>100</v>
      </c>
      <c r="T32" s="631" t="s">
        <v>25</v>
      </c>
      <c r="U32" s="632">
        <f t="shared" si="13"/>
        <v>100</v>
      </c>
      <c r="V32" s="631" t="s">
        <v>25</v>
      </c>
      <c r="W32" s="632">
        <f t="shared" si="14"/>
        <v>100</v>
      </c>
      <c r="X32" s="1305"/>
      <c r="Y32" s="366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5"/>
      <c r="Q33" s="1304">
        <f t="shared" si="11"/>
        <v>111</v>
      </c>
      <c r="R33" s="631" t="s">
        <v>25</v>
      </c>
      <c r="S33" s="632">
        <f t="shared" si="12"/>
        <v>100</v>
      </c>
      <c r="T33" s="631" t="s">
        <v>25</v>
      </c>
      <c r="U33" s="632">
        <f t="shared" si="13"/>
        <v>100</v>
      </c>
      <c r="V33" s="631" t="s">
        <v>25</v>
      </c>
      <c r="W33" s="632">
        <f t="shared" si="14"/>
        <v>100</v>
      </c>
      <c r="X33" s="1305"/>
      <c r="Y33" s="3665"/>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5"/>
      <c r="Q34" s="1304">
        <f t="shared" si="11"/>
        <v>111</v>
      </c>
      <c r="R34" s="631" t="s">
        <v>25</v>
      </c>
      <c r="S34" s="632">
        <f t="shared" si="12"/>
        <v>100</v>
      </c>
      <c r="T34" s="631" t="s">
        <v>25</v>
      </c>
      <c r="U34" s="632">
        <f t="shared" si="13"/>
        <v>100</v>
      </c>
      <c r="V34" s="631" t="s">
        <v>25</v>
      </c>
      <c r="W34" s="632">
        <f t="shared" si="14"/>
        <v>100</v>
      </c>
      <c r="X34" s="1305"/>
      <c r="Y34" s="3665"/>
      <c r="Z34" s="1306">
        <f t="shared" si="15"/>
        <v>111</v>
      </c>
      <c r="AA34" s="1307">
        <f t="shared" si="3"/>
        <v>1</v>
      </c>
      <c r="AB34" s="1307">
        <f t="shared" si="4"/>
        <v>1</v>
      </c>
      <c r="AC34" s="1307">
        <f t="shared" si="5"/>
        <v>1</v>
      </c>
    </row>
    <row r="35" spans="1:29" ht="14.4">
      <c r="A35" s="367" t="s">
        <v>2230</v>
      </c>
      <c r="B35" s="368"/>
      <c r="C35" s="1124" t="s">
        <v>1</v>
      </c>
      <c r="D35" s="1125"/>
      <c r="E35" s="1126"/>
      <c r="F35" s="1127"/>
      <c r="G35" s="1128"/>
      <c r="H35" s="1129"/>
      <c r="I35" s="1126"/>
      <c r="J35" s="1129"/>
      <c r="K35" s="640"/>
      <c r="L35" s="3007"/>
      <c r="N35" s="2996"/>
      <c r="P35" s="3633" t="str">
        <f>A35</f>
        <v>成交单价（元/平方米）</v>
      </c>
      <c r="Q35" s="3633"/>
      <c r="R35" s="3667">
        <f>E35</f>
        <v>0</v>
      </c>
      <c r="S35" s="3667"/>
      <c r="T35" s="3667">
        <f>G35</f>
        <v>0</v>
      </c>
      <c r="U35" s="3667"/>
      <c r="V35" s="3667">
        <f>I35</f>
        <v>0</v>
      </c>
      <c r="W35" s="3667"/>
      <c r="X35" s="618"/>
      <c r="Y35" s="638"/>
      <c r="Z35" s="618"/>
      <c r="AA35" s="618"/>
      <c r="AB35" s="618"/>
      <c r="AC35" s="618"/>
    </row>
    <row r="36" spans="1:29" ht="15" thickBot="1">
      <c r="A36" s="374" t="s">
        <v>2313</v>
      </c>
      <c r="B36" s="375"/>
      <c r="C36" s="1130" t="e">
        <f>R37</f>
        <v>#DIV/0!</v>
      </c>
      <c r="D36" s="1767" t="s">
        <v>2684</v>
      </c>
      <c r="E36" s="1131" t="e">
        <f>R36</f>
        <v>#DIV/0!</v>
      </c>
      <c r="F36" s="1769"/>
      <c r="G36" s="1130" t="e">
        <f>T36</f>
        <v>#DIV/0!</v>
      </c>
      <c r="H36" s="1769"/>
      <c r="I36" s="1131" t="e">
        <f>V36</f>
        <v>#DIV/0!</v>
      </c>
      <c r="J36" s="1769"/>
      <c r="K36" s="2481">
        <f>F36+H36+J36</f>
        <v>0</v>
      </c>
      <c r="L36" s="3007"/>
      <c r="N36" s="2996"/>
      <c r="P36" s="3633" t="str">
        <f>A36</f>
        <v>比较价值（元/平方米）</v>
      </c>
      <c r="Q36" s="3633"/>
      <c r="R36" s="3667" t="e">
        <f>IF(E1="售价",ROUND(PRODUCT(R35,AA7:AA34),0),ROUND(PRODUCT(R35,AA7:AA34),1))</f>
        <v>#DIV/0!</v>
      </c>
      <c r="S36" s="3667"/>
      <c r="T36" s="3667" t="e">
        <f>IF(E1="售价",ROUND(PRODUCT(T35,AB7:AB34),0),ROUND(PRODUCT(T35,AB7:AB34),1))</f>
        <v>#DIV/0!</v>
      </c>
      <c r="U36" s="3667"/>
      <c r="V36" s="3667" t="e">
        <f>IF(E1="售价",ROUND(PRODUCT(V35,AC7:AC34),0),ROUND(PRODUCT(V35,AC7:AC34),1))</f>
        <v>#DIV/0!</v>
      </c>
      <c r="W36" s="3667"/>
      <c r="X36" s="618"/>
      <c r="Y36" s="618"/>
      <c r="Z36" s="618"/>
      <c r="AA36" s="618"/>
      <c r="AB36" s="618"/>
      <c r="AC36" s="618"/>
    </row>
    <row r="37" spans="1:29" ht="15" thickBot="1">
      <c r="A37" s="378" t="s">
        <v>2336</v>
      </c>
      <c r="B37" s="379"/>
      <c r="C37" s="1132" t="e">
        <f>R37</f>
        <v>#DIV/0!</v>
      </c>
      <c r="D37" s="1132"/>
      <c r="E37" s="1132"/>
      <c r="F37" s="1132"/>
      <c r="G37" s="1132"/>
      <c r="H37" s="1132"/>
      <c r="I37" s="1132"/>
      <c r="J37" s="1132"/>
      <c r="K37" s="641"/>
      <c r="L37" s="3007"/>
      <c r="P37" s="3668" t="str">
        <f>A37</f>
        <v>估价对象XX用房的比较价值（楼面单价，元/平方米）</v>
      </c>
      <c r="Q37" s="3669"/>
      <c r="R37" s="3670" t="e">
        <f>IF(E1="售价",ROUND(IF(D36="简单平均",AVERAGE(R36:W36),R36*F36+T36*H36+V36*J36),0),ROUND(IF(D36="简单平均",AVERAGE(R36:V36),R36*F36+T36*H36+V36*J36),1))</f>
        <v>#DIV/0!</v>
      </c>
      <c r="S37" s="3670"/>
      <c r="T37" s="3670"/>
      <c r="U37" s="3670"/>
      <c r="V37" s="3670"/>
      <c r="W37" s="3670"/>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2318</v>
      </c>
      <c r="B45" s="618"/>
      <c r="C45" s="621"/>
      <c r="D45" s="621"/>
      <c r="E45" s="621"/>
      <c r="F45" s="622"/>
      <c r="G45" s="622"/>
      <c r="H45" s="621"/>
      <c r="I45" s="621"/>
      <c r="J45" s="621"/>
      <c r="K45" s="623"/>
      <c r="L45" s="624"/>
      <c r="M45" s="621"/>
      <c r="N45" s="3013"/>
      <c r="O45" s="3013"/>
      <c r="P45" s="389"/>
      <c r="Q45" s="390"/>
    </row>
    <row r="46" spans="1:29" s="394" customFormat="1" ht="14.4">
      <c r="A46" s="391" t="s">
        <v>2200</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2187</v>
      </c>
      <c r="B4" s="1634"/>
      <c r="C4" s="3583" t="s">
        <v>2188</v>
      </c>
      <c r="D4" s="3584"/>
      <c r="E4" s="3585" t="s">
        <v>2189</v>
      </c>
      <c r="F4" s="3586"/>
      <c r="G4" s="3583" t="s">
        <v>2190</v>
      </c>
      <c r="H4" s="3584"/>
      <c r="I4" s="3583" t="s">
        <v>2191</v>
      </c>
      <c r="J4" s="3584"/>
      <c r="K4" s="1936" t="s">
        <v>2192</v>
      </c>
      <c r="L4" s="2967"/>
      <c r="M4" s="2968"/>
      <c r="N4" s="2968"/>
      <c r="O4" s="2968"/>
      <c r="P4" s="3587" t="s">
        <v>2193</v>
      </c>
      <c r="Q4" s="3588"/>
      <c r="R4" s="3593" t="s">
        <v>2189</v>
      </c>
      <c r="S4" s="3594"/>
      <c r="T4" s="3593" t="s">
        <v>2190</v>
      </c>
      <c r="U4" s="3594"/>
      <c r="V4" s="3599" t="s">
        <v>2191</v>
      </c>
      <c r="W4" s="3599"/>
      <c r="X4" s="1636"/>
      <c r="Y4" s="3593" t="s">
        <v>2193</v>
      </c>
      <c r="Z4" s="3594"/>
      <c r="AA4" s="3580" t="s">
        <v>2189</v>
      </c>
      <c r="AB4" s="3581" t="s">
        <v>2190</v>
      </c>
      <c r="AC4" s="3580" t="s">
        <v>2191</v>
      </c>
    </row>
    <row r="5" spans="1:30">
      <c r="A5" s="1638"/>
      <c r="B5" s="1639"/>
      <c r="C5" s="3602" t="s">
        <v>2194</v>
      </c>
      <c r="D5" s="3603"/>
      <c r="E5" s="3600" t="s">
        <v>2195</v>
      </c>
      <c r="F5" s="3601"/>
      <c r="G5" s="3602" t="s">
        <v>2196</v>
      </c>
      <c r="H5" s="3603"/>
      <c r="I5" s="3602" t="s">
        <v>2197</v>
      </c>
      <c r="J5" s="3603"/>
      <c r="K5" s="1936"/>
      <c r="L5" s="2967"/>
      <c r="M5" s="2968"/>
      <c r="N5" s="2968"/>
      <c r="O5" s="2968"/>
      <c r="P5" s="3589"/>
      <c r="Q5" s="3590"/>
      <c r="R5" s="3595"/>
      <c r="S5" s="3596"/>
      <c r="T5" s="3595"/>
      <c r="U5" s="3596"/>
      <c r="V5" s="3599"/>
      <c r="W5" s="3599"/>
      <c r="X5" s="1636"/>
      <c r="Y5" s="3595"/>
      <c r="Z5" s="3596"/>
      <c r="AA5" s="3581"/>
      <c r="AB5" s="3581"/>
      <c r="AC5" s="3581"/>
    </row>
    <row r="6" spans="1:30" ht="15" thickBot="1">
      <c r="A6" s="1641"/>
      <c r="B6" s="1642"/>
      <c r="C6" s="3604" t="s">
        <v>2198</v>
      </c>
      <c r="D6" s="3605"/>
      <c r="E6" s="3606" t="s">
        <v>2198</v>
      </c>
      <c r="F6" s="3607"/>
      <c r="G6" s="3604" t="s">
        <v>2198</v>
      </c>
      <c r="H6" s="3605"/>
      <c r="I6" s="3604" t="s">
        <v>2198</v>
      </c>
      <c r="J6" s="3605"/>
      <c r="K6" s="1936" t="s">
        <v>2199</v>
      </c>
      <c r="L6" s="2967"/>
      <c r="M6" s="2968"/>
      <c r="N6" s="2968"/>
      <c r="O6" s="2968"/>
      <c r="P6" s="3591"/>
      <c r="Q6" s="3592"/>
      <c r="R6" s="3595"/>
      <c r="S6" s="3596"/>
      <c r="T6" s="3597"/>
      <c r="U6" s="3598"/>
      <c r="V6" s="3599"/>
      <c r="W6" s="3599"/>
      <c r="X6" s="1636"/>
      <c r="Y6" s="3597"/>
      <c r="Z6" s="3598"/>
      <c r="AA6" s="3582"/>
      <c r="AB6" s="3582"/>
      <c r="AC6" s="3582"/>
    </row>
    <row r="7" spans="1:30" s="1655" customFormat="1" ht="15" thickBot="1">
      <c r="A7" s="1643" t="s">
        <v>2200</v>
      </c>
      <c r="B7" s="1644"/>
      <c r="C7" s="1645">
        <f>'数据-取费表'!B2</f>
        <v>44571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5" t="s">
        <v>2201</v>
      </c>
      <c r="Q7" s="3617"/>
      <c r="R7" s="1651" t="s">
        <v>25</v>
      </c>
      <c r="S7" s="1652">
        <f t="shared" ref="S7:S15" si="0">F7</f>
        <v>0</v>
      </c>
      <c r="T7" s="1651" t="s">
        <v>25</v>
      </c>
      <c r="U7" s="1652">
        <f t="shared" ref="U7:U15" si="1">H7</f>
        <v>0</v>
      </c>
      <c r="V7" s="1651" t="s">
        <v>25</v>
      </c>
      <c r="W7" s="1652">
        <f t="shared" ref="W7:W15" si="2">J7</f>
        <v>0</v>
      </c>
      <c r="X7" s="1653"/>
      <c r="Y7" s="3615" t="s">
        <v>2201</v>
      </c>
      <c r="Z7" s="3616"/>
      <c r="AA7" s="1654" t="e">
        <f>D7/F7</f>
        <v>#DIV/0!</v>
      </c>
      <c r="AB7" s="1654" t="e">
        <f>D7/H7</f>
        <v>#DIV/0!</v>
      </c>
      <c r="AC7" s="1654" t="e">
        <f>D7/J7</f>
        <v>#DIV/0!</v>
      </c>
    </row>
    <row r="8" spans="1:30" s="1655" customFormat="1" ht="1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5" t="s">
        <v>2204</v>
      </c>
      <c r="Q8" s="3616"/>
      <c r="R8" s="1651" t="s">
        <v>25</v>
      </c>
      <c r="S8" s="1652">
        <f t="shared" si="0"/>
        <v>0</v>
      </c>
      <c r="T8" s="1651" t="s">
        <v>25</v>
      </c>
      <c r="U8" s="1652">
        <f t="shared" si="1"/>
        <v>0</v>
      </c>
      <c r="V8" s="1651" t="s">
        <v>25</v>
      </c>
      <c r="W8" s="1652">
        <f t="shared" si="2"/>
        <v>0</v>
      </c>
      <c r="X8" s="1653"/>
      <c r="Y8" s="3615" t="s">
        <v>2204</v>
      </c>
      <c r="Z8" s="3616"/>
      <c r="AA8" s="1654" t="e">
        <f t="shared" ref="AA8:AA45" si="3">D8/F8</f>
        <v>#DIV/0!</v>
      </c>
      <c r="AB8" s="1654" t="e">
        <f t="shared" ref="AB8:AB45" si="4">D8/H8</f>
        <v>#DIV/0!</v>
      </c>
      <c r="AC8" s="1654" t="e">
        <f t="shared" ref="AC8:AC45" si="5">D8/J8</f>
        <v>#DIV/0!</v>
      </c>
    </row>
    <row r="9" spans="1:30" s="1655" customFormat="1" ht="14.4">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9" t="s">
        <v>2207</v>
      </c>
      <c r="Q9" s="1605" t="str">
        <f t="shared" ref="Q9:Q15" si="6">B9</f>
        <v>用途</v>
      </c>
      <c r="R9" s="1651" t="s">
        <v>25</v>
      </c>
      <c r="S9" s="1652">
        <f t="shared" si="0"/>
        <v>100</v>
      </c>
      <c r="T9" s="1651" t="s">
        <v>25</v>
      </c>
      <c r="U9" s="1652">
        <f t="shared" si="1"/>
        <v>100</v>
      </c>
      <c r="V9" s="1651" t="s">
        <v>25</v>
      </c>
      <c r="W9" s="1652">
        <f t="shared" si="2"/>
        <v>100</v>
      </c>
      <c r="X9" s="1653"/>
      <c r="Y9" s="3483" t="s">
        <v>2208</v>
      </c>
      <c r="Z9" s="1664" t="str">
        <f t="shared" ref="Z9:Z15" si="7">Q9</f>
        <v>用途</v>
      </c>
      <c r="AA9" s="1654">
        <f t="shared" si="3"/>
        <v>1</v>
      </c>
      <c r="AB9" s="1654">
        <f t="shared" si="4"/>
        <v>1</v>
      </c>
      <c r="AC9" s="1654">
        <f t="shared" si="5"/>
        <v>1</v>
      </c>
    </row>
    <row r="10" spans="1:30" s="1672" customFormat="1" ht="28.8">
      <c r="A10" s="1665"/>
      <c r="B10" s="1666" t="s">
        <v>2209</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619"/>
      <c r="Q10" s="1605" t="str">
        <f t="shared" si="6"/>
        <v>土地使用年限（年）</v>
      </c>
      <c r="R10" s="1651" t="s">
        <v>25</v>
      </c>
      <c r="S10" s="1652">
        <f t="shared" si="0"/>
        <v>117</v>
      </c>
      <c r="T10" s="1651" t="s">
        <v>25</v>
      </c>
      <c r="U10" s="1652">
        <f t="shared" si="1"/>
        <v>117</v>
      </c>
      <c r="V10" s="1651" t="s">
        <v>25</v>
      </c>
      <c r="W10" s="1652">
        <f t="shared" si="2"/>
        <v>117</v>
      </c>
      <c r="X10" s="1653"/>
      <c r="Y10" s="3483"/>
      <c r="Z10" s="1664" t="str">
        <f t="shared" si="7"/>
        <v>土地使用年限（年）</v>
      </c>
      <c r="AA10" s="1654">
        <f t="shared" si="3"/>
        <v>0.85470085470085466</v>
      </c>
      <c r="AB10" s="1654">
        <f t="shared" si="4"/>
        <v>0.85470085470085466</v>
      </c>
      <c r="AC10" s="1654">
        <f t="shared" si="5"/>
        <v>0.85470085470085466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9"/>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9"/>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9"/>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9"/>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6.6">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8" t="s">
        <v>2212</v>
      </c>
      <c r="Q15" s="1586" t="str">
        <f t="shared" si="6"/>
        <v>居住社区成熟度</v>
      </c>
      <c r="R15" s="1696" t="s">
        <v>25</v>
      </c>
      <c r="S15" s="1697">
        <f t="shared" si="0"/>
        <v>100</v>
      </c>
      <c r="T15" s="1696" t="s">
        <v>25</v>
      </c>
      <c r="U15" s="1697">
        <f t="shared" si="1"/>
        <v>100</v>
      </c>
      <c r="V15" s="1696" t="s">
        <v>25</v>
      </c>
      <c r="W15" s="1697">
        <f t="shared" si="2"/>
        <v>100</v>
      </c>
      <c r="X15" s="1636"/>
      <c r="Y15" s="3608"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9"/>
      <c r="Q16" s="1586"/>
      <c r="R16" s="1696"/>
      <c r="S16" s="1697"/>
      <c r="T16" s="1696"/>
      <c r="U16" s="1697"/>
      <c r="V16" s="1696"/>
      <c r="W16" s="1697"/>
      <c r="X16" s="1636"/>
      <c r="Y16" s="3609"/>
      <c r="Z16" s="1698"/>
      <c r="AA16" s="1699">
        <v>1</v>
      </c>
      <c r="AB16" s="1699">
        <v>1</v>
      </c>
      <c r="AC16" s="1699">
        <v>1</v>
      </c>
    </row>
    <row r="17" spans="1:29" ht="82.8">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9"/>
      <c r="Q18" s="1586"/>
      <c r="R18" s="1696"/>
      <c r="S18" s="1697"/>
      <c r="T18" s="1696"/>
      <c r="U18" s="1697"/>
      <c r="V18" s="1696"/>
      <c r="W18" s="1697"/>
      <c r="X18" s="1636"/>
      <c r="Y18" s="3609"/>
      <c r="Z18" s="1698"/>
      <c r="AA18" s="1699">
        <v>1</v>
      </c>
      <c r="AB18" s="1699">
        <v>1</v>
      </c>
      <c r="AC18" s="1699">
        <v>1</v>
      </c>
    </row>
    <row r="19" spans="1:29" ht="82.8">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9"/>
      <c r="Q20" s="1586"/>
      <c r="R20" s="1696"/>
      <c r="S20" s="1697"/>
      <c r="T20" s="1696"/>
      <c r="U20" s="1697"/>
      <c r="V20" s="1696"/>
      <c r="W20" s="1697"/>
      <c r="X20" s="1636"/>
      <c r="Y20" s="3609"/>
      <c r="Z20" s="1698"/>
      <c r="AA20" s="1699">
        <v>1</v>
      </c>
      <c r="AB20" s="1699">
        <v>1</v>
      </c>
      <c r="AC20" s="1699">
        <v>1</v>
      </c>
    </row>
    <row r="21" spans="1:29" ht="96.6">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9"/>
      <c r="Q22" s="1586"/>
      <c r="R22" s="1696"/>
      <c r="S22" s="1697"/>
      <c r="T22" s="1696"/>
      <c r="U22" s="1697"/>
      <c r="V22" s="1696"/>
      <c r="W22" s="1697"/>
      <c r="X22" s="1636"/>
      <c r="Y22" s="3609"/>
      <c r="Z22" s="1698"/>
      <c r="AA22" s="1699">
        <v>1</v>
      </c>
      <c r="AB22" s="1699">
        <v>1</v>
      </c>
      <c r="AC22" s="1699">
        <v>1</v>
      </c>
    </row>
    <row r="23" spans="1:29" ht="28.8">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9"/>
      <c r="Q24" s="1586"/>
      <c r="R24" s="1696"/>
      <c r="S24" s="1697"/>
      <c r="T24" s="1696"/>
      <c r="U24" s="1697"/>
      <c r="V24" s="1696"/>
      <c r="W24" s="1697"/>
      <c r="X24" s="1636"/>
      <c r="Y24" s="3609"/>
      <c r="Z24" s="1698"/>
      <c r="AA24" s="1699"/>
      <c r="AB24" s="1699"/>
      <c r="AC24" s="1699"/>
    </row>
    <row r="25" spans="1:29" ht="55.2">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9"/>
      <c r="Q26" s="1586"/>
      <c r="R26" s="1696"/>
      <c r="S26" s="1697"/>
      <c r="T26" s="1696"/>
      <c r="U26" s="1697"/>
      <c r="V26" s="1696"/>
      <c r="W26" s="1697"/>
      <c r="X26" s="1636"/>
      <c r="Y26" s="3609"/>
      <c r="Z26" s="1698"/>
      <c r="AA26" s="1699">
        <v>1</v>
      </c>
      <c r="AB26" s="1699">
        <v>1</v>
      </c>
      <c r="AC26" s="1699">
        <v>1</v>
      </c>
    </row>
    <row r="27" spans="1:29" ht="41.4">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9"/>
      <c r="Q28" s="1586"/>
      <c r="R28" s="1696"/>
      <c r="S28" s="1697"/>
      <c r="T28" s="1696"/>
      <c r="U28" s="1697"/>
      <c r="V28" s="1696"/>
      <c r="W28" s="1697"/>
      <c r="X28" s="1636"/>
      <c r="Y28" s="3609"/>
      <c r="Z28" s="1664"/>
      <c r="AA28" s="1699">
        <v>1</v>
      </c>
      <c r="AB28" s="1699">
        <v>1</v>
      </c>
      <c r="AC28" s="1699">
        <v>1</v>
      </c>
    </row>
    <row r="29" spans="1:29" s="1655" customFormat="1" ht="41.4">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9"/>
      <c r="Q30" s="1605"/>
      <c r="R30" s="1651"/>
      <c r="S30" s="1652"/>
      <c r="T30" s="1651"/>
      <c r="U30" s="1652"/>
      <c r="V30" s="1651"/>
      <c r="W30" s="1652"/>
      <c r="X30" s="1653"/>
      <c r="Y30" s="3609"/>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8.8">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9"/>
      <c r="Q33" s="1586"/>
      <c r="R33" s="1696"/>
      <c r="S33" s="1697"/>
      <c r="T33" s="1696"/>
      <c r="U33" s="1697"/>
      <c r="V33" s="1696"/>
      <c r="W33" s="1697"/>
      <c r="X33" s="1636"/>
      <c r="Y33" s="3609"/>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2218</v>
      </c>
      <c r="Q36" s="1586">
        <f t="shared" si="8"/>
        <v>111</v>
      </c>
      <c r="R36" s="1696" t="s">
        <v>25</v>
      </c>
      <c r="S36" s="1697">
        <f t="shared" si="10"/>
        <v>100</v>
      </c>
      <c r="T36" s="1696" t="s">
        <v>25</v>
      </c>
      <c r="U36" s="1697">
        <f t="shared" si="11"/>
        <v>100</v>
      </c>
      <c r="V36" s="1696" t="s">
        <v>25</v>
      </c>
      <c r="W36" s="1697">
        <f t="shared" si="12"/>
        <v>100</v>
      </c>
      <c r="X36" s="1636"/>
      <c r="Y36" s="3613" t="s">
        <v>2218</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3"/>
      <c r="Q37" s="1586">
        <f t="shared" si="8"/>
        <v>111</v>
      </c>
      <c r="R37" s="1738" t="s">
        <v>25</v>
      </c>
      <c r="S37" s="1739">
        <f t="shared" si="10"/>
        <v>100</v>
      </c>
      <c r="T37" s="1738" t="s">
        <v>25</v>
      </c>
      <c r="U37" s="1739">
        <f t="shared" si="11"/>
        <v>100</v>
      </c>
      <c r="V37" s="1738" t="s">
        <v>25</v>
      </c>
      <c r="W37" s="1739">
        <f t="shared" si="12"/>
        <v>100</v>
      </c>
      <c r="X37" s="1740"/>
      <c r="Y37" s="3613"/>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3" t="s">
        <v>2218</v>
      </c>
      <c r="Q42" s="1586" t="str">
        <f t="shared" si="14"/>
        <v>工程地质条件</v>
      </c>
      <c r="R42" s="1696" t="s">
        <v>25</v>
      </c>
      <c r="S42" s="1697">
        <f t="shared" si="10"/>
        <v>100</v>
      </c>
      <c r="T42" s="1696" t="s">
        <v>25</v>
      </c>
      <c r="U42" s="1697">
        <f t="shared" si="11"/>
        <v>100</v>
      </c>
      <c r="V42" s="1696" t="s">
        <v>25</v>
      </c>
      <c r="W42" s="1697">
        <f t="shared" si="12"/>
        <v>100</v>
      </c>
      <c r="X42" s="1636"/>
      <c r="Y42" s="3613"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3"/>
      <c r="Q45" s="1586">
        <f t="shared" si="14"/>
        <v>111</v>
      </c>
      <c r="R45" s="1738" t="s">
        <v>25</v>
      </c>
      <c r="S45" s="1739">
        <f t="shared" si="10"/>
        <v>100</v>
      </c>
      <c r="T45" s="1738" t="s">
        <v>25</v>
      </c>
      <c r="U45" s="1739">
        <f t="shared" si="11"/>
        <v>100</v>
      </c>
      <c r="V45" s="1738" t="s">
        <v>25</v>
      </c>
      <c r="W45" s="1739">
        <f t="shared" si="12"/>
        <v>100</v>
      </c>
      <c r="X45" s="1740"/>
      <c r="Y45" s="3613"/>
      <c r="Z45" s="1741">
        <f t="shared" si="13"/>
        <v>111</v>
      </c>
      <c r="AA45" s="1699">
        <f t="shared" si="3"/>
        <v>1</v>
      </c>
      <c r="AB45" s="1699">
        <f t="shared" si="4"/>
        <v>1</v>
      </c>
      <c r="AC45" s="1699">
        <f t="shared" si="5"/>
        <v>1</v>
      </c>
    </row>
    <row r="46" spans="1:29" ht="14.4">
      <c r="A46" s="1752" t="s">
        <v>2360</v>
      </c>
      <c r="B46" s="1977" t="s">
        <v>2397</v>
      </c>
      <c r="C46" s="1978" t="s">
        <v>1</v>
      </c>
      <c r="D46" s="1979"/>
      <c r="E46" s="1980"/>
      <c r="F46" s="1981"/>
      <c r="G46" s="1982"/>
      <c r="H46" s="1983"/>
      <c r="I46" s="1980"/>
      <c r="J46" s="1983"/>
      <c r="K46" s="1984"/>
      <c r="L46" s="2973"/>
      <c r="N46" s="2968"/>
      <c r="P46" s="3619" t="str">
        <f>A46</f>
        <v>成交单价</v>
      </c>
      <c r="Q46" s="3619"/>
      <c r="R46" s="3599">
        <f>E46</f>
        <v>0</v>
      </c>
      <c r="S46" s="3599"/>
      <c r="T46" s="3599">
        <f>G46</f>
        <v>0</v>
      </c>
      <c r="U46" s="3599"/>
      <c r="V46" s="3599">
        <f>I46</f>
        <v>0</v>
      </c>
      <c r="W46" s="3599"/>
      <c r="X46" s="1762"/>
      <c r="Y46" s="1763"/>
      <c r="Z46" s="1762"/>
      <c r="AA46" s="1762"/>
      <c r="AB46" s="1762"/>
      <c r="AC46" s="1762"/>
    </row>
    <row r="47" spans="1:29" ht="15" thickBot="1">
      <c r="A47" s="1764" t="s">
        <v>2313</v>
      </c>
      <c r="B47" s="1985"/>
      <c r="C47" s="1986" t="e">
        <f>R48</f>
        <v>#DIV/0!</v>
      </c>
      <c r="D47" s="1767" t="s">
        <v>2684</v>
      </c>
      <c r="E47" s="1986" t="e">
        <f>R47</f>
        <v>#DIV/0!</v>
      </c>
      <c r="F47" s="1769"/>
      <c r="G47" s="1987" t="e">
        <f>T47</f>
        <v>#DIV/0!</v>
      </c>
      <c r="H47" s="1769"/>
      <c r="I47" s="1986" t="e">
        <f>V47</f>
        <v>#DIV/0!</v>
      </c>
      <c r="J47" s="1769"/>
      <c r="K47" s="2481">
        <f>F47+H47+J47</f>
        <v>0</v>
      </c>
      <c r="L47" s="2973"/>
      <c r="P47" s="3619" t="str">
        <f>A47</f>
        <v>比较价值（元/平方米）</v>
      </c>
      <c r="Q47" s="3619"/>
      <c r="R47" s="3671" t="e">
        <f>ROUND(PRODUCT(R46,AA7:AA45),0)</f>
        <v>#DIV/0!</v>
      </c>
      <c r="S47" s="3671"/>
      <c r="T47" s="3671" t="e">
        <f>ROUND(PRODUCT(T46,AB7:AB45),0)</f>
        <v>#DIV/0!</v>
      </c>
      <c r="U47" s="3671"/>
      <c r="V47" s="3671" t="e">
        <f>ROUND(PRODUCT(V46,AC7:AC45),0)</f>
        <v>#DIV/0!</v>
      </c>
      <c r="W47" s="3671"/>
      <c r="X47" s="1762"/>
      <c r="Y47" s="1762"/>
      <c r="Z47" s="1762"/>
      <c r="AA47" s="1762"/>
      <c r="AB47" s="1762"/>
      <c r="AC47" s="1762"/>
    </row>
    <row r="48" spans="1:29" ht="15" thickBot="1">
      <c r="A48" s="1770" t="s">
        <v>2336</v>
      </c>
      <c r="B48" s="1771"/>
      <c r="C48" s="1988" t="e">
        <f>R48</f>
        <v>#DIV/0!</v>
      </c>
      <c r="D48" s="1988"/>
      <c r="E48" s="1988"/>
      <c r="F48" s="1988"/>
      <c r="G48" s="1988"/>
      <c r="H48" s="1988"/>
      <c r="I48" s="1988"/>
      <c r="J48" s="1988"/>
      <c r="K48" s="1989"/>
      <c r="L48" s="2973"/>
      <c r="P48" s="3625" t="str">
        <f>A48</f>
        <v>估价对象XX用房的比较价值（楼面单价，元/平方米）</v>
      </c>
      <c r="Q48" s="3626"/>
      <c r="R48" s="3672" t="e">
        <f>ROUND(IF(D47="简单平均",AVERAGE(R47:W47),R47*F47+T47*H47+V47*J47),0)</f>
        <v>#DIV/0!</v>
      </c>
      <c r="S48" s="3672"/>
      <c r="T48" s="3672"/>
      <c r="U48" s="3672"/>
      <c r="V48" s="3672"/>
      <c r="W48" s="367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2.2"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4.4">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4.4">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2241</v>
      </c>
      <c r="B75" s="1818" t="s">
        <v>2206</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2209</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2330</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641" t="s">
        <v>2188</v>
      </c>
      <c r="D4" s="3642"/>
      <c r="E4" s="3643" t="s">
        <v>2189</v>
      </c>
      <c r="F4" s="3644"/>
      <c r="G4" s="3641" t="s">
        <v>2190</v>
      </c>
      <c r="H4" s="3642"/>
      <c r="I4" s="3641" t="s">
        <v>2191</v>
      </c>
      <c r="J4" s="3642"/>
      <c r="K4" s="496" t="s">
        <v>2192</v>
      </c>
      <c r="L4" s="2995"/>
      <c r="M4" s="2996"/>
      <c r="N4" s="2996"/>
      <c r="O4" s="2996"/>
      <c r="P4" s="3645" t="s">
        <v>2193</v>
      </c>
      <c r="Q4" s="3646"/>
      <c r="R4" s="3651" t="s">
        <v>2189</v>
      </c>
      <c r="S4" s="3652"/>
      <c r="T4" s="3651" t="s">
        <v>2190</v>
      </c>
      <c r="U4" s="3652"/>
      <c r="V4" s="3657" t="s">
        <v>2191</v>
      </c>
      <c r="W4" s="3657"/>
      <c r="X4" s="1305"/>
      <c r="Y4" s="3651" t="s">
        <v>2193</v>
      </c>
      <c r="Z4" s="3652"/>
      <c r="AA4" s="3638" t="s">
        <v>2189</v>
      </c>
      <c r="AB4" s="3639" t="s">
        <v>2190</v>
      </c>
      <c r="AC4" s="3638" t="s">
        <v>2191</v>
      </c>
    </row>
    <row r="5" spans="1:29">
      <c r="A5" s="297"/>
      <c r="B5" s="298"/>
      <c r="C5" s="3634" t="s">
        <v>2194</v>
      </c>
      <c r="D5" s="3635"/>
      <c r="E5" s="3658" t="s">
        <v>2195</v>
      </c>
      <c r="F5" s="3659"/>
      <c r="G5" s="3634" t="s">
        <v>2196</v>
      </c>
      <c r="H5" s="3635"/>
      <c r="I5" s="3634" t="s">
        <v>2197</v>
      </c>
      <c r="J5" s="3635"/>
      <c r="K5" s="496"/>
      <c r="L5" s="2995"/>
      <c r="M5" s="2996"/>
      <c r="N5" s="2996"/>
      <c r="O5" s="2996"/>
      <c r="P5" s="3647"/>
      <c r="Q5" s="3648"/>
      <c r="R5" s="3653"/>
      <c r="S5" s="3654"/>
      <c r="T5" s="3653"/>
      <c r="U5" s="3654"/>
      <c r="V5" s="3657"/>
      <c r="W5" s="3657"/>
      <c r="X5" s="1305"/>
      <c r="Y5" s="3653"/>
      <c r="Z5" s="3654"/>
      <c r="AA5" s="3639"/>
      <c r="AB5" s="3639"/>
      <c r="AC5" s="3639"/>
    </row>
    <row r="6" spans="1:29" ht="15" thickBot="1">
      <c r="A6" s="299"/>
      <c r="B6" s="300"/>
      <c r="C6" s="3631" t="s">
        <v>2198</v>
      </c>
      <c r="D6" s="3632"/>
      <c r="E6" s="3629" t="s">
        <v>2198</v>
      </c>
      <c r="F6" s="3630"/>
      <c r="G6" s="3631" t="s">
        <v>2198</v>
      </c>
      <c r="H6" s="3632"/>
      <c r="I6" s="3631" t="s">
        <v>2198</v>
      </c>
      <c r="J6" s="3632"/>
      <c r="K6" s="496" t="s">
        <v>2199</v>
      </c>
      <c r="L6" s="2995"/>
      <c r="M6" s="2996"/>
      <c r="N6" s="2996"/>
      <c r="O6" s="2996"/>
      <c r="P6" s="3649"/>
      <c r="Q6" s="3650"/>
      <c r="R6" s="3653"/>
      <c r="S6" s="3654"/>
      <c r="T6" s="3655"/>
      <c r="U6" s="3656"/>
      <c r="V6" s="3657"/>
      <c r="W6" s="3657"/>
      <c r="X6" s="1305"/>
      <c r="Y6" s="3655"/>
      <c r="Z6" s="3656"/>
      <c r="AA6" s="3640"/>
      <c r="AB6" s="3640"/>
      <c r="AC6" s="3640"/>
    </row>
    <row r="7" spans="1:29" s="25" customFormat="1" ht="15" thickBot="1">
      <c r="A7" s="301" t="s">
        <v>2200</v>
      </c>
      <c r="B7" s="302"/>
      <c r="C7" s="303">
        <f>'数据-取费表'!B2</f>
        <v>44571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6" t="s">
        <v>2201</v>
      </c>
      <c r="Q7" s="3660"/>
      <c r="R7" s="627" t="s">
        <v>25</v>
      </c>
      <c r="S7" s="628">
        <f t="shared" ref="S7:S15" si="0">F7</f>
        <v>0</v>
      </c>
      <c r="T7" s="627" t="s">
        <v>25</v>
      </c>
      <c r="U7" s="628">
        <f t="shared" ref="U7:U15" si="1">H7</f>
        <v>0</v>
      </c>
      <c r="V7" s="627" t="s">
        <v>25</v>
      </c>
      <c r="W7" s="628">
        <f t="shared" ref="W7:W15" si="2">J7</f>
        <v>0</v>
      </c>
      <c r="X7" s="629"/>
      <c r="Y7" s="3636" t="s">
        <v>2201</v>
      </c>
      <c r="Z7" s="3637"/>
      <c r="AA7" s="630" t="e">
        <f>D7/F7</f>
        <v>#DIV/0!</v>
      </c>
      <c r="AB7" s="630" t="e">
        <f>D7/H7</f>
        <v>#DIV/0!</v>
      </c>
      <c r="AC7" s="630"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6" t="s">
        <v>2204</v>
      </c>
      <c r="Q8" s="3637"/>
      <c r="R8" s="627" t="s">
        <v>25</v>
      </c>
      <c r="S8" s="628">
        <f t="shared" si="0"/>
        <v>0</v>
      </c>
      <c r="T8" s="627" t="s">
        <v>25</v>
      </c>
      <c r="U8" s="628">
        <f t="shared" si="1"/>
        <v>0</v>
      </c>
      <c r="V8" s="627" t="s">
        <v>25</v>
      </c>
      <c r="W8" s="628">
        <f t="shared" si="2"/>
        <v>0</v>
      </c>
      <c r="X8" s="629"/>
      <c r="Y8" s="3636" t="s">
        <v>2204</v>
      </c>
      <c r="Z8" s="3637"/>
      <c r="AA8" s="630" t="e">
        <f t="shared" ref="AA8:AA40" si="3">D8/F8</f>
        <v>#DIV/0!</v>
      </c>
      <c r="AB8" s="630" t="e">
        <f t="shared" ref="AB8:AB40" si="4">D8/H8</f>
        <v>#DIV/0!</v>
      </c>
      <c r="AC8" s="630" t="e">
        <f t="shared" ref="AC8:AC40" si="5">D8/J8</f>
        <v>#DIV/0!</v>
      </c>
    </row>
    <row r="9" spans="1:29" s="25" customFormat="1" ht="14.4">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3" t="s">
        <v>2207</v>
      </c>
      <c r="Q9" s="1297" t="str">
        <f t="shared" ref="Q9:Q15" si="6">B9</f>
        <v>用途</v>
      </c>
      <c r="R9" s="627" t="s">
        <v>25</v>
      </c>
      <c r="S9" s="628">
        <f t="shared" si="0"/>
        <v>100</v>
      </c>
      <c r="T9" s="627" t="s">
        <v>25</v>
      </c>
      <c r="U9" s="628">
        <f t="shared" si="1"/>
        <v>100</v>
      </c>
      <c r="V9" s="627" t="s">
        <v>25</v>
      </c>
      <c r="W9" s="628">
        <f t="shared" si="2"/>
        <v>100</v>
      </c>
      <c r="X9" s="629"/>
      <c r="Y9" s="3663" t="s">
        <v>2208</v>
      </c>
      <c r="Z9" s="19" t="str">
        <f t="shared" ref="Z9:Z15" si="7">Q9</f>
        <v>用途</v>
      </c>
      <c r="AA9" s="630">
        <f t="shared" si="3"/>
        <v>1</v>
      </c>
      <c r="AB9" s="630">
        <f t="shared" si="4"/>
        <v>1</v>
      </c>
      <c r="AC9" s="630">
        <f t="shared" si="5"/>
        <v>1</v>
      </c>
    </row>
    <row r="10" spans="1:29" s="317" customFormat="1" ht="28.8">
      <c r="A10" s="312"/>
      <c r="B10" s="313" t="s">
        <v>2209</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33"/>
      <c r="Q10" s="1297" t="str">
        <f t="shared" si="6"/>
        <v>土地使用年限（年）</v>
      </c>
      <c r="R10" s="627" t="s">
        <v>25</v>
      </c>
      <c r="S10" s="628">
        <f t="shared" si="0"/>
        <v>117</v>
      </c>
      <c r="T10" s="627" t="s">
        <v>25</v>
      </c>
      <c r="U10" s="628">
        <f t="shared" si="1"/>
        <v>117</v>
      </c>
      <c r="V10" s="627" t="s">
        <v>25</v>
      </c>
      <c r="W10" s="628">
        <f t="shared" si="2"/>
        <v>117</v>
      </c>
      <c r="X10" s="629"/>
      <c r="Y10" s="3663"/>
      <c r="Z10" s="19" t="str">
        <f t="shared" si="7"/>
        <v>土地使用年限（年）</v>
      </c>
      <c r="AA10" s="630">
        <f t="shared" si="3"/>
        <v>0.85470085470085466</v>
      </c>
      <c r="AB10" s="630">
        <f t="shared" si="4"/>
        <v>0.85470085470085466</v>
      </c>
      <c r="AC10" s="630">
        <f t="shared" si="5"/>
        <v>0.85470085470085466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3"/>
      <c r="Q11" s="1297"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3"/>
      <c r="Q12" s="1297">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3"/>
      <c r="Q13" s="1297">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3"/>
      <c r="Q14" s="1297">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69">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1" t="s">
        <v>2212</v>
      </c>
      <c r="Q15" s="1304" t="str">
        <f t="shared" si="6"/>
        <v>产业集聚程度</v>
      </c>
      <c r="R15" s="631" t="s">
        <v>25</v>
      </c>
      <c r="S15" s="632">
        <f t="shared" si="0"/>
        <v>100</v>
      </c>
      <c r="T15" s="631" t="s">
        <v>25</v>
      </c>
      <c r="U15" s="632">
        <f t="shared" si="1"/>
        <v>100</v>
      </c>
      <c r="V15" s="631" t="s">
        <v>25</v>
      </c>
      <c r="W15" s="632">
        <f t="shared" si="2"/>
        <v>100</v>
      </c>
      <c r="X15" s="1305"/>
      <c r="Y15" s="3661"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2"/>
      <c r="Q16" s="1304"/>
      <c r="R16" s="631"/>
      <c r="S16" s="632"/>
      <c r="T16" s="631"/>
      <c r="U16" s="632"/>
      <c r="V16" s="631"/>
      <c r="W16" s="632"/>
      <c r="X16" s="1305"/>
      <c r="Y16" s="3662"/>
      <c r="Z16" s="1306"/>
      <c r="AA16" s="1307">
        <v>1</v>
      </c>
      <c r="AB16" s="1307">
        <v>1</v>
      </c>
      <c r="AC16" s="1307">
        <v>1</v>
      </c>
    </row>
    <row r="17" spans="1:29" ht="96.6">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2"/>
      <c r="Q17" s="1304" t="str">
        <f>B17</f>
        <v>交通便捷度</v>
      </c>
      <c r="R17" s="631" t="s">
        <v>25</v>
      </c>
      <c r="S17" s="632">
        <f>F17</f>
        <v>100</v>
      </c>
      <c r="T17" s="631" t="s">
        <v>25</v>
      </c>
      <c r="U17" s="632">
        <f>H17</f>
        <v>100</v>
      </c>
      <c r="V17" s="631" t="s">
        <v>25</v>
      </c>
      <c r="W17" s="632">
        <f>J17</f>
        <v>100</v>
      </c>
      <c r="X17" s="1305"/>
      <c r="Y17" s="366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2"/>
      <c r="Q18" s="1304"/>
      <c r="R18" s="631"/>
      <c r="S18" s="632"/>
      <c r="T18" s="631"/>
      <c r="U18" s="632"/>
      <c r="V18" s="631"/>
      <c r="W18" s="632"/>
      <c r="X18" s="1305"/>
      <c r="Y18" s="3662"/>
      <c r="Z18" s="1306"/>
      <c r="AA18" s="1307">
        <v>1</v>
      </c>
      <c r="AB18" s="1307">
        <v>1</v>
      </c>
      <c r="AC18" s="1307">
        <v>1</v>
      </c>
    </row>
    <row r="19" spans="1:29" ht="28.8">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2"/>
      <c r="Q19" s="1304" t="str">
        <f t="shared" ref="Q19:Q33" si="8">B19</f>
        <v>区域土地利用方向</v>
      </c>
      <c r="R19" s="631" t="s">
        <v>25</v>
      </c>
      <c r="S19" s="632">
        <f>F19</f>
        <v>100</v>
      </c>
      <c r="T19" s="631" t="s">
        <v>25</v>
      </c>
      <c r="U19" s="632">
        <f>H19</f>
        <v>100</v>
      </c>
      <c r="V19" s="631" t="s">
        <v>25</v>
      </c>
      <c r="W19" s="632">
        <f>J19</f>
        <v>100</v>
      </c>
      <c r="X19" s="1305"/>
      <c r="Y19" s="366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2"/>
      <c r="Q20" s="1304"/>
      <c r="R20" s="631"/>
      <c r="S20" s="632"/>
      <c r="T20" s="631"/>
      <c r="U20" s="632"/>
      <c r="V20" s="631"/>
      <c r="W20" s="632"/>
      <c r="X20" s="1305"/>
      <c r="Y20" s="3662"/>
      <c r="Z20" s="1306"/>
      <c r="AA20" s="1307"/>
      <c r="AB20" s="1307"/>
      <c r="AC20" s="1307"/>
    </row>
    <row r="21" spans="1:29" ht="82.8">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2"/>
      <c r="Q21" s="1304" t="str">
        <f t="shared" si="8"/>
        <v>环境状况</v>
      </c>
      <c r="R21" s="631" t="s">
        <v>25</v>
      </c>
      <c r="S21" s="632">
        <f>F21</f>
        <v>100</v>
      </c>
      <c r="T21" s="631" t="s">
        <v>25</v>
      </c>
      <c r="U21" s="632">
        <f>H21</f>
        <v>100</v>
      </c>
      <c r="V21" s="631" t="s">
        <v>25</v>
      </c>
      <c r="W21" s="632">
        <f>J21</f>
        <v>100</v>
      </c>
      <c r="X21" s="1305"/>
      <c r="Y21" s="366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2"/>
      <c r="Q22" s="1304"/>
      <c r="R22" s="631"/>
      <c r="S22" s="632"/>
      <c r="T22" s="631"/>
      <c r="U22" s="632"/>
      <c r="V22" s="631"/>
      <c r="W22" s="632"/>
      <c r="X22" s="1305"/>
      <c r="Y22" s="3662"/>
      <c r="Z22" s="1306"/>
      <c r="AA22" s="1307">
        <v>1</v>
      </c>
      <c r="AB22" s="1307">
        <v>1</v>
      </c>
      <c r="AC22" s="1307">
        <v>1</v>
      </c>
    </row>
    <row r="23" spans="1:29" s="25" customFormat="1" ht="41.4">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2"/>
      <c r="Q23" s="1297" t="str">
        <f t="shared" si="8"/>
        <v>公共配套设施</v>
      </c>
      <c r="R23" s="627" t="s">
        <v>25</v>
      </c>
      <c r="S23" s="628">
        <f>F23</f>
        <v>100</v>
      </c>
      <c r="T23" s="627" t="s">
        <v>25</v>
      </c>
      <c r="U23" s="628">
        <f>H23</f>
        <v>100</v>
      </c>
      <c r="V23" s="627" t="s">
        <v>25</v>
      </c>
      <c r="W23" s="628">
        <f>J23</f>
        <v>100</v>
      </c>
      <c r="X23" s="629"/>
      <c r="Y23" s="366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2"/>
      <c r="Q24" s="1297"/>
      <c r="R24" s="627"/>
      <c r="S24" s="628"/>
      <c r="T24" s="627"/>
      <c r="U24" s="628"/>
      <c r="V24" s="627"/>
      <c r="W24" s="628"/>
      <c r="X24" s="629"/>
      <c r="Y24" s="3662"/>
      <c r="Z24" s="19"/>
      <c r="AA24" s="630">
        <v>1</v>
      </c>
      <c r="AB24" s="630">
        <v>1</v>
      </c>
      <c r="AC24" s="630">
        <v>1</v>
      </c>
    </row>
    <row r="25" spans="1:29" s="25" customFormat="1" ht="41.4">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2"/>
      <c r="Q25" s="1297" t="str">
        <f t="shared" ref="Q25" si="9">B25</f>
        <v>基础设施水平</v>
      </c>
      <c r="R25" s="627" t="s">
        <v>25</v>
      </c>
      <c r="S25" s="628">
        <f>F25</f>
        <v>100</v>
      </c>
      <c r="T25" s="627" t="s">
        <v>25</v>
      </c>
      <c r="U25" s="628">
        <f>H25</f>
        <v>100</v>
      </c>
      <c r="V25" s="627" t="s">
        <v>25</v>
      </c>
      <c r="W25" s="628">
        <f>J25</f>
        <v>100</v>
      </c>
      <c r="X25" s="629"/>
      <c r="Y25" s="366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2"/>
      <c r="Q26" s="1297"/>
      <c r="R26" s="627"/>
      <c r="S26" s="628"/>
      <c r="T26" s="627"/>
      <c r="U26" s="628"/>
      <c r="V26" s="627"/>
      <c r="W26" s="628"/>
      <c r="X26" s="629"/>
      <c r="Y26" s="3662"/>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2"/>
      <c r="Z27" s="1306" t="str">
        <f t="shared" ref="Z27:Z40" si="13">Q27</f>
        <v>临街状况</v>
      </c>
      <c r="AA27" s="1307">
        <f t="shared" si="3"/>
        <v>1</v>
      </c>
      <c r="AB27" s="1307">
        <f t="shared" si="4"/>
        <v>1</v>
      </c>
      <c r="AC27" s="1307">
        <f t="shared" si="5"/>
        <v>1</v>
      </c>
    </row>
    <row r="28" spans="1:29" ht="28.8">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2"/>
      <c r="Q28" s="1304" t="str">
        <f t="shared" si="8"/>
        <v>毗邻道路的类型与等级</v>
      </c>
      <c r="R28" s="631" t="s">
        <v>25</v>
      </c>
      <c r="S28" s="632">
        <f t="shared" si="10"/>
        <v>100</v>
      </c>
      <c r="T28" s="631" t="s">
        <v>25</v>
      </c>
      <c r="U28" s="632">
        <f t="shared" si="11"/>
        <v>100</v>
      </c>
      <c r="V28" s="631" t="s">
        <v>25</v>
      </c>
      <c r="W28" s="632">
        <f t="shared" si="12"/>
        <v>100</v>
      </c>
      <c r="X28" s="1305"/>
      <c r="Y28" s="366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2"/>
      <c r="Q29" s="1304"/>
      <c r="R29" s="631"/>
      <c r="S29" s="632"/>
      <c r="T29" s="631"/>
      <c r="U29" s="632"/>
      <c r="V29" s="631"/>
      <c r="W29" s="632"/>
      <c r="X29" s="1305"/>
      <c r="Y29" s="3662"/>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2"/>
      <c r="Q30" s="1304" t="str">
        <f t="shared" si="8"/>
        <v>土地级别</v>
      </c>
      <c r="R30" s="631" t="s">
        <v>25</v>
      </c>
      <c r="S30" s="632">
        <f t="shared" si="10"/>
        <v>100</v>
      </c>
      <c r="T30" s="631" t="s">
        <v>25</v>
      </c>
      <c r="U30" s="632">
        <f t="shared" si="11"/>
        <v>100</v>
      </c>
      <c r="V30" s="631" t="s">
        <v>25</v>
      </c>
      <c r="W30" s="632">
        <f t="shared" si="12"/>
        <v>100</v>
      </c>
      <c r="X30" s="1305"/>
      <c r="Y30" s="366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2"/>
      <c r="Q31" s="1304">
        <f t="shared" si="8"/>
        <v>111</v>
      </c>
      <c r="R31" s="631" t="s">
        <v>25</v>
      </c>
      <c r="S31" s="632">
        <f t="shared" si="10"/>
        <v>100</v>
      </c>
      <c r="T31" s="631" t="s">
        <v>25</v>
      </c>
      <c r="U31" s="632">
        <f t="shared" si="11"/>
        <v>100</v>
      </c>
      <c r="V31" s="631" t="s">
        <v>25</v>
      </c>
      <c r="W31" s="632">
        <f t="shared" si="12"/>
        <v>100</v>
      </c>
      <c r="X31" s="1305"/>
      <c r="Y31" s="366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4" t="s">
        <v>2218</v>
      </c>
      <c r="Q32" s="1304">
        <f t="shared" si="8"/>
        <v>111</v>
      </c>
      <c r="R32" s="631" t="s">
        <v>25</v>
      </c>
      <c r="S32" s="632">
        <f t="shared" si="10"/>
        <v>100</v>
      </c>
      <c r="T32" s="631" t="s">
        <v>25</v>
      </c>
      <c r="U32" s="632">
        <f t="shared" si="11"/>
        <v>100</v>
      </c>
      <c r="V32" s="631" t="s">
        <v>25</v>
      </c>
      <c r="W32" s="632">
        <f t="shared" si="12"/>
        <v>100</v>
      </c>
      <c r="X32" s="1305"/>
      <c r="Y32" s="3665" t="s">
        <v>2218</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5"/>
      <c r="Q33" s="1304">
        <f t="shared" si="8"/>
        <v>111</v>
      </c>
      <c r="R33" s="634" t="s">
        <v>25</v>
      </c>
      <c r="S33" s="635">
        <f t="shared" si="10"/>
        <v>100</v>
      </c>
      <c r="T33" s="634" t="s">
        <v>25</v>
      </c>
      <c r="U33" s="635">
        <f t="shared" si="11"/>
        <v>100</v>
      </c>
      <c r="V33" s="634" t="s">
        <v>25</v>
      </c>
      <c r="W33" s="635">
        <f t="shared" si="12"/>
        <v>100</v>
      </c>
      <c r="X33" s="636"/>
      <c r="Y33" s="3665"/>
      <c r="Z33" s="637">
        <f t="shared" si="13"/>
        <v>111</v>
      </c>
      <c r="AA33" s="1307">
        <f t="shared" si="3"/>
        <v>1</v>
      </c>
      <c r="AB33" s="1307">
        <f t="shared" si="4"/>
        <v>1</v>
      </c>
      <c r="AC33" s="1307">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5"/>
      <c r="Q34" s="1304" t="str">
        <f>B34</f>
        <v>宗地面积</v>
      </c>
      <c r="R34" s="631" t="s">
        <v>25</v>
      </c>
      <c r="S34" s="632" t="e">
        <f t="shared" si="10"/>
        <v>#N/A</v>
      </c>
      <c r="T34" s="631" t="s">
        <v>25</v>
      </c>
      <c r="U34" s="632" t="e">
        <f t="shared" si="11"/>
        <v>#N/A</v>
      </c>
      <c r="V34" s="631" t="s">
        <v>25</v>
      </c>
      <c r="W34" s="632" t="e">
        <f t="shared" si="12"/>
        <v>#N/A</v>
      </c>
      <c r="X34" s="1305"/>
      <c r="Y34" s="366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5"/>
      <c r="Q35" s="1304" t="str">
        <f t="shared" ref="Q35:Q40" si="14">B35</f>
        <v>宗地形状</v>
      </c>
      <c r="R35" s="631" t="s">
        <v>25</v>
      </c>
      <c r="S35" s="632">
        <f t="shared" si="10"/>
        <v>100</v>
      </c>
      <c r="T35" s="631" t="s">
        <v>25</v>
      </c>
      <c r="U35" s="632">
        <f t="shared" si="11"/>
        <v>100</v>
      </c>
      <c r="V35" s="631" t="s">
        <v>25</v>
      </c>
      <c r="W35" s="632">
        <f t="shared" si="12"/>
        <v>100</v>
      </c>
      <c r="X35" s="1305"/>
      <c r="Y35" s="366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5"/>
      <c r="Q36" s="1304" t="str">
        <f t="shared" si="14"/>
        <v>宗地开发程度</v>
      </c>
      <c r="R36" s="627" t="s">
        <v>25</v>
      </c>
      <c r="S36" s="628">
        <f t="shared" si="10"/>
        <v>100</v>
      </c>
      <c r="T36" s="627" t="s">
        <v>25</v>
      </c>
      <c r="U36" s="628">
        <f t="shared" si="11"/>
        <v>100</v>
      </c>
      <c r="V36" s="627" t="s">
        <v>25</v>
      </c>
      <c r="W36" s="628">
        <f t="shared" si="12"/>
        <v>100</v>
      </c>
      <c r="X36" s="629"/>
      <c r="Y36" s="366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5" t="s">
        <v>2218</v>
      </c>
      <c r="Q37" s="1304" t="str">
        <f t="shared" si="14"/>
        <v>工程地质条件</v>
      </c>
      <c r="R37" s="631" t="s">
        <v>25</v>
      </c>
      <c r="S37" s="632">
        <f t="shared" si="10"/>
        <v>100</v>
      </c>
      <c r="T37" s="631" t="s">
        <v>25</v>
      </c>
      <c r="U37" s="632">
        <f t="shared" si="11"/>
        <v>100</v>
      </c>
      <c r="V37" s="631" t="s">
        <v>25</v>
      </c>
      <c r="W37" s="632">
        <f t="shared" si="12"/>
        <v>100</v>
      </c>
      <c r="X37" s="1305"/>
      <c r="Y37" s="366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5"/>
      <c r="Q38" s="1304">
        <f t="shared" si="14"/>
        <v>111</v>
      </c>
      <c r="R38" s="631" t="s">
        <v>25</v>
      </c>
      <c r="S38" s="632">
        <f t="shared" si="10"/>
        <v>100</v>
      </c>
      <c r="T38" s="631" t="s">
        <v>25</v>
      </c>
      <c r="U38" s="632">
        <f t="shared" si="11"/>
        <v>100</v>
      </c>
      <c r="V38" s="631" t="s">
        <v>25</v>
      </c>
      <c r="W38" s="632">
        <f t="shared" si="12"/>
        <v>100</v>
      </c>
      <c r="X38" s="1305"/>
      <c r="Y38" s="366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5"/>
      <c r="Q39" s="1304">
        <f t="shared" si="14"/>
        <v>111</v>
      </c>
      <c r="R39" s="631" t="s">
        <v>25</v>
      </c>
      <c r="S39" s="632">
        <f t="shared" si="10"/>
        <v>100</v>
      </c>
      <c r="T39" s="631" t="s">
        <v>25</v>
      </c>
      <c r="U39" s="632">
        <f t="shared" si="11"/>
        <v>100</v>
      </c>
      <c r="V39" s="631" t="s">
        <v>25</v>
      </c>
      <c r="W39" s="632">
        <f t="shared" si="12"/>
        <v>100</v>
      </c>
      <c r="X39" s="1305"/>
      <c r="Y39" s="3665"/>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5"/>
      <c r="Q40" s="1304">
        <f t="shared" si="14"/>
        <v>111</v>
      </c>
      <c r="R40" s="634" t="s">
        <v>25</v>
      </c>
      <c r="S40" s="635">
        <f t="shared" si="10"/>
        <v>100</v>
      </c>
      <c r="T40" s="634" t="s">
        <v>25</v>
      </c>
      <c r="U40" s="635">
        <f t="shared" si="11"/>
        <v>100</v>
      </c>
      <c r="V40" s="634" t="s">
        <v>25</v>
      </c>
      <c r="W40" s="635">
        <f t="shared" si="12"/>
        <v>100</v>
      </c>
      <c r="X40" s="636"/>
      <c r="Y40" s="3665"/>
      <c r="Z40" s="637">
        <f t="shared" si="13"/>
        <v>111</v>
      </c>
      <c r="AA40" s="1307">
        <f t="shared" si="3"/>
        <v>1</v>
      </c>
      <c r="AB40" s="1307">
        <f t="shared" si="4"/>
        <v>1</v>
      </c>
      <c r="AC40" s="1307">
        <f t="shared" si="5"/>
        <v>1</v>
      </c>
    </row>
    <row r="41" spans="1:29" ht="14.4">
      <c r="A41" s="367" t="s">
        <v>2360</v>
      </c>
      <c r="B41" s="1561" t="s">
        <v>2435</v>
      </c>
      <c r="C41" s="562" t="s">
        <v>1</v>
      </c>
      <c r="D41" s="369"/>
      <c r="E41" s="370"/>
      <c r="F41" s="371"/>
      <c r="G41" s="372"/>
      <c r="H41" s="373"/>
      <c r="I41" s="370"/>
      <c r="J41" s="373"/>
      <c r="K41" s="640"/>
      <c r="L41" s="3007"/>
      <c r="M41" s="2996"/>
      <c r="N41" s="2996"/>
      <c r="P41" s="3633" t="str">
        <f>A41</f>
        <v>成交单价</v>
      </c>
      <c r="Q41" s="3633"/>
      <c r="R41" s="3657">
        <f>E41</f>
        <v>0</v>
      </c>
      <c r="S41" s="3657"/>
      <c r="T41" s="3657">
        <f>G41</f>
        <v>0</v>
      </c>
      <c r="U41" s="3657"/>
      <c r="V41" s="3657">
        <f>I41</f>
        <v>0</v>
      </c>
      <c r="W41" s="3657"/>
      <c r="X41" s="618"/>
      <c r="Y41" s="638"/>
      <c r="Z41" s="618"/>
      <c r="AA41" s="618"/>
      <c r="AB41" s="618"/>
      <c r="AC41" s="618"/>
    </row>
    <row r="42" spans="1:29" ht="15" thickBot="1">
      <c r="A42" s="374" t="s">
        <v>2313</v>
      </c>
      <c r="B42" s="563"/>
      <c r="C42" s="377" t="e">
        <f>R43</f>
        <v>#DIV/0!</v>
      </c>
      <c r="D42" s="1767" t="s">
        <v>2684</v>
      </c>
      <c r="E42" s="377" t="e">
        <f>R42</f>
        <v>#DIV/0!</v>
      </c>
      <c r="F42" s="1769"/>
      <c r="G42" s="376" t="e">
        <f>T42</f>
        <v>#DIV/0!</v>
      </c>
      <c r="H42" s="1769"/>
      <c r="I42" s="377" t="e">
        <f>V42</f>
        <v>#DIV/0!</v>
      </c>
      <c r="J42" s="1769"/>
      <c r="K42" s="2481">
        <f>F42+H42+J42</f>
        <v>0</v>
      </c>
      <c r="L42" s="3007"/>
      <c r="M42" s="2996"/>
      <c r="N42" s="2996"/>
      <c r="P42" s="3633" t="str">
        <f>A42</f>
        <v>比较价值（元/平方米）</v>
      </c>
      <c r="Q42" s="3633"/>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 thickBot="1">
      <c r="A43" s="378" t="s">
        <v>2336</v>
      </c>
      <c r="B43" s="379"/>
      <c r="C43" s="380" t="e">
        <f>R43</f>
        <v>#DIV/0!</v>
      </c>
      <c r="D43" s="380"/>
      <c r="E43" s="380"/>
      <c r="F43" s="380"/>
      <c r="G43" s="380"/>
      <c r="H43" s="380"/>
      <c r="I43" s="380"/>
      <c r="J43" s="380"/>
      <c r="K43" s="641"/>
      <c r="L43" s="3007"/>
      <c r="M43" s="2996"/>
      <c r="N43" s="2996"/>
      <c r="P43" s="3668" t="str">
        <f>A43</f>
        <v>估价对象XX用房的比较价值（楼面单价，元/平方米）</v>
      </c>
      <c r="Q43" s="3669"/>
      <c r="R43" s="3673" t="e">
        <f>ROUND(IF(D42="简单平均",AVERAGE(R42:W42),R42*F42+T42*H42+V42*J42),0)</f>
        <v>#DIV/0!</v>
      </c>
      <c r="S43" s="3673"/>
      <c r="T43" s="3673"/>
      <c r="U43" s="3673"/>
      <c r="V43" s="3673"/>
      <c r="W43" s="367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2.2" thickBot="1">
      <c r="A64" s="620" t="s">
        <v>2318</v>
      </c>
      <c r="B64" s="618"/>
      <c r="C64" s="621"/>
      <c r="D64" s="621"/>
      <c r="E64" s="621"/>
      <c r="F64" s="622"/>
      <c r="G64" s="622"/>
      <c r="H64" s="621"/>
      <c r="I64" s="963"/>
      <c r="J64" s="963"/>
      <c r="K64" s="961"/>
      <c r="L64" s="962"/>
      <c r="M64" s="963"/>
      <c r="N64" s="963"/>
      <c r="O64" s="963"/>
      <c r="P64" s="389"/>
      <c r="Q64" s="390"/>
    </row>
    <row r="65" spans="1:17" s="394" customFormat="1" ht="14.4">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2238</v>
      </c>
      <c r="B67" s="401"/>
      <c r="C67" s="402"/>
      <c r="D67" s="403"/>
      <c r="E67" s="403"/>
      <c r="F67" s="403"/>
      <c r="G67" s="403"/>
      <c r="H67" s="403"/>
      <c r="I67" s="403"/>
      <c r="J67" s="403"/>
      <c r="K67" s="403"/>
      <c r="L67" s="403"/>
      <c r="M67" s="404"/>
      <c r="N67" s="403"/>
      <c r="O67" s="1156"/>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估价对象为北京市房地产，为XX所有。根据《》[]，估价对象建筑面积为847.76平方米。根据《》[]，估价对象（分摊）出让国有建设用地使用权面积为平方米。估价对象用途为。</v>
      </c>
      <c r="B6" s="1319"/>
      <c r="C6" s="1319"/>
      <c r="D6" s="1319"/>
      <c r="E6" s="1319"/>
      <c r="F6" s="1319"/>
      <c r="G6" s="1319"/>
    </row>
    <row r="7" spans="1:7" ht="17.399999999999999">
      <c r="A7" s="1320" t="s">
        <v>1198</v>
      </c>
    </row>
    <row r="8" spans="1:7" ht="17.399999999999999">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2022年1月10日（评估专业人员实地查勘之日）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c r="B13" s="1319"/>
      <c r="C13" s="1319"/>
      <c r="D13" s="1319"/>
      <c r="E13" s="1319"/>
      <c r="F13" s="1319"/>
      <c r="G13" s="1319"/>
    </row>
    <row r="14" spans="1:7" ht="52.2">
      <c r="A14" s="132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zoomScaleNormal="90" zoomScaleSheetLayoutView="100" workbookViewId="0">
      <selection activeCell="E8" sqref="E8"/>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2438</v>
      </c>
      <c r="B1" s="2068"/>
      <c r="C1" s="2069" t="s">
        <v>2439</v>
      </c>
      <c r="D1" s="2070">
        <f>SUM(D29:D30,D33:D39)</f>
        <v>213.01</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5.2">
      <c r="A2" s="1931" t="s">
        <v>2446</v>
      </c>
      <c r="B2" s="1629">
        <f>C26</f>
        <v>1163</v>
      </c>
      <c r="C2" s="2078" t="s">
        <v>2447</v>
      </c>
      <c r="D2" s="1572" t="s">
        <v>2448</v>
      </c>
      <c r="E2" s="2079" t="s">
        <v>2980</v>
      </c>
      <c r="F2" s="1572" t="s">
        <v>2449</v>
      </c>
      <c r="G2" s="2080" t="str">
        <f>项目基本情况!F9</f>
        <v>二级</v>
      </c>
      <c r="H2" s="1573" t="s">
        <v>2450</v>
      </c>
      <c r="I2" s="2080" t="str">
        <f>项目基本情况!F10</f>
        <v>Ⅱ—07</v>
      </c>
      <c r="J2" s="2081"/>
      <c r="K2" s="3020"/>
      <c r="L2" s="2082" t="s">
        <v>2451</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62959</v>
      </c>
      <c r="U2" s="2085">
        <f>面积明细!C2/2</f>
        <v>106.505</v>
      </c>
      <c r="V2" s="2074">
        <f>ROUND(T2*U2/10000,0)</f>
        <v>671</v>
      </c>
      <c r="W2" s="2075"/>
      <c r="X2" s="2075"/>
      <c r="Y2" s="2075"/>
      <c r="Z2" s="2075"/>
      <c r="AA2" s="2075"/>
      <c r="AB2" s="2075"/>
      <c r="AC2" s="2075"/>
      <c r="AD2" s="2076"/>
      <c r="AE2" s="2076"/>
      <c r="AF2" s="2076"/>
      <c r="AG2" s="2076"/>
      <c r="AH2" s="2076"/>
      <c r="AI2" s="2076"/>
      <c r="AJ2" s="2077"/>
    </row>
    <row r="3" spans="1:36" ht="15.6">
      <c r="A3" s="1629" t="s">
        <v>2452</v>
      </c>
      <c r="B3" s="1629">
        <f>ROUND(B2/D1,0)</f>
        <v>5</v>
      </c>
      <c r="C3" s="2078" t="s">
        <v>2453</v>
      </c>
      <c r="D3" s="1572" t="s">
        <v>2454</v>
      </c>
      <c r="E3" s="2079" t="s">
        <v>2988</v>
      </c>
      <c r="F3" s="1574" t="s">
        <v>2455</v>
      </c>
      <c r="G3" s="2086">
        <f>项目基本情况!C15</f>
        <v>3.5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46168</v>
      </c>
      <c r="U3" s="2085">
        <f>面积明细!C2-基准地价修正!U2</f>
        <v>106.505</v>
      </c>
      <c r="V3" s="2074">
        <f t="shared" ref="V3:V16" si="1">ROUND(T3*U3/10000,0)</f>
        <v>492</v>
      </c>
      <c r="W3" s="2075"/>
      <c r="X3" s="2075"/>
      <c r="Y3" s="2075"/>
      <c r="Z3" s="2075"/>
      <c r="AA3" s="2075"/>
      <c r="AB3" s="2075"/>
      <c r="AC3" s="2075"/>
      <c r="AD3" s="2076"/>
      <c r="AE3" s="2076"/>
      <c r="AF3" s="2076"/>
      <c r="AG3" s="2076"/>
      <c r="AH3" s="2076"/>
      <c r="AI3" s="2076"/>
      <c r="AJ3" s="2077"/>
    </row>
    <row r="4" spans="1:36" ht="15.6">
      <c r="A4" s="3692"/>
      <c r="B4" s="3693"/>
      <c r="C4" s="3693"/>
      <c r="D4" s="3694"/>
      <c r="E4" s="3694"/>
      <c r="F4" s="3694"/>
      <c r="G4" s="3694"/>
      <c r="H4" s="3694"/>
      <c r="I4" s="3694"/>
      <c r="J4" s="3695"/>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37700</v>
      </c>
      <c r="U4" s="2085"/>
      <c r="V4" s="2074">
        <f t="shared" si="1"/>
        <v>0</v>
      </c>
      <c r="W4" s="2075"/>
      <c r="X4" s="2075"/>
      <c r="Y4" s="2075"/>
      <c r="Z4" s="2075"/>
      <c r="AA4" s="2075"/>
      <c r="AB4" s="2075"/>
      <c r="AC4" s="2075"/>
      <c r="AD4" s="2076"/>
      <c r="AE4" s="2076"/>
      <c r="AF4" s="2076"/>
      <c r="AG4" s="2076"/>
      <c r="AH4" s="2076"/>
      <c r="AI4" s="2076"/>
      <c r="AJ4" s="2077"/>
    </row>
    <row r="5" spans="1:36" s="2095" customFormat="1" ht="15.6" thickBot="1">
      <c r="A5" s="1575" t="s">
        <v>2460</v>
      </c>
      <c r="B5" s="1575" t="s">
        <v>2461</v>
      </c>
      <c r="C5" s="2088">
        <f>ROUND(IF(E2="商业",C6*C7+C16,(IF(E2="住宅",C6*C12+C16,C6+C16))),0)</f>
        <v>26650</v>
      </c>
      <c r="D5" s="2089">
        <f>ROUND(C6+C16,0)</f>
        <v>22206</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31288</v>
      </c>
      <c r="U5" s="2085"/>
      <c r="V5" s="2074">
        <f t="shared" si="1"/>
        <v>0</v>
      </c>
      <c r="W5" s="2075"/>
      <c r="X5" s="2075"/>
      <c r="Y5" s="2075"/>
      <c r="Z5" s="2075"/>
      <c r="AA5" s="2075"/>
      <c r="AB5" s="2075"/>
      <c r="AC5" s="2092"/>
      <c r="AD5" s="2093"/>
      <c r="AE5" s="2093"/>
      <c r="AF5" s="2093"/>
      <c r="AG5" s="2093"/>
      <c r="AH5" s="2093"/>
      <c r="AI5" s="2093"/>
      <c r="AJ5" s="2094"/>
    </row>
    <row r="6" spans="1:36" ht="15.6" thickBot="1">
      <c r="A6" s="2096">
        <v>1</v>
      </c>
      <c r="B6" s="1576" t="s">
        <v>2463</v>
      </c>
      <c r="C6" s="2097">
        <f>SUMIF(L1:L12,G2,M1:M12)</f>
        <v>22220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27370</v>
      </c>
      <c r="U6" s="2085"/>
      <c r="V6" s="2074">
        <f t="shared" si="1"/>
        <v>0</v>
      </c>
      <c r="W6" s="2075"/>
      <c r="X6" s="2075"/>
      <c r="Y6" s="2075"/>
      <c r="Z6" s="2075"/>
      <c r="AA6" s="2075"/>
      <c r="AB6" s="2075"/>
      <c r="AC6" s="2092"/>
      <c r="AD6" s="2093"/>
      <c r="AE6" s="2093"/>
      <c r="AF6" s="2093"/>
      <c r="AG6" s="2093"/>
      <c r="AH6" s="2093"/>
      <c r="AI6" s="2093"/>
      <c r="AJ6" s="2094"/>
    </row>
    <row r="7" spans="1:36" ht="24">
      <c r="A7" s="3696">
        <f>IF(E2="商业",IF(C8="不临58条商业街","",2),"")</f>
        <v>2</v>
      </c>
      <c r="B7" s="1577" t="s">
        <v>2466</v>
      </c>
      <c r="C7" s="2101">
        <f>IF(C8="不临58条商业街",1,ROUND(1+(1.6*E8+1.2*E9+0.8*E10+0.4*E11)*C9,4))</f>
        <v>1.2</v>
      </c>
      <c r="D7" s="2102" t="s">
        <v>2467</v>
      </c>
      <c r="E7" s="2103">
        <v>30</v>
      </c>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24739</v>
      </c>
      <c r="U7" s="2085"/>
      <c r="V7" s="2074">
        <f t="shared" si="1"/>
        <v>0</v>
      </c>
      <c r="W7" s="2106" t="s">
        <v>2469</v>
      </c>
      <c r="X7" s="2107" t="str">
        <f>G2</f>
        <v>二级</v>
      </c>
      <c r="Y7" s="2107" t="s">
        <v>2470</v>
      </c>
      <c r="Z7" s="2108">
        <f>G3</f>
        <v>3.5</v>
      </c>
      <c r="AA7" s="2075"/>
      <c r="AB7" s="2075"/>
      <c r="AC7" s="2075"/>
      <c r="AD7" s="2076"/>
      <c r="AE7" s="2076"/>
      <c r="AF7" s="2076"/>
      <c r="AG7" s="2076"/>
      <c r="AH7" s="2076"/>
      <c r="AI7" s="2076"/>
      <c r="AJ7" s="2077"/>
    </row>
    <row r="8" spans="1:36" ht="15">
      <c r="A8" s="3697"/>
      <c r="B8" s="50" t="s">
        <v>2471</v>
      </c>
      <c r="C8" s="2109" t="s">
        <v>3002</v>
      </c>
      <c r="D8" s="65" t="s">
        <v>89</v>
      </c>
      <c r="E8" s="2110">
        <f>ROUND(C11/E7,4)</f>
        <v>0.25</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0" t="s">
        <v>2474</v>
      </c>
      <c r="X8" s="3691"/>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7"/>
      <c r="B9" s="50" t="s">
        <v>2487</v>
      </c>
      <c r="C9" s="2115">
        <f>SUMIF(修正!C59:C119,C8,修正!E59:E119)</f>
        <v>0.2</v>
      </c>
      <c r="D9" s="50" t="s">
        <v>90</v>
      </c>
      <c r="E9" s="50">
        <f>ROUND(C11/E7,4)</f>
        <v>0.25</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1"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7"/>
      <c r="B10" s="50" t="s">
        <v>2492</v>
      </c>
      <c r="C10" s="50">
        <f>SUMIF(修正!C59:C119,C8,修正!F59:F119)</f>
        <v>30</v>
      </c>
      <c r="D10" s="50" t="s">
        <v>91</v>
      </c>
      <c r="E10" s="50">
        <f>ROUND(C11/E7,4)</f>
        <v>0.25</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697"/>
      <c r="B11" s="1578" t="s">
        <v>2495</v>
      </c>
      <c r="C11" s="1578">
        <f>C10/4</f>
        <v>7.5</v>
      </c>
      <c r="D11" s="1578" t="s">
        <v>92</v>
      </c>
      <c r="E11" s="1578">
        <f>ROUND(C11/E7,4)</f>
        <v>0.25</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1" t="s">
        <v>2498</v>
      </c>
      <c r="X11" s="2123" t="s">
        <v>2499</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8" thickBot="1">
      <c r="A12" s="3696"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1"/>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8"/>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1"/>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98"/>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6" thickBot="1">
      <c r="A15" s="3699"/>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75">
        <f>IF(E2="办公",2,IF(E2="工业",2,IF(E2="住宅",3,IF(E2="商业",IF(C8="不临58条商业街",2,3)))))</f>
        <v>3</v>
      </c>
      <c r="B16" s="1601" t="s">
        <v>2520</v>
      </c>
      <c r="C16" s="1577">
        <f>ROUND(IF(F17="与级别开发程度一致",0,(G17-E17)/C17),0)</f>
        <v>-14</v>
      </c>
      <c r="D16" s="3688" t="s">
        <v>2524</v>
      </c>
      <c r="E16" s="3689"/>
      <c r="F16" s="3688" t="s">
        <v>2521</v>
      </c>
      <c r="G16" s="3689"/>
      <c r="H16" s="2145" t="s">
        <v>2989</v>
      </c>
      <c r="I16" s="2145" t="s">
        <v>2990</v>
      </c>
      <c r="J16" s="2146" t="s">
        <v>2991</v>
      </c>
      <c r="K16" s="2145" t="s">
        <v>2992</v>
      </c>
      <c r="L16" s="2145" t="s">
        <v>2993</v>
      </c>
      <c r="M16" s="2145" t="s">
        <v>2994</v>
      </c>
      <c r="N16" s="2145" t="s">
        <v>2995</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7" thickBot="1">
      <c r="A17" s="3676"/>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2996</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44571</v>
      </c>
      <c r="H19" s="2163" t="s">
        <v>2665</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2534</v>
      </c>
      <c r="B20" s="1584" t="s">
        <v>2535</v>
      </c>
      <c r="C20" s="2171">
        <f>ROUND(POWER(1+G20,J20-I20)*(POWER(1+G20,I20)-1)/(POWER(1+G20,J20)-1),4)</f>
        <v>0.86370000000000002</v>
      </c>
      <c r="D20" s="2172" t="s">
        <v>2536</v>
      </c>
      <c r="E20" s="3125">
        <f>存贷款利率!E18/100</f>
        <v>4.3499999999999997E-2</v>
      </c>
      <c r="F20" s="2172" t="s">
        <v>2525</v>
      </c>
      <c r="G20" s="3126">
        <f>SUMIF(M26:P26,E2,M28:P28)</f>
        <v>5.3999999999999999E-2</v>
      </c>
      <c r="H20" s="2172" t="s">
        <v>2537</v>
      </c>
      <c r="I20" s="2173">
        <f>'数据-取费表'!B13</f>
        <v>27</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2542</v>
      </c>
      <c r="B21" s="1585" t="s">
        <v>3001</v>
      </c>
      <c r="C21" s="2181">
        <f>IF(B21="容积率修正",IF(G3&lt;=10,D22,J22),C23)</f>
        <v>1.9361999999999999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2547</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2549</v>
      </c>
      <c r="B24" s="1587" t="s">
        <v>2550</v>
      </c>
      <c r="C24" s="2191">
        <f>SUMIF(A46:A88,E2,B46:B88)</f>
        <v>1.0354000000000001</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2555</v>
      </c>
      <c r="C26" s="2860">
        <f>IF(B21="容积率修正",E29+SUM(E33:E39),SUM(V2:V16)+SUM(E33:E39))</f>
        <v>1163</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2561</v>
      </c>
      <c r="C29" s="54">
        <f>ROUND(C5*C18*C19*C20*C21*C24,0)</f>
        <v>62959</v>
      </c>
      <c r="D29" s="2214">
        <f>面积明细!C2</f>
        <v>213.01</v>
      </c>
      <c r="E29" s="2001">
        <f>ROUND(C29*D29,0)</f>
        <v>13410897</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2563</v>
      </c>
      <c r="C30" s="2142">
        <f>ROUND(IF(E2="工业",C29*M39,C29*M38),0)</f>
        <v>15740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5" t="s">
        <v>2569</v>
      </c>
      <c r="B33" s="2227" t="s">
        <v>2570</v>
      </c>
      <c r="C33" s="54">
        <f>ROUND(D5*C19*C20*C24*F33,0)</f>
        <v>21676</v>
      </c>
      <c r="D33" s="2214"/>
      <c r="E33" s="50">
        <f t="shared" ref="E33:E39" si="6">ROUND(C33*D33,0)</f>
        <v>0</v>
      </c>
      <c r="F33" s="50">
        <f>SUMIF(修正!A45:A56,G2,修正!B45:B56)</f>
        <v>0.8</v>
      </c>
      <c r="G33" s="50">
        <f t="shared" ref="G33" si="7">ROUND(IF(E2="工业",C33*$M$39,C33*$M$38),0)</f>
        <v>5419</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6"/>
      <c r="B34" s="2132" t="s">
        <v>2571</v>
      </c>
      <c r="C34" s="54">
        <f>ROUND(D5*C19*C20*C24*F34,0)</f>
        <v>13547</v>
      </c>
      <c r="D34" s="2214"/>
      <c r="E34" s="50">
        <f t="shared" si="6"/>
        <v>0</v>
      </c>
      <c r="F34" s="50">
        <f>SUMIF(修正!A45:A56,G2,修正!C45:C56)</f>
        <v>0.5</v>
      </c>
      <c r="G34" s="50">
        <f>ROUND(IF(E2="工业",C34*$M$39,C34*$M$38),0)</f>
        <v>3387</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6"/>
      <c r="B35" s="2132" t="s">
        <v>2572</v>
      </c>
      <c r="C35" s="54">
        <f>ROUND(D5*C19*C20*C24*F35,0)</f>
        <v>9754</v>
      </c>
      <c r="D35" s="2214"/>
      <c r="E35" s="50">
        <f t="shared" si="6"/>
        <v>0</v>
      </c>
      <c r="F35" s="50">
        <f>SUMIF(修正!A45:A56,G2,修正!D45:D56)</f>
        <v>0.36</v>
      </c>
      <c r="G35" s="50">
        <f>ROUND(IF(E2="工业",C35*$M$39,C35*$M$38),0)</f>
        <v>2439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687"/>
      <c r="B36" s="2132" t="s">
        <v>2573</v>
      </c>
      <c r="C36" s="54">
        <f>ROUND(D5*C19*C20*C24*F36,0)</f>
        <v>8128</v>
      </c>
      <c r="D36" s="2214"/>
      <c r="E36" s="50">
        <f t="shared" si="6"/>
        <v>0</v>
      </c>
      <c r="F36" s="50">
        <f>SUMIF(修正!A45:A56,G2,修正!E45:E56)</f>
        <v>0.3</v>
      </c>
      <c r="G36" s="50">
        <f>ROUND(IF(E2="工业",C36*$M$39,C36*$M$38),0)</f>
        <v>2032</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8128</v>
      </c>
      <c r="D37" s="2214"/>
      <c r="E37" s="50">
        <f t="shared" si="6"/>
        <v>0</v>
      </c>
      <c r="F37" s="54">
        <f>SUMIF(修正!A45:A56,G2,修正!F45:F56)</f>
        <v>0.3</v>
      </c>
      <c r="G37" s="50">
        <f>ROUND(IF(E2="工业",C37*$M$39,C37*$M$38),0)</f>
        <v>2032</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2578</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2657</v>
      </c>
      <c r="C41" s="50">
        <f>ROUND(POWER(1+E41,H41-G41)*(POWER(1+E41,G41)-1)/(POWER(1+E41,H41)-1),4)</f>
        <v>0</v>
      </c>
      <c r="D41" s="50" t="s">
        <v>2655</v>
      </c>
      <c r="E41" s="2237">
        <f>G20</f>
        <v>5.3999999999999999E-2</v>
      </c>
      <c r="F41" s="50" t="s">
        <v>2656</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2580</v>
      </c>
      <c r="B46" s="2242">
        <f>1+E48</f>
        <v>1.0354000000000001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2.8">
      <c r="A48" s="2248" t="s">
        <v>2595</v>
      </c>
      <c r="B48" s="2252" t="str">
        <f>估价对象房地状况!C16</f>
        <v>估价对象位于XX商圈，周边商业氛围成熟，人流量大，商业繁华度好</v>
      </c>
      <c r="C48" s="2136" t="s">
        <v>30</v>
      </c>
      <c r="D48" s="2253">
        <f t="shared" ref="D48:D56" si="10">SUMIF($J$47:$N$47,C48,J48:N48)</f>
        <v>1.15E-2</v>
      </c>
      <c r="E48" s="2254">
        <f>ROUND(SUM(D48:D56),4)</f>
        <v>3.5400000000000001E-2</v>
      </c>
      <c r="F48" s="2255">
        <f>IF(E2="商业",SUMIF(L1:L12,G2,N1:N12),"——")</f>
        <v>7.0000000000000007E-2</v>
      </c>
      <c r="G48" s="3318">
        <v>1.15E-2</v>
      </c>
      <c r="H48" s="2257">
        <f t="shared" ref="H48:H56" si="11">IFERROR(ROUNDDOWN($F$48*I48/2,4),"——")</f>
        <v>1.15E-2</v>
      </c>
      <c r="I48" s="2258">
        <v>0.33</v>
      </c>
      <c r="J48" s="2259">
        <f t="shared" ref="J48:J56" si="12">K48+$G48</f>
        <v>2.3E-2</v>
      </c>
      <c r="K48" s="2259">
        <f t="shared" ref="K48:K56" si="13">$L48+$G48</f>
        <v>1.15E-2</v>
      </c>
      <c r="L48" s="2259">
        <v>0</v>
      </c>
      <c r="M48" s="2259">
        <f t="shared" ref="M48:N56" si="14">L48-$G48</f>
        <v>-1.15E-2</v>
      </c>
      <c r="N48" s="2259">
        <f t="shared" si="14"/>
        <v>-2.3E-2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66">
      <c r="A49" s="2248" t="s">
        <v>2596</v>
      </c>
      <c r="B49" s="2260" t="str">
        <f>估价对象房地状况!C18</f>
        <v>估价对象周边道路状况、公共交通通达情况、停车便捷程度，综合评价交通便捷度较好</v>
      </c>
      <c r="C49" s="2136" t="s">
        <v>30</v>
      </c>
      <c r="D49" s="2253">
        <f t="shared" si="10"/>
        <v>8.6999999999999994E-3</v>
      </c>
      <c r="E49" s="2261"/>
      <c r="F49" s="2255"/>
      <c r="G49" s="3318">
        <v>8.6999999999999994E-3</v>
      </c>
      <c r="H49" s="2257">
        <f t="shared" si="11"/>
        <v>8.6999999999999994E-3</v>
      </c>
      <c r="I49" s="2258">
        <v>0.25</v>
      </c>
      <c r="J49" s="2259">
        <f t="shared" si="12"/>
        <v>1.7399999999999999E-2</v>
      </c>
      <c r="K49" s="2259">
        <f t="shared" si="13"/>
        <v>8.6999999999999994E-3</v>
      </c>
      <c r="L49" s="2259">
        <v>0</v>
      </c>
      <c r="M49" s="2259">
        <f t="shared" si="14"/>
        <v>-8.6999999999999994E-3</v>
      </c>
      <c r="N49" s="2259">
        <f t="shared" si="14"/>
        <v>-1.7399999999999999E-2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0"/>
        <v>1.6999999999999999E-3</v>
      </c>
      <c r="E50" s="2261"/>
      <c r="F50" s="2255"/>
      <c r="G50" s="3318">
        <v>1.6999999999999999E-3</v>
      </c>
      <c r="H50" s="2257">
        <f t="shared" si="11"/>
        <v>1.6999999999999999E-3</v>
      </c>
      <c r="I50" s="2258">
        <v>0.05</v>
      </c>
      <c r="J50" s="2259">
        <f t="shared" si="12"/>
        <v>3.3999999999999998E-3</v>
      </c>
      <c r="K50" s="2259">
        <f t="shared" si="13"/>
        <v>1.6999999999999999E-3</v>
      </c>
      <c r="L50" s="2259">
        <v>0</v>
      </c>
      <c r="M50" s="2259">
        <f t="shared" si="14"/>
        <v>-1.6999999999999999E-3</v>
      </c>
      <c r="N50" s="2259">
        <f t="shared" si="14"/>
        <v>-3.3999999999999998E-3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2598</v>
      </c>
      <c r="B51" s="2262" t="s">
        <v>2599</v>
      </c>
      <c r="C51" s="2136" t="s">
        <v>30</v>
      </c>
      <c r="D51" s="2253">
        <f t="shared" si="10"/>
        <v>1.6999999999999999E-3</v>
      </c>
      <c r="E51" s="2261"/>
      <c r="F51" s="2255"/>
      <c r="G51" s="3318">
        <v>1.6999999999999999E-3</v>
      </c>
      <c r="H51" s="2257">
        <f t="shared" si="11"/>
        <v>1.6999999999999999E-3</v>
      </c>
      <c r="I51" s="2258">
        <v>0.05</v>
      </c>
      <c r="J51" s="2259">
        <f t="shared" si="12"/>
        <v>3.3999999999999998E-3</v>
      </c>
      <c r="K51" s="2259">
        <f t="shared" si="13"/>
        <v>1.6999999999999999E-3</v>
      </c>
      <c r="L51" s="2259">
        <v>0</v>
      </c>
      <c r="M51" s="2259">
        <f t="shared" si="14"/>
        <v>-1.6999999999999999E-3</v>
      </c>
      <c r="N51" s="2259">
        <f t="shared" si="14"/>
        <v>-3.3999999999999998E-3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31</v>
      </c>
      <c r="D52" s="2253">
        <f t="shared" si="10"/>
        <v>0</v>
      </c>
      <c r="E52" s="2261"/>
      <c r="F52" s="2255"/>
      <c r="G52" s="3318">
        <v>2.8E-3</v>
      </c>
      <c r="H52" s="2257">
        <f t="shared" si="11"/>
        <v>2.8E-3</v>
      </c>
      <c r="I52" s="2258">
        <v>0.08</v>
      </c>
      <c r="J52" s="2259">
        <f t="shared" si="12"/>
        <v>5.5999999999999999E-3</v>
      </c>
      <c r="K52" s="2259">
        <f t="shared" si="13"/>
        <v>2.8E-3</v>
      </c>
      <c r="L52" s="2259">
        <v>0</v>
      </c>
      <c r="M52" s="2259">
        <f t="shared" si="14"/>
        <v>-2.8E-3</v>
      </c>
      <c r="N52" s="2259">
        <f t="shared" si="14"/>
        <v>-5.5999999999999999E-3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2601</v>
      </c>
      <c r="B53" s="2263" t="s">
        <v>2602</v>
      </c>
      <c r="C53" s="2136" t="s">
        <v>30</v>
      </c>
      <c r="D53" s="2253">
        <f t="shared" si="10"/>
        <v>1E-3</v>
      </c>
      <c r="E53" s="2261"/>
      <c r="F53" s="2255"/>
      <c r="G53" s="3318">
        <v>1E-3</v>
      </c>
      <c r="H53" s="2257">
        <f t="shared" si="11"/>
        <v>1E-3</v>
      </c>
      <c r="I53" s="2258">
        <v>0.03</v>
      </c>
      <c r="J53" s="2259">
        <f t="shared" si="12"/>
        <v>2E-3</v>
      </c>
      <c r="K53" s="2259">
        <f t="shared" si="13"/>
        <v>1E-3</v>
      </c>
      <c r="L53" s="2259">
        <v>0</v>
      </c>
      <c r="M53" s="2259">
        <f t="shared" si="14"/>
        <v>-1E-3</v>
      </c>
      <c r="N53" s="2259">
        <f t="shared" si="14"/>
        <v>-2E-3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6.4">
      <c r="A54" s="2264" t="s">
        <v>2603</v>
      </c>
      <c r="B54" s="2265" t="str">
        <f>估价对象房地状况!C21</f>
        <v>估价对象所在区域公共配套设施齐备情况</v>
      </c>
      <c r="C54" s="2136" t="s">
        <v>30</v>
      </c>
      <c r="D54" s="2253">
        <f t="shared" si="10"/>
        <v>1.6999999999999999E-3</v>
      </c>
      <c r="E54" s="2261"/>
      <c r="F54" s="2255"/>
      <c r="G54" s="3318">
        <v>1.6999999999999999E-3</v>
      </c>
      <c r="H54" s="2257">
        <f t="shared" si="11"/>
        <v>1.6999999999999999E-3</v>
      </c>
      <c r="I54" s="2258">
        <v>0.05</v>
      </c>
      <c r="J54" s="2259">
        <f t="shared" si="12"/>
        <v>3.3999999999999998E-3</v>
      </c>
      <c r="K54" s="2259">
        <f t="shared" si="13"/>
        <v>1.6999999999999999E-3</v>
      </c>
      <c r="L54" s="2259">
        <v>0</v>
      </c>
      <c r="M54" s="2259">
        <f t="shared" si="14"/>
        <v>-1.6999999999999999E-3</v>
      </c>
      <c r="N54" s="2259">
        <f t="shared" si="14"/>
        <v>-3.3999999999999998E-3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6.4">
      <c r="A55" s="2264" t="s">
        <v>2604</v>
      </c>
      <c r="B55" s="2260" t="str">
        <f>估价对象房地状况!C22</f>
        <v>估价对象所在区域基础设施水平</v>
      </c>
      <c r="C55" s="2136" t="s">
        <v>29</v>
      </c>
      <c r="D55" s="2253">
        <f t="shared" si="10"/>
        <v>7.0000000000000001E-3</v>
      </c>
      <c r="E55" s="2261"/>
      <c r="F55" s="2255"/>
      <c r="G55" s="3318">
        <v>3.5000000000000001E-3</v>
      </c>
      <c r="H55" s="2257">
        <f t="shared" si="11"/>
        <v>3.5000000000000001E-3</v>
      </c>
      <c r="I55" s="2258">
        <v>0.1</v>
      </c>
      <c r="J55" s="2259">
        <f t="shared" si="12"/>
        <v>7.0000000000000001E-3</v>
      </c>
      <c r="K55" s="2259">
        <f t="shared" si="13"/>
        <v>3.5000000000000001E-3</v>
      </c>
      <c r="L55" s="2259">
        <v>0</v>
      </c>
      <c r="M55" s="2259">
        <f t="shared" si="14"/>
        <v>-3.5000000000000001E-3</v>
      </c>
      <c r="N55" s="2259">
        <f t="shared" si="14"/>
        <v>-7.0000000000000001E-3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40.200000000000003" thickBot="1">
      <c r="A56" s="2266" t="s">
        <v>2605</v>
      </c>
      <c r="B56" s="2267" t="str">
        <f>估价对象房地状况!C20</f>
        <v>区域自然环境：；人文环境；综合评价环境状况一般</v>
      </c>
      <c r="C56" s="2136" t="s">
        <v>30</v>
      </c>
      <c r="D56" s="2253">
        <f t="shared" si="10"/>
        <v>2.0999999999999999E-3</v>
      </c>
      <c r="E56" s="2268"/>
      <c r="F56" s="2255"/>
      <c r="G56" s="3318">
        <v>2.0999999999999999E-3</v>
      </c>
      <c r="H56" s="2257">
        <f t="shared" si="11"/>
        <v>2.0999999999999999E-3</v>
      </c>
      <c r="I56" s="2269">
        <v>0.06</v>
      </c>
      <c r="J56" s="2259">
        <f t="shared" si="12"/>
        <v>4.1999999999999997E-3</v>
      </c>
      <c r="K56" s="2259">
        <f t="shared" si="13"/>
        <v>2.0999999999999999E-3</v>
      </c>
      <c r="L56" s="2259">
        <v>0</v>
      </c>
      <c r="M56" s="2259">
        <f t="shared" si="14"/>
        <v>-2.0999999999999999E-3</v>
      </c>
      <c r="N56" s="2259">
        <f t="shared" si="14"/>
        <v>-4.1999999999999997E-3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52.8">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66">
      <c r="A60" s="2248" t="s">
        <v>2596</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6.4">
      <c r="A65" s="2248" t="s">
        <v>2603</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6.4">
      <c r="A66" s="2248" t="s">
        <v>2604</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40.200000000000003" thickBot="1">
      <c r="A67" s="2266" t="s">
        <v>2605</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66">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66">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6.4">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6.4">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9.6">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36.6"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4.4">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9.6">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66">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3.8">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6.4">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6.4">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36">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53.4"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7" t="s">
        <v>2618</v>
      </c>
      <c r="B90" s="3677"/>
      <c r="C90" s="3677"/>
      <c r="D90" s="3677"/>
      <c r="E90" s="3677"/>
      <c r="F90" s="3677"/>
      <c r="G90" s="3677"/>
      <c r="H90" s="3677"/>
      <c r="I90" s="3677"/>
      <c r="J90" s="3677"/>
      <c r="K90" s="2276"/>
      <c r="L90" s="2276"/>
      <c r="M90" s="2276"/>
      <c r="N90" s="2276"/>
      <c r="Q90" s="3028"/>
      <c r="R90" s="3028"/>
      <c r="S90" s="3028"/>
      <c r="T90" s="3028"/>
      <c r="U90" s="3028"/>
      <c r="V90" s="3028"/>
      <c r="W90" s="3028"/>
    </row>
    <row r="91" spans="1:33">
      <c r="A91" s="3679" t="s">
        <v>2619</v>
      </c>
      <c r="B91" s="3679"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79"/>
      <c r="B92" s="3679"/>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0"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1"/>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8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80" t="s">
        <v>2623</v>
      </c>
      <c r="B101" s="2283" t="s">
        <v>2624</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81"/>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1"/>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1"/>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1"/>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1"/>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1"/>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1"/>
      <c r="B108" s="3683"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82"/>
      <c r="B109" s="3684"/>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78" t="s">
        <v>2626</v>
      </c>
      <c r="B110" s="3678"/>
      <c r="C110" s="3678"/>
      <c r="D110" s="3678"/>
      <c r="E110" s="3678"/>
      <c r="F110" s="3678"/>
      <c r="G110" s="3678"/>
      <c r="H110" s="3678"/>
      <c r="I110" s="3678"/>
      <c r="J110" s="3678"/>
      <c r="K110" s="2050"/>
      <c r="L110" s="2050"/>
      <c r="M110" s="2050"/>
      <c r="N110" s="2050"/>
      <c r="Q110" s="3028"/>
      <c r="R110" s="3028"/>
      <c r="S110" s="3028"/>
      <c r="T110" s="3028"/>
      <c r="U110" s="3028"/>
      <c r="V110" s="3028"/>
      <c r="W110" s="3028"/>
    </row>
    <row r="112" spans="1:23" ht="13.8" thickBot="1"/>
    <row r="113" spans="1:13" ht="25.8"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二级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2517</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2518</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8"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0" t="s">
        <v>779</v>
      </c>
      <c r="B1" s="370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4" t="s">
        <v>571</v>
      </c>
      <c r="C61" s="682" t="s">
        <v>572</v>
      </c>
      <c r="D61" s="682" t="s">
        <v>573</v>
      </c>
      <c r="E61" s="781">
        <v>0.5</v>
      </c>
      <c r="F61" s="768">
        <v>80</v>
      </c>
    </row>
    <row r="62" spans="1:8" s="764" customFormat="1" ht="36">
      <c r="A62" s="768">
        <v>2</v>
      </c>
      <c r="B62" s="3704"/>
      <c r="C62" s="682" t="s">
        <v>574</v>
      </c>
      <c r="D62" s="682" t="s">
        <v>575</v>
      </c>
      <c r="E62" s="781">
        <v>0.5</v>
      </c>
      <c r="F62" s="768">
        <v>80</v>
      </c>
    </row>
    <row r="63" spans="1:8" s="764" customFormat="1" ht="48">
      <c r="A63" s="768">
        <v>3</v>
      </c>
      <c r="B63" s="3704"/>
      <c r="C63" s="682" t="s">
        <v>576</v>
      </c>
      <c r="D63" s="682" t="s">
        <v>577</v>
      </c>
      <c r="E63" s="781">
        <v>0.5</v>
      </c>
      <c r="F63" s="768">
        <v>80</v>
      </c>
    </row>
    <row r="64" spans="1:8" s="764" customFormat="1" ht="48">
      <c r="A64" s="768">
        <v>4</v>
      </c>
      <c r="B64" s="3704"/>
      <c r="C64" s="682" t="s">
        <v>578</v>
      </c>
      <c r="D64" s="682" t="s">
        <v>579</v>
      </c>
      <c r="E64" s="781">
        <v>0.4</v>
      </c>
      <c r="F64" s="768">
        <v>60</v>
      </c>
    </row>
    <row r="65" spans="1:6" s="764" customFormat="1" ht="48">
      <c r="A65" s="768">
        <v>5</v>
      </c>
      <c r="B65" s="3704"/>
      <c r="C65" s="682" t="s">
        <v>580</v>
      </c>
      <c r="D65" s="682" t="s">
        <v>581</v>
      </c>
      <c r="E65" s="781">
        <v>0.2</v>
      </c>
      <c r="F65" s="768">
        <v>30</v>
      </c>
    </row>
    <row r="66" spans="1:6" s="764" customFormat="1" ht="48">
      <c r="A66" s="768">
        <v>6</v>
      </c>
      <c r="B66" s="3704"/>
      <c r="C66" s="682" t="s">
        <v>582</v>
      </c>
      <c r="D66" s="682" t="s">
        <v>583</v>
      </c>
      <c r="E66" s="781">
        <v>0.3</v>
      </c>
      <c r="F66" s="768">
        <v>50</v>
      </c>
    </row>
    <row r="67" spans="1:6" s="764" customFormat="1" ht="48">
      <c r="A67" s="768">
        <v>7</v>
      </c>
      <c r="B67" s="3704"/>
      <c r="C67" s="682" t="s">
        <v>584</v>
      </c>
      <c r="D67" s="682" t="s">
        <v>585</v>
      </c>
      <c r="E67" s="781">
        <v>0.2</v>
      </c>
      <c r="F67" s="768">
        <v>30</v>
      </c>
    </row>
    <row r="68" spans="1:6" s="764" customFormat="1" ht="48">
      <c r="A68" s="768">
        <v>8</v>
      </c>
      <c r="B68" s="3704"/>
      <c r="C68" s="682" t="s">
        <v>586</v>
      </c>
      <c r="D68" s="682" t="s">
        <v>587</v>
      </c>
      <c r="E68" s="781">
        <v>0.2</v>
      </c>
      <c r="F68" s="768">
        <v>30</v>
      </c>
    </row>
    <row r="69" spans="1:6" s="764" customFormat="1" ht="48">
      <c r="A69" s="768">
        <v>9</v>
      </c>
      <c r="B69" s="3704"/>
      <c r="C69" s="682" t="s">
        <v>588</v>
      </c>
      <c r="D69" s="682" t="s">
        <v>589</v>
      </c>
      <c r="E69" s="781">
        <v>0.2</v>
      </c>
      <c r="F69" s="768">
        <v>30</v>
      </c>
    </row>
    <row r="70" spans="1:6" s="764" customFormat="1" ht="60">
      <c r="A70" s="768">
        <v>10</v>
      </c>
      <c r="B70" s="3704"/>
      <c r="C70" s="682" t="s">
        <v>590</v>
      </c>
      <c r="D70" s="682" t="s">
        <v>591</v>
      </c>
      <c r="E70" s="781">
        <v>0.2</v>
      </c>
      <c r="F70" s="768">
        <v>30</v>
      </c>
    </row>
    <row r="71" spans="1:6" s="764" customFormat="1" ht="60">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36">
      <c r="A73" s="768">
        <v>13</v>
      </c>
      <c r="B73" s="3704"/>
      <c r="C73" s="682" t="s">
        <v>596</v>
      </c>
      <c r="D73" s="682" t="s">
        <v>597</v>
      </c>
      <c r="E73" s="781">
        <v>0.4</v>
      </c>
      <c r="F73" s="768">
        <v>60</v>
      </c>
    </row>
    <row r="74" spans="1:6" s="764" customFormat="1" ht="36">
      <c r="A74" s="768">
        <v>14</v>
      </c>
      <c r="B74" s="3704"/>
      <c r="C74" s="682" t="s">
        <v>598</v>
      </c>
      <c r="D74" s="682" t="s">
        <v>599</v>
      </c>
      <c r="E74" s="781">
        <v>0.2</v>
      </c>
      <c r="F74" s="768">
        <v>30</v>
      </c>
    </row>
    <row r="75" spans="1:6" s="764" customFormat="1" ht="36">
      <c r="A75" s="768">
        <v>15</v>
      </c>
      <c r="B75" s="3704"/>
      <c r="C75" s="682" t="s">
        <v>600</v>
      </c>
      <c r="D75" s="682" t="s">
        <v>601</v>
      </c>
      <c r="E75" s="781">
        <v>0.2</v>
      </c>
      <c r="F75" s="768">
        <v>30</v>
      </c>
    </row>
    <row r="76" spans="1:6" s="764" customFormat="1" ht="36">
      <c r="A76" s="768">
        <v>16</v>
      </c>
      <c r="B76" s="3704" t="s">
        <v>602</v>
      </c>
      <c r="C76" s="682" t="s">
        <v>603</v>
      </c>
      <c r="D76" s="682" t="s">
        <v>604</v>
      </c>
      <c r="E76" s="781">
        <v>0.5</v>
      </c>
      <c r="F76" s="768">
        <v>80</v>
      </c>
    </row>
    <row r="77" spans="1:6" s="764" customFormat="1" ht="36">
      <c r="A77" s="768">
        <v>17</v>
      </c>
      <c r="B77" s="3704"/>
      <c r="C77" s="682" t="s">
        <v>605</v>
      </c>
      <c r="D77" s="682" t="s">
        <v>606</v>
      </c>
      <c r="E77" s="781">
        <v>0.5</v>
      </c>
      <c r="F77" s="768">
        <v>80</v>
      </c>
    </row>
    <row r="78" spans="1:6" s="764" customFormat="1" ht="36">
      <c r="A78" s="768">
        <v>18</v>
      </c>
      <c r="B78" s="3704"/>
      <c r="C78" s="682" t="s">
        <v>607</v>
      </c>
      <c r="D78" s="682" t="s">
        <v>608</v>
      </c>
      <c r="E78" s="781">
        <v>0.2</v>
      </c>
      <c r="F78" s="768">
        <v>30</v>
      </c>
    </row>
    <row r="79" spans="1:6" s="764" customFormat="1" ht="36">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60">
      <c r="A82" s="768">
        <v>22</v>
      </c>
      <c r="B82" s="3704"/>
      <c r="C82" s="682" t="s">
        <v>615</v>
      </c>
      <c r="D82" s="682" t="s">
        <v>616</v>
      </c>
      <c r="E82" s="781">
        <v>0.2</v>
      </c>
      <c r="F82" s="768">
        <v>30</v>
      </c>
    </row>
    <row r="83" spans="1:6" s="764" customFormat="1" ht="60">
      <c r="A83" s="768">
        <v>23</v>
      </c>
      <c r="B83" s="3704"/>
      <c r="C83" s="682" t="s">
        <v>617</v>
      </c>
      <c r="D83" s="682" t="s">
        <v>618</v>
      </c>
      <c r="E83" s="781">
        <v>0.2</v>
      </c>
      <c r="F83" s="768">
        <v>30</v>
      </c>
    </row>
    <row r="84" spans="1:6" s="764" customFormat="1" ht="48">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36">
      <c r="A89" s="768">
        <v>29</v>
      </c>
      <c r="B89" s="3704"/>
      <c r="C89" s="682" t="s">
        <v>629</v>
      </c>
      <c r="D89" s="682" t="s">
        <v>630</v>
      </c>
      <c r="E89" s="781">
        <v>0.2</v>
      </c>
      <c r="F89" s="768">
        <v>30</v>
      </c>
    </row>
    <row r="90" spans="1:6" s="764" customFormat="1" ht="36">
      <c r="A90" s="768">
        <v>30</v>
      </c>
      <c r="B90" s="3704"/>
      <c r="C90" s="682" t="s">
        <v>631</v>
      </c>
      <c r="D90" s="682" t="s">
        <v>632</v>
      </c>
      <c r="E90" s="781">
        <v>0.2</v>
      </c>
      <c r="F90" s="768">
        <v>30</v>
      </c>
    </row>
    <row r="91" spans="1:6" s="764" customFormat="1" ht="48">
      <c r="A91" s="768">
        <v>31</v>
      </c>
      <c r="B91" s="3704"/>
      <c r="C91" s="682" t="s">
        <v>633</v>
      </c>
      <c r="D91" s="682" t="s">
        <v>634</v>
      </c>
      <c r="E91" s="781">
        <v>0.2</v>
      </c>
      <c r="F91" s="768">
        <v>30</v>
      </c>
    </row>
    <row r="92" spans="1:6" s="764" customFormat="1" ht="36">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60">
      <c r="A94" s="768">
        <v>34</v>
      </c>
      <c r="B94" s="3704"/>
      <c r="C94" s="768" t="s">
        <v>640</v>
      </c>
      <c r="D94" s="682" t="s">
        <v>641</v>
      </c>
      <c r="E94" s="781">
        <v>0.2</v>
      </c>
      <c r="F94" s="768">
        <v>30</v>
      </c>
    </row>
    <row r="95" spans="1:6" s="764" customFormat="1" ht="48">
      <c r="A95" s="768">
        <v>35</v>
      </c>
      <c r="B95" s="3704"/>
      <c r="C95" s="768" t="s">
        <v>642</v>
      </c>
      <c r="D95" s="682" t="s">
        <v>643</v>
      </c>
      <c r="E95" s="781">
        <v>0.2</v>
      </c>
      <c r="F95" s="768">
        <v>30</v>
      </c>
    </row>
    <row r="96" spans="1:6" s="764" customFormat="1" ht="72">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36">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4" t="s">
        <v>665</v>
      </c>
      <c r="C105" s="768" t="s">
        <v>666</v>
      </c>
      <c r="D105" s="682" t="s">
        <v>667</v>
      </c>
      <c r="E105" s="781">
        <v>0.2</v>
      </c>
      <c r="F105" s="768">
        <v>30</v>
      </c>
    </row>
    <row r="106" spans="1:6" s="764" customFormat="1" ht="48">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48">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4" t="s">
        <v>681</v>
      </c>
      <c r="C111" s="768" t="s">
        <v>682</v>
      </c>
      <c r="D111" s="682" t="s">
        <v>683</v>
      </c>
      <c r="E111" s="781">
        <v>0.2</v>
      </c>
      <c r="F111" s="768">
        <v>30</v>
      </c>
    </row>
    <row r="112" spans="1:6" s="764" customFormat="1" ht="36">
      <c r="A112" s="768">
        <v>52</v>
      </c>
      <c r="B112" s="3704"/>
      <c r="C112" s="768" t="s">
        <v>684</v>
      </c>
      <c r="D112" s="682" t="s">
        <v>685</v>
      </c>
      <c r="E112" s="781">
        <v>0.2</v>
      </c>
      <c r="F112" s="768">
        <v>30</v>
      </c>
    </row>
    <row r="113" spans="1:6" s="764" customFormat="1" ht="36">
      <c r="A113" s="768">
        <v>53</v>
      </c>
      <c r="B113" s="3704"/>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0" t="s">
        <v>964</v>
      </c>
      <c r="C1" s="3710"/>
      <c r="D1" s="3710"/>
      <c r="E1" s="3710"/>
      <c r="F1" s="3710"/>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2976</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 customHeight="1">
      <c r="A6" s="2339" t="s">
        <v>2975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 customHeight="1">
      <c r="A7" s="2339" t="s">
        <v>2829</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 customHeight="1">
      <c r="A8" s="2339" t="s">
        <v>2828</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 customHeight="1">
      <c r="A9" s="2339" t="s">
        <v>2827</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8"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8"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8"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8"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8"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8" thickBot="1">
      <c r="A38" s="2339" t="s">
        <v>982</v>
      </c>
      <c r="B38" s="2349">
        <v>299</v>
      </c>
      <c r="C38" s="2349">
        <v>252</v>
      </c>
      <c r="D38" s="2349">
        <f t="shared" si="194"/>
        <v>252</v>
      </c>
      <c r="E38" s="2349">
        <v>409</v>
      </c>
      <c r="F38" s="2350">
        <v>227</v>
      </c>
      <c r="G38" s="371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8"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8"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8"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8"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8"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8"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8"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8"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8"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8"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8"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8"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8"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8"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8"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8"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8"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8"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8"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8"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8"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44571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5.6">
      <c r="A17" s="3121"/>
      <c r="B17" s="1251" t="s">
        <v>2825</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6.8">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20" sqref="E20"/>
    </sheetView>
  </sheetViews>
  <sheetFormatPr defaultColWidth="9" defaultRowHeight="12"/>
  <cols>
    <col min="1" max="1" width="4.77734375" style="3319" bestFit="1" customWidth="1"/>
    <col min="2" max="2" width="33.6640625" style="3319" bestFit="1" customWidth="1"/>
    <col min="3" max="4" width="9" style="3319"/>
    <col min="5" max="5" width="12.21875" style="3319" customWidth="1"/>
    <col min="6" max="16384" width="9" style="3319"/>
  </cols>
  <sheetData>
    <row r="1" spans="1:6">
      <c r="A1" s="3320" t="s">
        <v>3005</v>
      </c>
      <c r="B1" s="3320" t="s">
        <v>3007</v>
      </c>
      <c r="C1" s="3320" t="s">
        <v>3009</v>
      </c>
      <c r="D1" s="3320" t="s">
        <v>3010</v>
      </c>
      <c r="E1" s="3320" t="s">
        <v>3011</v>
      </c>
      <c r="F1" s="3320" t="s">
        <v>3019</v>
      </c>
    </row>
    <row r="2" spans="1:6">
      <c r="A2" s="3320">
        <v>1</v>
      </c>
      <c r="B2" s="3320" t="s">
        <v>3008</v>
      </c>
      <c r="C2" s="3320">
        <v>213.01</v>
      </c>
      <c r="D2" s="3320" t="s">
        <v>3012</v>
      </c>
      <c r="E2" s="3320" t="s">
        <v>3016</v>
      </c>
      <c r="F2" s="3320">
        <v>9</v>
      </c>
    </row>
    <row r="3" spans="1:6">
      <c r="A3" s="3320">
        <v>2</v>
      </c>
      <c r="B3" s="3320" t="s">
        <v>3013</v>
      </c>
      <c r="C3" s="3320">
        <v>220.47</v>
      </c>
      <c r="D3" s="3320" t="s">
        <v>3012</v>
      </c>
      <c r="E3" s="3320" t="s">
        <v>3017</v>
      </c>
      <c r="F3" s="3320">
        <v>9</v>
      </c>
    </row>
    <row r="4" spans="1:6">
      <c r="A4" s="3320">
        <v>3</v>
      </c>
      <c r="B4" s="3320" t="s">
        <v>3014</v>
      </c>
      <c r="C4" s="3320">
        <v>205.32</v>
      </c>
      <c r="D4" s="3320" t="s">
        <v>3012</v>
      </c>
      <c r="E4" s="3716" t="s">
        <v>3018</v>
      </c>
      <c r="F4" s="3716">
        <v>9</v>
      </c>
    </row>
    <row r="5" spans="1:6">
      <c r="A5" s="3320">
        <v>4</v>
      </c>
      <c r="B5" s="3320" t="s">
        <v>3015</v>
      </c>
      <c r="C5" s="3320">
        <v>208.96</v>
      </c>
      <c r="D5" s="3320" t="s">
        <v>3012</v>
      </c>
      <c r="E5" s="3716"/>
      <c r="F5" s="3716"/>
    </row>
    <row r="6" spans="1:6">
      <c r="A6" s="3717" t="s">
        <v>3006</v>
      </c>
      <c r="B6" s="3718"/>
      <c r="C6" s="3320">
        <f>SUM(C2:C5)</f>
        <v>847.76</v>
      </c>
      <c r="D6" s="3320"/>
      <c r="E6" s="3320"/>
      <c r="F6" s="3320"/>
    </row>
  </sheetData>
  <mergeCells count="3">
    <mergeCell ref="E4:E5"/>
    <mergeCell ref="F4:F5"/>
    <mergeCell ref="A6:B6"/>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8"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5.6">
      <c r="A6" s="1329"/>
      <c r="B6" s="1334" t="str">
        <f>项目基本情况!I1</f>
        <v>北京市房地产</v>
      </c>
      <c r="C6" s="3327">
        <f>项目基本情况!C12</f>
        <v>847.76</v>
      </c>
      <c r="D6" s="3327"/>
      <c r="E6" s="1329"/>
    </row>
    <row r="7" spans="1:5" ht="15.6">
      <c r="A7" s="1329"/>
      <c r="B7" s="3321" t="s">
        <v>776</v>
      </c>
      <c r="C7" s="1335" t="str">
        <f>IF('数据-取费表'!B3="万元","总价（万元）","总价（元）")</f>
        <v>总价（万元）</v>
      </c>
      <c r="D7" s="1336">
        <f ca="1">IF('数据-取费表'!E3="否",结果表!I102,'结果表 (1修多)'!I104)</f>
        <v>5738</v>
      </c>
      <c r="E7" s="1329"/>
    </row>
    <row r="8" spans="1:5" ht="31.2">
      <c r="A8" s="1329"/>
      <c r="B8" s="3321"/>
      <c r="C8" s="1337" t="s">
        <v>1106</v>
      </c>
      <c r="D8" s="1338" t="str">
        <f ca="1">IF('数据-取费表'!B3="万元",NUMBERSTRING(INT(D7*10000),2)&amp;"元整",NUMBERSTRING(INT(D7),2)&amp;"元整")</f>
        <v>伍仟柒佰叁拾捌万元整</v>
      </c>
      <c r="E8" s="1329"/>
    </row>
    <row r="9" spans="1:5" ht="15.6">
      <c r="A9" s="1329"/>
      <c r="B9" s="3321"/>
      <c r="C9" s="1339" t="s">
        <v>1202</v>
      </c>
      <c r="D9" s="1336">
        <f ca="1">IF('数据-取费表'!E3="否",结果表!I103,'结果表 (1修多)'!I105)</f>
        <v>67684</v>
      </c>
      <c r="E9" s="1329"/>
    </row>
    <row r="10" spans="1:5" ht="15.6">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28"/>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28" t="str">
        <f>IF('数据-取费表'!E3="否",结果表!F110,'结果表 (1修多)'!F112)</f>
        <v>——</v>
      </c>
      <c r="C15" s="1330" t="str">
        <f>C7</f>
        <v>总价（万元）</v>
      </c>
      <c r="D15" s="1336" t="str">
        <f>IF('数据-取费表'!E3="否",结果表!I110,'结果表 (1修多)'!I112)</f>
        <v>——</v>
      </c>
      <c r="E15" s="1329"/>
    </row>
    <row r="16" spans="1:5" ht="15.6">
      <c r="A16" s="1329"/>
      <c r="B16" s="3328"/>
      <c r="C16" s="1337" t="s">
        <v>1106</v>
      </c>
      <c r="D16" s="1336" t="e">
        <f>IF('数据-取费表'!B3="万元",NUMBERSTRING(INT(D15*10000),2)&amp;"元整",NUMBERSTRING(INT(D15),2)&amp;"元整")</f>
        <v>#VALUE!</v>
      </c>
      <c r="E16" s="1329"/>
    </row>
    <row r="17" spans="1:5" ht="15.6">
      <c r="A17" s="1329"/>
      <c r="B17" s="3328"/>
      <c r="C17" s="1339" t="s">
        <v>1202</v>
      </c>
      <c r="D17" s="1336" t="e">
        <f ca="1">IF('数据-取费表'!E3="否",结果表!I111,'结果表 (1修多)'!I113)</f>
        <v>#VALUE!</v>
      </c>
      <c r="E17" s="1329"/>
    </row>
    <row r="18" spans="1:5" ht="15.6">
      <c r="A18" s="1329"/>
      <c r="B18" s="3328" t="str">
        <f>IF('数据-取费表'!E3="否",结果表!F112,'结果表 (1修多)'!F114)</f>
        <v>3.抵押担保权已注销时的房地产抵押价值</v>
      </c>
      <c r="C18" s="1330" t="str">
        <f>C7</f>
        <v>总价（万元）</v>
      </c>
      <c r="D18" s="1336">
        <f ca="1">IF('数据-取费表'!E3="否",结果表!I112,'结果表 (1修多)'!I114)</f>
        <v>5738</v>
      </c>
      <c r="E18" s="1329"/>
    </row>
    <row r="19" spans="1:5" ht="31.2">
      <c r="A19" s="1329"/>
      <c r="B19" s="3328"/>
      <c r="C19" s="1337" t="s">
        <v>1106</v>
      </c>
      <c r="D19" s="1336" t="str">
        <f ca="1">IF('数据-取费表'!B3="万元",NUMBERSTRING(INT(D18*10000),2)&amp;"元整",NUMBERSTRING(INT(D18),2)&amp;"元整")</f>
        <v>伍仟柒佰叁拾捌万元整</v>
      </c>
      <c r="E19" s="1329"/>
    </row>
    <row r="20" spans="1:5" ht="15.6">
      <c r="A20" s="1329"/>
      <c r="B20" s="3328"/>
      <c r="C20" s="1339" t="s">
        <v>1202</v>
      </c>
      <c r="D20" s="1336">
        <f ca="1">IF('数据-取费表'!E3="否",结果表!I113,'结果表 (1修多)'!I115)</f>
        <v>67684</v>
      </c>
      <c r="E20" s="1329"/>
    </row>
    <row r="21" spans="1:5" ht="15.6">
      <c r="A21" s="1329"/>
      <c r="B21" s="3321" t="str">
        <f>IF('数据-取费表'!E3="否",结果表!F114,'结果表 (1修多)'!F116)</f>
        <v>4.抵押净值</v>
      </c>
      <c r="C21" s="1335" t="str">
        <f>C7</f>
        <v>总价（万元）</v>
      </c>
      <c r="D21" s="1336">
        <f ca="1">IF('数据-取费表'!E3="否",结果表!I114,'结果表 (1修多)'!I116)</f>
        <v>2124</v>
      </c>
      <c r="E21" s="1329"/>
    </row>
    <row r="22" spans="1:5" ht="15.6">
      <c r="A22" s="1329"/>
      <c r="B22" s="3321"/>
      <c r="C22" s="1337" t="s">
        <v>1106</v>
      </c>
      <c r="D22" s="1338" t="str">
        <f ca="1">IF('数据-取费表'!B3="万元",NUMBERSTRING(INT(D21*10000),2)&amp;"元整",NUMBERSTRING(INT(D21),2)&amp;"元整")</f>
        <v>贰仟壹佰贰拾肆万元整</v>
      </c>
      <c r="E22" s="1329"/>
    </row>
    <row r="23" spans="1:5" ht="16.2" thickBot="1">
      <c r="A23" s="1329"/>
      <c r="B23" s="3322"/>
      <c r="C23" s="1344" t="s">
        <v>1202</v>
      </c>
      <c r="D23" s="1345">
        <f ca="1">IF('数据-取费表'!E3="否",结果表!I115,'结果表 (1修多)'!I117)</f>
        <v>25054</v>
      </c>
      <c r="E23" s="1329"/>
    </row>
    <row r="24" spans="1:5" ht="1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5.6">
      <c r="A28" s="1329"/>
      <c r="B28" s="3329" t="s">
        <v>776</v>
      </c>
      <c r="C28" s="1346" t="s">
        <v>1107</v>
      </c>
      <c r="D28" s="1347">
        <f ca="1">IF('数据-取费表'!E3="否",结果表!I102,'结果表 (1修多)'!I104)</f>
        <v>5738</v>
      </c>
      <c r="E28" s="1329"/>
    </row>
    <row r="29" spans="1:5" ht="31.2">
      <c r="A29" s="1329"/>
      <c r="B29" s="3330"/>
      <c r="C29" s="1348" t="s">
        <v>1106</v>
      </c>
      <c r="D29" s="1349" t="str">
        <f ca="1">IF('数据-取费表'!B3="万元",NUMBERSTRING(INT(D28*10000),2)&amp;"元整",NUMBERSTRING(INT(D28),2)&amp;"元整")</f>
        <v>伍仟柒佰叁拾捌万元整</v>
      </c>
      <c r="E29" s="1329"/>
    </row>
    <row r="30" spans="1:5" ht="15.6">
      <c r="A30" s="1329"/>
      <c r="B30" s="3331"/>
      <c r="C30" s="1339" t="s">
        <v>1109</v>
      </c>
      <c r="D30" s="1350">
        <f ca="1">IF('数据-取费表'!E3="否",结果表!I103,'结果表 (1修多)'!I105)</f>
        <v>67684</v>
      </c>
      <c r="E30" s="1329"/>
    </row>
    <row r="31" spans="1:5" ht="15.6">
      <c r="A31" s="1329"/>
      <c r="B31" s="3334" t="str">
        <f>B10</f>
        <v>2.估价师所知悉的法定优先受偿款</v>
      </c>
      <c r="C31" s="1351" t="s">
        <v>1108</v>
      </c>
      <c r="D31" s="1352">
        <f>IF('数据-取费表'!E3="否",结果表!I105,'结果表 (1修多)'!I107)</f>
        <v>0</v>
      </c>
      <c r="E31" s="1329"/>
    </row>
    <row r="32" spans="1:5" ht="15.6">
      <c r="A32" s="1329"/>
      <c r="B32" s="3343"/>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32" t="str">
        <f>B15</f>
        <v>——</v>
      </c>
      <c r="C36" s="1351" t="str">
        <f>C28</f>
        <v>总价</v>
      </c>
      <c r="D36" s="1352" t="str">
        <f>IF('数据-取费表'!E3="否",结果表!I110,'结果表 (1修多)'!I112)</f>
        <v>——</v>
      </c>
      <c r="E36" s="1329"/>
    </row>
    <row r="37" spans="1:5" ht="15.6">
      <c r="A37" s="1329"/>
      <c r="B37" s="3332"/>
      <c r="C37" s="1348" t="s">
        <v>1106</v>
      </c>
      <c r="D37" s="1353" t="e">
        <f>IF('数据-取费表'!B3="万元",NUMBERSTRING(INT(D36*10000),2)&amp;"元整",NUMBERSTRING(INT(D36),2)&amp;"元整")</f>
        <v>#VALUE!</v>
      </c>
      <c r="E37" s="1329"/>
    </row>
    <row r="38" spans="1:5" ht="15.6">
      <c r="A38" s="1329"/>
      <c r="B38" s="3332"/>
      <c r="C38" s="1339" t="s">
        <v>1110</v>
      </c>
      <c r="D38" s="1350" t="e">
        <f ca="1">IF('数据-取费表'!E3="否",结果表!D113,'结果表 (1修多)'!D117)</f>
        <v>#VALUE!</v>
      </c>
      <c r="E38" s="1329"/>
    </row>
    <row r="39" spans="1:5" ht="15.6">
      <c r="A39" s="1329"/>
      <c r="B39" s="3333" t="str">
        <f>B18</f>
        <v>3.抵押担保权已注销时的房地产抵押价值</v>
      </c>
      <c r="C39" s="1351" t="str">
        <f>C28</f>
        <v>总价</v>
      </c>
      <c r="D39" s="1352">
        <f ca="1">IF('数据-取费表'!E3="否",结果表!I112,'结果表 (1修多)'!I114)</f>
        <v>5738</v>
      </c>
      <c r="E39" s="1329"/>
    </row>
    <row r="40" spans="1:5" ht="31.2">
      <c r="A40" s="1329"/>
      <c r="B40" s="3333"/>
      <c r="C40" s="1348" t="s">
        <v>1106</v>
      </c>
      <c r="D40" s="1353" t="str">
        <f ca="1">IF('数据-取费表'!B3="万元",NUMBERSTRING(INT(D39*10000),2)&amp;"元整",NUMBERSTRING(INT(D39),2)&amp;"元整")</f>
        <v>伍仟柒佰叁拾捌万元整</v>
      </c>
      <c r="E40" s="1329"/>
    </row>
    <row r="41" spans="1:5" ht="15.6">
      <c r="A41" s="1329"/>
      <c r="B41" s="3333"/>
      <c r="C41" s="1339" t="s">
        <v>1110</v>
      </c>
      <c r="D41" s="1350">
        <f ca="1">IF('数据-取费表'!E3="否",结果表!D115,'结果表 (1修多)'!D119)</f>
        <v>67684</v>
      </c>
      <c r="E41" s="1329"/>
    </row>
    <row r="42" spans="1:5" ht="15.6">
      <c r="A42" s="1329"/>
      <c r="B42" s="3332" t="str">
        <f>B21</f>
        <v>4.抵押净值</v>
      </c>
      <c r="C42" s="1351" t="str">
        <f>C28</f>
        <v>总价</v>
      </c>
      <c r="D42" s="1352">
        <f ca="1">IF('数据-取费表'!E3="否",结果表!I114,'结果表 (1修多)'!I116)</f>
        <v>2124</v>
      </c>
      <c r="E42" s="1329"/>
    </row>
    <row r="43" spans="1:5" ht="15.6">
      <c r="A43" s="1329"/>
      <c r="B43" s="3334"/>
      <c r="C43" s="1348" t="s">
        <v>1106</v>
      </c>
      <c r="D43" s="1354" t="str">
        <f ca="1">IF('数据-取费表'!B3="万元",NUMBERSTRING(INT(D42*10000),2)&amp;"元整",NUMBERSTRING(INT(D42),2)&amp;"元整")</f>
        <v>贰仟壹佰贰拾肆万元整</v>
      </c>
      <c r="E43" s="1329"/>
    </row>
    <row r="44" spans="1:5" ht="16.2" thickBot="1">
      <c r="A44" s="1329"/>
      <c r="B44" s="3335"/>
      <c r="C44" s="1344" t="s">
        <v>1110</v>
      </c>
      <c r="D44" s="1355">
        <f ca="1">IF('数据-取费表'!E3="否",结果表!D117,'结果表 (1修多)'!D121)</f>
        <v>25054</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6">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847.76</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5738</v>
      </c>
      <c r="I4" s="818">
        <f ca="1">IF('数据-取费表'!E3="否",结果表!I121,'结果表 (1修多)'!I125)</f>
        <v>67684</v>
      </c>
    </row>
    <row r="5" spans="1:9" ht="15">
      <c r="A5" s="3346" t="s">
        <v>1212</v>
      </c>
      <c r="B5" s="3346"/>
      <c r="C5" s="3346"/>
      <c r="D5" s="3344" t="str">
        <f>IF('数据-取费表'!E3="否",结果表!D122,'结果表 (1修多)'!D126)</f>
        <v>零元整</v>
      </c>
      <c r="E5" s="3344"/>
      <c r="F5" s="3344" t="str">
        <f>IF('数据-取费表'!E3="否",结果表!F122,'结果表 (1修多)'!F126)</f>
        <v>零元整</v>
      </c>
      <c r="G5" s="3344"/>
      <c r="H5" s="3344" t="str">
        <f ca="1">IF('数据-取费表'!E3="否",结果表!H122,'结果表 (1修多)'!H126)</f>
        <v>伍仟柒佰叁拾捌万元整</v>
      </c>
      <c r="I5" s="3344"/>
    </row>
    <row r="6" spans="1:9" ht="15.6">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6">
      <c r="A8" s="3345" t="str">
        <f>IF('数据-取费表'!E3="否",结果表!A125,'结果表 (1修多)'!A129)</f>
        <v/>
      </c>
      <c r="B8" s="3345"/>
      <c r="C8" s="3345"/>
      <c r="D8" s="3345" t="str">
        <f>IF('数据-取费表'!E3="否",结果表!D125,'结果表 (1修多)'!D129)</f>
        <v>——</v>
      </c>
      <c r="E8" s="3345"/>
      <c r="F8" s="3345"/>
      <c r="G8" s="3345"/>
      <c r="H8" s="3345"/>
      <c r="I8" s="3345"/>
    </row>
    <row r="9" spans="1:9" ht="15">
      <c r="A9" s="3346" t="s">
        <v>1212</v>
      </c>
      <c r="B9" s="3346"/>
      <c r="C9" s="3346"/>
      <c r="D9" s="3344" t="e">
        <f ca="1">IF('数据-取费表'!E3="否",结果表!D126,'结果表 (1修多)'!D130)</f>
        <v>#VALUE!</v>
      </c>
      <c r="E9" s="3344"/>
      <c r="F9" s="3344"/>
      <c r="G9" s="3344"/>
      <c r="H9" s="3344"/>
      <c r="I9" s="3344"/>
    </row>
    <row r="10" spans="1:9" ht="15.6">
      <c r="A10" s="3345" t="str">
        <f>IF('数据-取费表'!E3="否",结果表!A127,'结果表 (1修多)'!A131)</f>
        <v>抵押担保权已注销时的房地产抵押价值</v>
      </c>
      <c r="B10" s="3345"/>
      <c r="C10" s="3345"/>
      <c r="D10" s="3345" t="e">
        <f ca="1">IF('数据-取费表'!E3="否",结果表!D127,'结果表 (1修多)'!D130)</f>
        <v>#VALUE!</v>
      </c>
      <c r="E10" s="3345"/>
      <c r="F10" s="3345"/>
      <c r="G10" s="3345"/>
      <c r="H10" s="3345"/>
      <c r="I10" s="3345"/>
    </row>
    <row r="11" spans="1:9" ht="15">
      <c r="A11" s="3346" t="s">
        <v>1212</v>
      </c>
      <c r="B11" s="3346"/>
      <c r="C11" s="3346"/>
      <c r="D11" s="3344">
        <f ca="1">IF('数据-取费表'!E3="否",结果表!D128,'结果表 (1修多)'!D132)</f>
        <v>67684</v>
      </c>
      <c r="E11" s="3344"/>
      <c r="F11" s="3344"/>
      <c r="G11" s="3344"/>
      <c r="H11" s="3344"/>
      <c r="I11" s="3344"/>
    </row>
    <row r="12" spans="1:9" ht="15.6">
      <c r="A12" s="3345" t="str">
        <f>IF('数据-取费表'!E3="否",结果表!A129,'结果表 (1修多)'!A133)</f>
        <v>抵押净值</v>
      </c>
      <c r="B12" s="3345"/>
      <c r="C12" s="3345"/>
      <c r="D12" s="3345">
        <f ca="1">IF('数据-取费表'!E3="否",结果表!D129,'结果表 (1修多)'!D133)</f>
        <v>2124</v>
      </c>
      <c r="E12" s="3345"/>
      <c r="F12" s="3345"/>
      <c r="G12" s="3345"/>
      <c r="H12" s="3345"/>
      <c r="I12" s="3345"/>
    </row>
    <row r="13" spans="1:9" ht="15.6" thickBot="1">
      <c r="A13" s="3352" t="s">
        <v>1212</v>
      </c>
      <c r="B13" s="3352"/>
      <c r="C13" s="3352"/>
      <c r="D13" s="3353">
        <f>IF('数据-取费表'!E3="否",结果表!D130,'结果表 (1修多)'!D134)</f>
        <v>0</v>
      </c>
      <c r="E13" s="3353"/>
      <c r="F13" s="3353"/>
      <c r="G13" s="3353"/>
      <c r="H13" s="3353"/>
      <c r="I13" s="3353"/>
    </row>
    <row r="14" spans="1:9" ht="14.4"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59" t="s">
        <v>1225</v>
      </c>
      <c r="B1" s="3359"/>
      <c r="C1" s="3359"/>
      <c r="D1" s="3359"/>
    </row>
    <row r="2" spans="1:4" ht="17.399999999999999">
      <c r="A2" s="3358" t="s">
        <v>1214</v>
      </c>
      <c r="B2" s="3358"/>
      <c r="C2" s="3358"/>
      <c r="D2" s="3358"/>
    </row>
    <row r="3" spans="1:4" ht="17.399999999999999">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7.399999999999999">
      <c r="A7" s="3358" t="s">
        <v>1219</v>
      </c>
      <c r="B7" s="3358"/>
      <c r="C7" s="3358"/>
      <c r="D7" s="3358"/>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55" t="s">
        <v>2678</v>
      </c>
      <c r="B12" s="3357"/>
      <c r="C12" s="3357"/>
      <c r="D12" s="3357"/>
    </row>
    <row r="13" spans="1:4" ht="15.6">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7"/>
      <c r="C13" s="3357"/>
      <c r="D13" s="3357"/>
    </row>
    <row r="14" spans="1:4" ht="30" customHeight="1">
      <c r="A14" s="3355" t="str">
        <f>IF(项目基本情况!D4="抵押","3.抵押双方在办理抵押登记手续时，应使用本公司出具的正式《不动产估价报告书》，特提醒报告使用者注意。","——")</f>
        <v>——</v>
      </c>
      <c r="B14" s="3357"/>
      <c r="C14" s="3357"/>
      <c r="D14" s="3357"/>
    </row>
    <row r="15" spans="1:4" ht="15.75" customHeight="1">
      <c r="A15" s="3355" t="str">
        <f>IF(项目基本情况!D4="抵押","4.本次评估估价师所知悉的法定优先受偿款情况说明如下：","——")</f>
        <v>——</v>
      </c>
      <c r="B15" s="3357"/>
      <c r="C15" s="3357"/>
      <c r="D15" s="3357"/>
    </row>
    <row r="16" spans="1:4" ht="75" customHeight="1">
      <c r="A16" s="3355" t="str">
        <f>IF(项目基本情况!D4="抵押",CONCATENATE(项目基本情况!J13,项目基本情况!J14,项目基本情况!J15),"——")</f>
        <v>——</v>
      </c>
      <c r="B16" s="3355"/>
      <c r="C16" s="3355"/>
      <c r="D16" s="3355"/>
    </row>
    <row r="17" spans="1:4" ht="63.75" customHeight="1">
      <c r="A17" s="3356" t="s">
        <v>1227</v>
      </c>
      <c r="B17" s="3356"/>
      <c r="C17" s="3356"/>
      <c r="D17" s="3356"/>
    </row>
    <row r="18" spans="1:4" ht="15.75" customHeight="1">
      <c r="A18" s="3355" t="str">
        <f>IF(项目基本情况!D4="抵押",结果表!L106,"——")</f>
        <v>——</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2679</v>
      </c>
      <c r="B20" s="3356"/>
      <c r="C20" s="3356"/>
      <c r="D20" s="3356"/>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65" t="s">
        <v>1306</v>
      </c>
      <c r="B15" s="3360" t="s">
        <v>1307</v>
      </c>
      <c r="C15" s="3361"/>
    </row>
    <row r="16" spans="1:7" ht="14.4">
      <c r="A16" s="3366"/>
      <c r="B16" s="3360" t="s">
        <v>1308</v>
      </c>
      <c r="C16" s="3361"/>
    </row>
    <row r="17" spans="1:3" ht="14.4">
      <c r="A17" s="3366"/>
      <c r="B17" s="3360" t="s">
        <v>1309</v>
      </c>
      <c r="C17" s="3361"/>
    </row>
    <row r="18" spans="1:3" ht="14.4">
      <c r="A18" s="3367"/>
      <c r="B18" s="3362" t="s">
        <v>1310</v>
      </c>
      <c r="C18" s="3361"/>
    </row>
    <row r="19" spans="1:3" ht="14.4">
      <c r="A19" s="1382" t="s">
        <v>1311</v>
      </c>
      <c r="B19" s="1383"/>
      <c r="C19" s="1384"/>
    </row>
    <row r="20" spans="1:3" ht="14.4">
      <c r="A20" s="3363" t="s">
        <v>1312</v>
      </c>
      <c r="B20" s="3362" t="s">
        <v>1313</v>
      </c>
      <c r="C20" s="3361"/>
    </row>
    <row r="21" spans="1:3" ht="14.4">
      <c r="A21" s="3363"/>
      <c r="B21" s="3362" t="s">
        <v>1314</v>
      </c>
      <c r="C21" s="3361"/>
    </row>
    <row r="22" spans="1:3" ht="14.4">
      <c r="A22" s="3363"/>
      <c r="B22" s="3362" t="s">
        <v>1315</v>
      </c>
      <c r="C22" s="3361"/>
    </row>
    <row r="23" spans="1:3" ht="14.4">
      <c r="A23" s="3363"/>
      <c r="B23" s="3364" t="s">
        <v>1316</v>
      </c>
      <c r="C23" s="1385" t="s">
        <v>1317</v>
      </c>
    </row>
    <row r="24" spans="1:3" ht="14.4">
      <c r="A24" s="3363"/>
      <c r="B24" s="3364"/>
      <c r="C24" s="1385" t="s">
        <v>1318</v>
      </c>
    </row>
    <row r="25" spans="1:3" ht="14.4">
      <c r="A25" s="3363"/>
      <c r="B25" s="3364"/>
      <c r="C25" s="1385" t="s">
        <v>1319</v>
      </c>
    </row>
    <row r="26" spans="1:3" ht="14.4">
      <c r="A26" s="3363"/>
      <c r="B26" s="3364"/>
      <c r="C26" s="1385" t="s">
        <v>1320</v>
      </c>
    </row>
    <row r="27" spans="1:3" ht="14.4">
      <c r="A27" s="3363"/>
      <c r="B27" s="3364"/>
      <c r="C27" s="1385" t="s">
        <v>1321</v>
      </c>
    </row>
    <row r="28" spans="1:3" ht="14.4">
      <c r="A28" s="3363"/>
      <c r="B28" s="3364"/>
      <c r="C28" s="1385" t="s">
        <v>1322</v>
      </c>
    </row>
    <row r="29" spans="1:3" ht="14.4">
      <c r="A29" s="3363"/>
      <c r="B29" s="3364"/>
      <c r="C29" s="1385" t="s">
        <v>1323</v>
      </c>
    </row>
    <row r="30" spans="1:3" ht="14.4">
      <c r="A30" s="3363"/>
      <c r="B30" s="3364"/>
      <c r="C30" s="1385" t="s">
        <v>1324</v>
      </c>
    </row>
    <row r="31" spans="1:3" ht="14.4">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44572</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2654</v>
      </c>
      <c r="B12" s="1272">
        <f ca="1">IF(C12&lt;B2,"已过期",1120040230)</f>
        <v>1120040230</v>
      </c>
      <c r="C12" s="3043">
        <v>44864</v>
      </c>
      <c r="D12" s="3051" t="str">
        <f t="shared" ca="1" si="0"/>
        <v>苏海（注册号：1120040230）</v>
      </c>
      <c r="E12" s="3053" t="s">
        <v>2654</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2769</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2773</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2770</v>
      </c>
      <c r="B20" s="3046" t="s">
        <v>2771</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2970</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row>
    <row r="54" spans="1:4" ht="14.4">
      <c r="A54" s="3371"/>
      <c r="B54" s="9" t="s">
        <v>1462</v>
      </c>
      <c r="C54" s="9" t="s">
        <v>1463</v>
      </c>
    </row>
    <row r="55" spans="1:4" ht="14.4">
      <c r="A55" s="3371"/>
      <c r="B55" s="9" t="s">
        <v>1464</v>
      </c>
      <c r="C55" s="9" t="s">
        <v>1465</v>
      </c>
    </row>
    <row r="56" spans="1:4" ht="14.4">
      <c r="A56" s="3371"/>
      <c r="B56" s="9" t="s">
        <v>1466</v>
      </c>
      <c r="C56" s="9" t="s">
        <v>1467</v>
      </c>
    </row>
    <row r="57" spans="1:4" ht="14.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2022-01-11T08:48:55Z</dcterms:modified>
</cp:coreProperties>
</file>