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75" firstSheet="12"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比较法-住宅" sheetId="21" r:id="rId32"/>
    <sheet name="不动产比较法-商业" sheetId="33" state="hidden" r:id="rId33"/>
    <sheet name="不动产收益法-车库" sheetId="15" state="hidden"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地块分布情况" sheetId="70" r:id="rId43"/>
    <sheet name="A3总规划" sheetId="71" r:id="rId44"/>
    <sheet name="F总规划" sheetId="72" r:id="rId45"/>
    <sheet name="C总规划" sheetId="73" r:id="rId46"/>
    <sheet name="E2总规划" sheetId="74" r:id="rId47"/>
    <sheet name="B总规划" sheetId="75" r:id="rId48"/>
    <sheet name="G总规划" sheetId="76" r:id="rId49"/>
    <sheet name="剩余法成本" sheetId="77"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49" i="68" l="1"/>
  <c r="A3" i="3"/>
  <c r="F12" i="75"/>
  <c r="F12" i="76"/>
  <c r="H49" i="68"/>
  <c r="F24" i="75"/>
  <c r="F24" i="76"/>
  <c r="F17" i="75"/>
  <c r="F17" i="76"/>
  <c r="H51" i="68"/>
  <c r="F18" i="75"/>
  <c r="F27" i="75"/>
  <c r="F18" i="76"/>
  <c r="F21" i="76"/>
  <c r="F22" i="76"/>
  <c r="F23" i="76"/>
  <c r="F27" i="76"/>
  <c r="B2" i="1"/>
  <c r="C7" i="21"/>
  <c r="E7" i="21"/>
  <c r="C58" i="21"/>
  <c r="D58" i="21"/>
  <c r="E58" i="21"/>
  <c r="F58" i="21"/>
  <c r="G58" i="21"/>
  <c r="H58" i="21"/>
  <c r="I58" i="21"/>
  <c r="J58" i="21"/>
  <c r="K58" i="21"/>
  <c r="L58" i="21"/>
  <c r="M58" i="21"/>
  <c r="N58" i="21"/>
  <c r="O58" i="21"/>
  <c r="F7" i="21"/>
  <c r="AA7" i="21"/>
  <c r="I7" i="6"/>
  <c r="C11" i="21"/>
  <c r="F11" i="21"/>
  <c r="AA11" i="21"/>
  <c r="R48" i="21"/>
  <c r="G7" i="21"/>
  <c r="H7" i="21"/>
  <c r="AB7" i="21"/>
  <c r="H11" i="21"/>
  <c r="AB11" i="21"/>
  <c r="T48" i="21"/>
  <c r="I7" i="21"/>
  <c r="J7" i="21"/>
  <c r="AC7" i="21"/>
  <c r="J11" i="21"/>
  <c r="AC11" i="21"/>
  <c r="V48" i="21"/>
  <c r="R49" i="21"/>
  <c r="C49" i="21"/>
  <c r="B3" i="21"/>
  <c r="C8" i="12"/>
  <c r="C7" i="35"/>
  <c r="E7" i="35"/>
  <c r="C48" i="35"/>
  <c r="D48" i="35"/>
  <c r="E48" i="35"/>
  <c r="F48" i="35"/>
  <c r="G48" i="35"/>
  <c r="H48" i="35"/>
  <c r="I48" i="35"/>
  <c r="J48" i="35"/>
  <c r="K48" i="35"/>
  <c r="L48" i="35"/>
  <c r="M48" i="35"/>
  <c r="N48" i="35"/>
  <c r="O48" i="35"/>
  <c r="F7" i="35"/>
  <c r="AA7" i="35"/>
  <c r="R38" i="35"/>
  <c r="G7" i="35"/>
  <c r="H7" i="35"/>
  <c r="AB7" i="35"/>
  <c r="T38" i="35"/>
  <c r="I7" i="35"/>
  <c r="J7" i="35"/>
  <c r="AC7" i="35"/>
  <c r="V38" i="35"/>
  <c r="R39" i="35"/>
  <c r="C39" i="35"/>
  <c r="F25" i="71"/>
  <c r="H7" i="68"/>
  <c r="D2" i="68"/>
  <c r="D49" i="68"/>
  <c r="I48" i="39"/>
  <c r="G48" i="39"/>
  <c r="E48" i="39"/>
  <c r="I40" i="39"/>
  <c r="G40" i="39"/>
  <c r="I9" i="39"/>
  <c r="G9" i="39"/>
  <c r="I7" i="39"/>
  <c r="G7" i="39"/>
  <c r="C20" i="66"/>
  <c r="B20" i="66"/>
  <c r="K77" i="68"/>
  <c r="K80" i="68"/>
  <c r="K76" i="68"/>
  <c r="C13" i="39"/>
  <c r="F35" i="76"/>
  <c r="F33" i="76"/>
  <c r="F26" i="76"/>
  <c r="F25" i="76"/>
  <c r="F6" i="76"/>
  <c r="F5" i="76"/>
  <c r="F35" i="75"/>
  <c r="F33" i="75"/>
  <c r="F26" i="75"/>
  <c r="F25" i="75"/>
  <c r="F6" i="75"/>
  <c r="F5" i="75"/>
  <c r="C40" i="68"/>
  <c r="F35" i="74"/>
  <c r="F33" i="74"/>
  <c r="F28" i="74"/>
  <c r="F27" i="74"/>
  <c r="F26" i="74"/>
  <c r="H46" i="68"/>
  <c r="K46" i="68"/>
  <c r="F25" i="74"/>
  <c r="H45" i="68"/>
  <c r="K45" i="68"/>
  <c r="F18" i="74"/>
  <c r="F17" i="74"/>
  <c r="F16" i="74"/>
  <c r="F14" i="74"/>
  <c r="F12" i="74"/>
  <c r="F6" i="74"/>
  <c r="F5" i="74"/>
  <c r="F35" i="73"/>
  <c r="F33" i="73"/>
  <c r="F29" i="73"/>
  <c r="F30" i="73"/>
  <c r="F26" i="73"/>
  <c r="H37" i="68"/>
  <c r="K37" i="68"/>
  <c r="F25" i="73"/>
  <c r="F24" i="73"/>
  <c r="F18" i="73"/>
  <c r="H34" i="68"/>
  <c r="F17" i="73"/>
  <c r="F13" i="73"/>
  <c r="F9" i="73"/>
  <c r="F12" i="73"/>
  <c r="F6" i="73"/>
  <c r="F5" i="73"/>
  <c r="C31" i="68"/>
  <c r="C11" i="68"/>
  <c r="F35" i="72"/>
  <c r="F33" i="72"/>
  <c r="F27" i="72"/>
  <c r="F26" i="72"/>
  <c r="F25" i="72"/>
  <c r="F24" i="72"/>
  <c r="H12" i="68"/>
  <c r="F19" i="72"/>
  <c r="F18" i="72"/>
  <c r="F17" i="72"/>
  <c r="H15" i="68"/>
  <c r="K25" i="68"/>
  <c r="F16" i="72"/>
  <c r="F12" i="72"/>
  <c r="H11" i="68"/>
  <c r="F6" i="72"/>
  <c r="F5" i="72"/>
  <c r="C2" i="68"/>
  <c r="F35" i="71"/>
  <c r="F33" i="71"/>
  <c r="F28" i="71"/>
  <c r="F27" i="71"/>
  <c r="F26" i="71"/>
  <c r="F10" i="71"/>
  <c r="F18" i="71"/>
  <c r="F17" i="71"/>
  <c r="F16" i="71"/>
  <c r="F14" i="71"/>
  <c r="H3" i="68"/>
  <c r="F12" i="71"/>
  <c r="F6" i="71"/>
  <c r="F5" i="71"/>
  <c r="K21" i="70"/>
  <c r="L21" i="70"/>
  <c r="F21" i="70"/>
  <c r="E20" i="70"/>
  <c r="D20" i="70"/>
  <c r="C20" i="70"/>
  <c r="K18" i="70"/>
  <c r="L18" i="70"/>
  <c r="F18" i="70"/>
  <c r="K16" i="70"/>
  <c r="L16" i="70"/>
  <c r="F16" i="70"/>
  <c r="L14" i="70"/>
  <c r="K14" i="70"/>
  <c r="F14" i="70"/>
  <c r="K12" i="70"/>
  <c r="L12" i="70"/>
  <c r="F12" i="70"/>
  <c r="L10" i="70"/>
  <c r="F10" i="70"/>
  <c r="K8" i="70"/>
  <c r="L8" i="70"/>
  <c r="F8" i="70"/>
  <c r="K6" i="70"/>
  <c r="K20" i="70"/>
  <c r="F6" i="70"/>
  <c r="F20" i="70"/>
  <c r="F13" i="75"/>
  <c r="H8" i="68"/>
  <c r="P7" i="68"/>
  <c r="H31" i="68"/>
  <c r="K31" i="68"/>
  <c r="H4" i="68"/>
  <c r="P12" i="68"/>
  <c r="H13" i="68"/>
  <c r="K23" i="68"/>
  <c r="H18" i="68"/>
  <c r="K18" i="68"/>
  <c r="H32" i="68"/>
  <c r="H42" i="68"/>
  <c r="K42" i="68"/>
  <c r="H5" i="68"/>
  <c r="P13" i="68"/>
  <c r="H41" i="68"/>
  <c r="K41" i="68"/>
  <c r="H2" i="68"/>
  <c r="P10" i="68"/>
  <c r="H33" i="68"/>
  <c r="K33" i="68"/>
  <c r="H40" i="68"/>
  <c r="K40" i="68"/>
  <c r="K32" i="68"/>
  <c r="L6" i="70"/>
  <c r="L20" i="70"/>
  <c r="E40" i="39"/>
  <c r="C40" i="39"/>
  <c r="E9" i="39"/>
  <c r="E7"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Q74" i="44"/>
  <c r="Q61" i="44"/>
  <c r="Q60" i="44"/>
  <c r="Q53" i="44"/>
  <c r="J51" i="44"/>
  <c r="J52" i="44"/>
  <c r="M48" i="44"/>
  <c r="A16" i="55"/>
  <c r="A15" i="55"/>
  <c r="A10" i="55"/>
  <c r="A9" i="55"/>
  <c r="A8" i="55"/>
  <c r="A6" i="54"/>
  <c r="A8" i="54"/>
  <c r="A7" i="54"/>
  <c r="A28" i="51"/>
  <c r="A27" i="51"/>
  <c r="Q12" i="59"/>
  <c r="O12" i="59"/>
  <c r="N13" i="59"/>
  <c r="O13" i="59"/>
  <c r="P13" i="59"/>
  <c r="Q13" i="59"/>
  <c r="N12" i="59"/>
  <c r="P12" i="59"/>
  <c r="E14" i="59"/>
  <c r="K75" i="9"/>
  <c r="K6" i="4"/>
  <c r="O76" i="9"/>
  <c r="B22" i="31"/>
  <c r="E21" i="66"/>
  <c r="F21" i="66"/>
  <c r="E22" i="66"/>
  <c r="F22" i="66"/>
  <c r="E23" i="66"/>
  <c r="F23" i="66"/>
  <c r="B3" i="66"/>
  <c r="B10" i="59"/>
  <c r="B9" i="59"/>
  <c r="B8" i="59"/>
  <c r="E10" i="59"/>
  <c r="F10" i="59"/>
  <c r="F9" i="59"/>
  <c r="V10" i="59"/>
  <c r="U10" i="59"/>
  <c r="S10"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Y19" i="59"/>
  <c r="Z19" i="59"/>
  <c r="S2" i="31"/>
  <c r="M2" i="31"/>
  <c r="N2" i="31"/>
  <c r="O2" i="31"/>
  <c r="P2" i="31"/>
  <c r="Q2" i="31"/>
  <c r="R2" i="31"/>
  <c r="C10" i="59"/>
  <c r="C3" i="65"/>
  <c r="C1" i="65"/>
  <c r="N1" i="65"/>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G5" i="54"/>
  <c r="B34" i="63"/>
  <c r="E5" i="54"/>
  <c r="B32" i="63"/>
  <c r="R2" i="54"/>
  <c r="B24" i="63"/>
  <c r="B19" i="63"/>
  <c r="B49" i="50"/>
  <c r="B5" i="63"/>
  <c r="B40" i="50"/>
  <c r="B3" i="63"/>
  <c r="B67" i="63"/>
  <c r="I19" i="46"/>
  <c r="Q14" i="59"/>
  <c r="F14" i="59"/>
  <c r="P14" i="59"/>
  <c r="O14" i="59"/>
  <c r="C14" i="59"/>
  <c r="N14" i="59"/>
  <c r="B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C54" i="59"/>
  <c r="B54" i="59"/>
  <c r="N54" i="59"/>
  <c r="F53" i="59"/>
  <c r="F52" i="59"/>
  <c r="B53" i="59"/>
  <c r="B52" i="59"/>
  <c r="N52" i="59"/>
  <c r="D51" i="59"/>
  <c r="Q50" i="59"/>
  <c r="P50" i="59"/>
  <c r="O50" i="59"/>
  <c r="N50" i="59"/>
  <c r="Q49" i="59"/>
  <c r="P49" i="59"/>
  <c r="O49" i="59"/>
  <c r="N49" i="59"/>
  <c r="Q48" i="59"/>
  <c r="P48" i="59"/>
  <c r="O48" i="59"/>
  <c r="N48" i="59"/>
  <c r="B49" i="59"/>
  <c r="B50" i="59"/>
  <c r="S50" i="59"/>
  <c r="Q47" i="59"/>
  <c r="F48" i="59"/>
  <c r="F49" i="59"/>
  <c r="F50" i="59"/>
  <c r="V50" i="59"/>
  <c r="P47" i="59"/>
  <c r="E48" i="59"/>
  <c r="E49" i="59"/>
  <c r="E50" i="59"/>
  <c r="U50" i="59"/>
  <c r="O47" i="59"/>
  <c r="C48" i="59"/>
  <c r="C49" i="59"/>
  <c r="D49" i="59"/>
  <c r="N47" i="59"/>
  <c r="B48"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B41" i="59"/>
  <c r="B42" i="59"/>
  <c r="S42" i="59"/>
  <c r="Q39" i="59"/>
  <c r="F40" i="59"/>
  <c r="F41" i="59"/>
  <c r="P39" i="59"/>
  <c r="E40" i="59"/>
  <c r="E41" i="59"/>
  <c r="E42" i="59"/>
  <c r="U42" i="59"/>
  <c r="O39" i="59"/>
  <c r="C40" i="59"/>
  <c r="C41" i="59"/>
  <c r="D41" i="59"/>
  <c r="N39" i="59"/>
  <c r="B40" i="59"/>
  <c r="D39" i="59"/>
  <c r="Q38" i="59"/>
  <c r="P38" i="59"/>
  <c r="O38" i="59"/>
  <c r="N38" i="59"/>
  <c r="Q37" i="59"/>
  <c r="P37" i="59"/>
  <c r="O37" i="59"/>
  <c r="N37" i="59"/>
  <c r="Q36" i="59"/>
  <c r="P36" i="59"/>
  <c r="O36" i="59"/>
  <c r="N36" i="59"/>
  <c r="Q35" i="59"/>
  <c r="F36" i="59"/>
  <c r="F37" i="59"/>
  <c r="F38" i="59"/>
  <c r="V38" i="59"/>
  <c r="P35" i="59"/>
  <c r="E36" i="59"/>
  <c r="O35" i="59"/>
  <c r="C36" i="59"/>
  <c r="C37" i="59"/>
  <c r="D37" i="59"/>
  <c r="N35" i="59"/>
  <c r="B36" i="59"/>
  <c r="B37" i="59"/>
  <c r="D35" i="59"/>
  <c r="T34" i="59"/>
  <c r="Q34" i="59"/>
  <c r="P34" i="59"/>
  <c r="O34" i="59"/>
  <c r="N34" i="59"/>
  <c r="D34" i="59"/>
  <c r="Q33" i="59"/>
  <c r="P33" i="59"/>
  <c r="O33" i="59"/>
  <c r="N33" i="59"/>
  <c r="Q32" i="59"/>
  <c r="P32" i="59"/>
  <c r="O32" i="59"/>
  <c r="N32" i="59"/>
  <c r="Q31" i="59"/>
  <c r="F32" i="59"/>
  <c r="P31" i="59"/>
  <c r="E32" i="59"/>
  <c r="E33" i="59"/>
  <c r="E34" i="59"/>
  <c r="U34" i="59"/>
  <c r="O31" i="59"/>
  <c r="C32" i="59"/>
  <c r="C33" i="59"/>
  <c r="D33"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D28" i="59"/>
  <c r="N27" i="59"/>
  <c r="B28" i="59"/>
  <c r="B29" i="59"/>
  <c r="B30" i="59"/>
  <c r="S30" i="59"/>
  <c r="D27" i="59"/>
  <c r="Q26" i="59"/>
  <c r="P26" i="59"/>
  <c r="O26" i="59"/>
  <c r="N26" i="59"/>
  <c r="Q25" i="59"/>
  <c r="AB25" i="59"/>
  <c r="P25" i="59"/>
  <c r="O25" i="59"/>
  <c r="Y25" i="59"/>
  <c r="Z25" i="59"/>
  <c r="N25" i="59"/>
  <c r="X25" i="59"/>
  <c r="Q24" i="59"/>
  <c r="AB24" i="59"/>
  <c r="P24" i="59"/>
  <c r="O24" i="59"/>
  <c r="N24" i="59"/>
  <c r="Q23" i="59"/>
  <c r="P23" i="59"/>
  <c r="O23" i="59"/>
  <c r="C24" i="59"/>
  <c r="D24" i="59"/>
  <c r="N23" i="59"/>
  <c r="B24" i="59"/>
  <c r="B25" i="59"/>
  <c r="B26" i="59"/>
  <c r="S26" i="59"/>
  <c r="D23" i="59"/>
  <c r="Q22" i="59"/>
  <c r="AB22" i="59"/>
  <c r="P22" i="59"/>
  <c r="O22" i="59"/>
  <c r="N22" i="59"/>
  <c r="X22" i="59"/>
  <c r="Q21" i="59"/>
  <c r="P21" i="59"/>
  <c r="AA21" i="59"/>
  <c r="O21" i="59"/>
  <c r="Y21" i="59"/>
  <c r="Z21" i="59"/>
  <c r="N21" i="59"/>
  <c r="X21" i="59"/>
  <c r="Q20" i="59"/>
  <c r="P20" i="59"/>
  <c r="O20" i="59"/>
  <c r="N20" i="59"/>
  <c r="X20" i="59"/>
  <c r="Q19" i="59"/>
  <c r="F20" i="59"/>
  <c r="F21" i="59"/>
  <c r="P19" i="59"/>
  <c r="AA19" i="59"/>
  <c r="E20" i="59"/>
  <c r="E21" i="59"/>
  <c r="E22" i="59"/>
  <c r="U22" i="59"/>
  <c r="O19" i="59"/>
  <c r="C20" i="59"/>
  <c r="C21" i="59"/>
  <c r="D21" i="59"/>
  <c r="N19" i="59"/>
  <c r="D19" i="59"/>
  <c r="Q18" i="59"/>
  <c r="AB18" i="59"/>
  <c r="P18" i="59"/>
  <c r="O18" i="59"/>
  <c r="Y18" i="59"/>
  <c r="Z18" i="59"/>
  <c r="N18" i="59"/>
  <c r="Q17" i="59"/>
  <c r="AB17" i="59"/>
  <c r="P17" i="59"/>
  <c r="O17" i="59"/>
  <c r="Y17" i="59"/>
  <c r="Z17" i="59"/>
  <c r="N17" i="59"/>
  <c r="Q16" i="59"/>
  <c r="AB16" i="59"/>
  <c r="P16" i="59"/>
  <c r="O16" i="59"/>
  <c r="N16" i="59"/>
  <c r="Q15" i="59"/>
  <c r="P15" i="59"/>
  <c r="O15" i="59"/>
  <c r="C16" i="59"/>
  <c r="D16" i="59"/>
  <c r="N15" i="59"/>
  <c r="B16" i="59"/>
  <c r="D15" i="59"/>
  <c r="X12" i="59"/>
  <c r="AA11" i="59"/>
  <c r="Y11" i="59"/>
  <c r="Z11" i="59"/>
  <c r="Y13" i="59"/>
  <c r="Z13" i="59"/>
  <c r="Y3" i="59"/>
  <c r="Z3" i="59"/>
  <c r="AB12" i="59"/>
  <c r="B17" i="59"/>
  <c r="B18" i="59"/>
  <c r="S18" i="59"/>
  <c r="B38" i="59"/>
  <c r="S38" i="59"/>
  <c r="E37" i="59"/>
  <c r="E38" i="59"/>
  <c r="U38" i="59"/>
  <c r="S54" i="59"/>
  <c r="F22" i="59"/>
  <c r="V22" i="59"/>
  <c r="F33" i="59"/>
  <c r="F34" i="59"/>
  <c r="V34" i="59"/>
  <c r="F42" i="59"/>
  <c r="V42" i="59"/>
  <c r="F45" i="59"/>
  <c r="F46" i="59"/>
  <c r="V46" i="59"/>
  <c r="C17" i="59"/>
  <c r="D17" i="59"/>
  <c r="C29" i="59"/>
  <c r="D29" i="59"/>
  <c r="D36" i="59"/>
  <c r="D40" i="59"/>
  <c r="D48" i="59"/>
  <c r="D20" i="59"/>
  <c r="N53" i="59"/>
  <c r="Q53" i="59"/>
  <c r="O54" i="59"/>
  <c r="U54" i="59"/>
  <c r="Q54" i="59"/>
  <c r="C57" i="59"/>
  <c r="C56" i="59"/>
  <c r="D56" i="59"/>
  <c r="E57" i="59"/>
  <c r="E56" i="59"/>
  <c r="D58" i="59"/>
  <c r="C61" i="59"/>
  <c r="D62" i="59"/>
  <c r="C65" i="59"/>
  <c r="D65" i="59"/>
  <c r="E65" i="59"/>
  <c r="E64" i="59"/>
  <c r="D66" i="59"/>
  <c r="C69" i="59"/>
  <c r="C68" i="59"/>
  <c r="C73" i="59"/>
  <c r="U16" i="4"/>
  <c r="S16" i="4"/>
  <c r="Q16" i="4"/>
  <c r="O16" i="4"/>
  <c r="M16" i="4"/>
  <c r="L16" i="4"/>
  <c r="K16" i="4"/>
  <c r="D73" i="59"/>
  <c r="C72" i="59"/>
  <c r="D72" i="59"/>
  <c r="C64" i="59"/>
  <c r="D64" i="59"/>
  <c r="D57" i="59"/>
  <c r="D69" i="59"/>
  <c r="D68" i="59"/>
  <c r="N51" i="59"/>
  <c r="C22" i="59"/>
  <c r="T22" i="59"/>
  <c r="C50" i="59"/>
  <c r="T50" i="59"/>
  <c r="C42" i="59"/>
  <c r="C38" i="59"/>
  <c r="T38" i="59"/>
  <c r="C30" i="59"/>
  <c r="C18" i="59"/>
  <c r="N16" i="4"/>
  <c r="D38" i="59"/>
  <c r="D50" i="59"/>
  <c r="D22" i="59"/>
  <c r="O27" i="6"/>
  <c r="N27" i="6"/>
  <c r="P26" i="6"/>
  <c r="L26" i="6"/>
  <c r="P25" i="6"/>
  <c r="L25" i="6"/>
  <c r="P24" i="6"/>
  <c r="L24" i="6"/>
  <c r="P23" i="6"/>
  <c r="L23" i="6"/>
  <c r="P22" i="6"/>
  <c r="L22" i="6"/>
  <c r="P21" i="6"/>
  <c r="L21" i="6"/>
  <c r="P20" i="6"/>
  <c r="P19" i="6"/>
  <c r="P27" i="6"/>
  <c r="Q18" i="36"/>
  <c r="Z18" i="36"/>
  <c r="C18" i="36"/>
  <c r="D66" i="36"/>
  <c r="E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Z21" i="33"/>
  <c r="Q21" i="33"/>
  <c r="C21" i="33"/>
  <c r="D83" i="33"/>
  <c r="E83" i="33"/>
  <c r="F83" i="33"/>
  <c r="G83" i="33"/>
  <c r="Q21" i="21"/>
  <c r="Z21" i="21"/>
  <c r="D83" i="21"/>
  <c r="E83" i="21"/>
  <c r="F83" i="21"/>
  <c r="G83" i="21"/>
  <c r="F21" i="21"/>
  <c r="AA21" i="21"/>
  <c r="C21" i="21"/>
  <c r="Q27" i="40"/>
  <c r="Z27" i="40"/>
  <c r="D96" i="40"/>
  <c r="E96" i="40"/>
  <c r="F96" i="40"/>
  <c r="F27" i="40"/>
  <c r="AA27" i="40"/>
  <c r="Q31" i="39"/>
  <c r="Z31" i="39"/>
  <c r="D105" i="39"/>
  <c r="E105" i="39"/>
  <c r="F105" i="39"/>
  <c r="G105" i="39"/>
  <c r="F31" i="39"/>
  <c r="AA31" i="39"/>
  <c r="G20" i="20"/>
  <c r="B85" i="46"/>
  <c r="C22" i="20"/>
  <c r="B65" i="46"/>
  <c r="S18" i="36"/>
  <c r="S21" i="37"/>
  <c r="S27" i="40"/>
  <c r="C27" i="40"/>
  <c r="C31" i="39"/>
  <c r="B74" i="4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7" i="1"/>
  <c r="A8" i="1"/>
  <c r="K8" i="1"/>
  <c r="M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7" i="1"/>
  <c r="G7" i="1"/>
  <c r="F9" i="1"/>
  <c r="AP9" i="1"/>
  <c r="F19" i="4"/>
  <c r="F8" i="1"/>
  <c r="AP8" i="1"/>
  <c r="E19" i="4"/>
  <c r="B2" i="52"/>
  <c r="B15"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G16" i="3"/>
  <c r="H17" i="3"/>
  <c r="AC17" i="3"/>
  <c r="G17" i="3"/>
  <c r="H18" i="3"/>
  <c r="AC18" i="3"/>
  <c r="G18" i="3"/>
  <c r="BB18" i="3"/>
  <c r="BC18" i="3"/>
  <c r="BA18" i="3"/>
  <c r="BD18" i="3"/>
  <c r="BE18" i="3"/>
  <c r="BF18" i="3"/>
  <c r="BG18" i="3"/>
  <c r="BH18" i="3"/>
  <c r="BI18" i="3"/>
  <c r="BJ18" i="3"/>
  <c r="BK18" i="3"/>
  <c r="BK5" i="3"/>
  <c r="BM18" i="3"/>
  <c r="BN18" i="3"/>
  <c r="BL18" i="3"/>
  <c r="BO18" i="3"/>
  <c r="BP18" i="3"/>
  <c r="BP5" i="3"/>
  <c r="BR18" i="3"/>
  <c r="BS18" i="3"/>
  <c r="BS5" i="3"/>
  <c r="BT18" i="3"/>
  <c r="H19" i="3"/>
  <c r="G19" i="3"/>
  <c r="AC19" i="3"/>
  <c r="BB19" i="3"/>
  <c r="BC19" i="3"/>
  <c r="BD19" i="3"/>
  <c r="BE19" i="3"/>
  <c r="BF19" i="3"/>
  <c r="BG19" i="3"/>
  <c r="BH19" i="3"/>
  <c r="BI19" i="3"/>
  <c r="BJ19" i="3"/>
  <c r="BK19" i="3"/>
  <c r="BM19" i="3"/>
  <c r="BN19" i="3"/>
  <c r="BL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c r="AZ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D5" i="3"/>
  <c r="BE496" i="3"/>
  <c r="BF496" i="3"/>
  <c r="BG496" i="3"/>
  <c r="BH496" i="3"/>
  <c r="BH5" i="3"/>
  <c r="BI496" i="3"/>
  <c r="BJ496" i="3"/>
  <c r="BJ5" i="3"/>
  <c r="BK496" i="3"/>
  <c r="BM496" i="3"/>
  <c r="BL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c r="BO503" i="3"/>
  <c r="BP503" i="3"/>
  <c r="BQ503" i="3"/>
  <c r="BR503" i="3"/>
  <c r="BS503" i="3"/>
  <c r="BT503" i="3"/>
  <c r="H504" i="3"/>
  <c r="G504" i="3"/>
  <c r="AC504" i="3"/>
  <c r="BB504" i="3"/>
  <c r="BA504" i="3"/>
  <c r="AZ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BB519" i="3"/>
  <c r="BC519" i="3"/>
  <c r="BA519" i="3"/>
  <c r="BD519" i="3"/>
  <c r="BE519" i="3"/>
  <c r="BF519" i="3"/>
  <c r="BG519" i="3"/>
  <c r="BH519" i="3"/>
  <c r="BI519" i="3"/>
  <c r="BJ519" i="3"/>
  <c r="BK519" i="3"/>
  <c r="BM519" i="3"/>
  <c r="BN519" i="3"/>
  <c r="BO519" i="3"/>
  <c r="BP519" i="3"/>
  <c r="BQ519" i="3"/>
  <c r="BR519" i="3"/>
  <c r="BS519" i="3"/>
  <c r="BT519" i="3"/>
  <c r="H520" i="3"/>
  <c r="G520" i="3"/>
  <c r="AC520" i="3"/>
  <c r="BB520" i="3"/>
  <c r="BA520" i="3"/>
  <c r="BC520" i="3"/>
  <c r="BD520" i="3"/>
  <c r="BE520" i="3"/>
  <c r="BF520" i="3"/>
  <c r="BG520" i="3"/>
  <c r="BH520" i="3"/>
  <c r="BI520" i="3"/>
  <c r="BJ520" i="3"/>
  <c r="BK520" i="3"/>
  <c r="BM520" i="3"/>
  <c r="BN520" i="3"/>
  <c r="BO520" i="3"/>
  <c r="BP520" i="3"/>
  <c r="BR520" i="3"/>
  <c r="BS520" i="3"/>
  <c r="BT520" i="3"/>
  <c r="H521" i="3"/>
  <c r="AC521" i="3"/>
  <c r="G521" i="3"/>
  <c r="BB521" i="3"/>
  <c r="BC521" i="3"/>
  <c r="BA521" i="3"/>
  <c r="BD521" i="3"/>
  <c r="BE521" i="3"/>
  <c r="BF521" i="3"/>
  <c r="BG521" i="3"/>
  <c r="BH521" i="3"/>
  <c r="BI521" i="3"/>
  <c r="BJ521" i="3"/>
  <c r="BK521" i="3"/>
  <c r="BM521" i="3"/>
  <c r="BN521" i="3"/>
  <c r="BL521" i="3"/>
  <c r="BO521" i="3"/>
  <c r="BP521" i="3"/>
  <c r="BQ521" i="3"/>
  <c r="BR521" i="3"/>
  <c r="BS521" i="3"/>
  <c r="BT521" i="3"/>
  <c r="H522" i="3"/>
  <c r="AC522" i="3"/>
  <c r="G522" i="3"/>
  <c r="BB522" i="3"/>
  <c r="BC522" i="3"/>
  <c r="BA522" i="3"/>
  <c r="AZ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c r="AZ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c r="AZ528" i="3"/>
  <c r="BN528" i="3"/>
  <c r="BO528" i="3"/>
  <c r="BP528" i="3"/>
  <c r="BR528" i="3"/>
  <c r="BS528" i="3"/>
  <c r="BT528" i="3"/>
  <c r="H529" i="3"/>
  <c r="AC529" i="3"/>
  <c r="G529" i="3"/>
  <c r="BB529" i="3"/>
  <c r="BC529" i="3"/>
  <c r="BD529" i="3"/>
  <c r="BE529" i="3"/>
  <c r="BF529" i="3"/>
  <c r="BG529" i="3"/>
  <c r="BH529" i="3"/>
  <c r="BI529" i="3"/>
  <c r="BJ529" i="3"/>
  <c r="BK529" i="3"/>
  <c r="BM529" i="3"/>
  <c r="BN529" i="3"/>
  <c r="BL529" i="3"/>
  <c r="AZ529" i="3"/>
  <c r="BO529" i="3"/>
  <c r="BP529" i="3"/>
  <c r="BQ529" i="3"/>
  <c r="BR529" i="3"/>
  <c r="BS529" i="3"/>
  <c r="BT529" i="3"/>
  <c r="H530" i="3"/>
  <c r="AC530" i="3"/>
  <c r="G530" i="3"/>
  <c r="BB530" i="3"/>
  <c r="BC530" i="3"/>
  <c r="BD530" i="3"/>
  <c r="BE530" i="3"/>
  <c r="BF530" i="3"/>
  <c r="BG530" i="3"/>
  <c r="BH530" i="3"/>
  <c r="BI530" i="3"/>
  <c r="BJ530" i="3"/>
  <c r="BK530" i="3"/>
  <c r="BM530" i="3"/>
  <c r="BN530" i="3"/>
  <c r="BL530" i="3"/>
  <c r="BO530" i="3"/>
  <c r="BP530" i="3"/>
  <c r="BR530" i="3"/>
  <c r="BS530" i="3"/>
  <c r="BT530" i="3"/>
  <c r="H531" i="3"/>
  <c r="G531" i="3"/>
  <c r="AC531" i="3"/>
  <c r="BB531" i="3"/>
  <c r="BC531" i="3"/>
  <c r="BD531" i="3"/>
  <c r="BE531" i="3"/>
  <c r="BF531" i="3"/>
  <c r="BG531" i="3"/>
  <c r="BH531" i="3"/>
  <c r="BI531" i="3"/>
  <c r="BJ531" i="3"/>
  <c r="BK531" i="3"/>
  <c r="BM531" i="3"/>
  <c r="BN531" i="3"/>
  <c r="BL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A533" i="3"/>
  <c r="BC533" i="3"/>
  <c r="BD533" i="3"/>
  <c r="BE533" i="3"/>
  <c r="BF533" i="3"/>
  <c r="BG533" i="3"/>
  <c r="BH533" i="3"/>
  <c r="BI533" i="3"/>
  <c r="BJ533" i="3"/>
  <c r="BK533" i="3"/>
  <c r="BM533" i="3"/>
  <c r="BN533" i="3"/>
  <c r="BO533" i="3"/>
  <c r="BP533" i="3"/>
  <c r="BQ533" i="3"/>
  <c r="BR533" i="3"/>
  <c r="BS533" i="3"/>
  <c r="BT533" i="3"/>
  <c r="H534" i="3"/>
  <c r="AC534" i="3"/>
  <c r="BB534" i="3"/>
  <c r="BA534" i="3"/>
  <c r="AZ534" i="3"/>
  <c r="BC534" i="3"/>
  <c r="BD534" i="3"/>
  <c r="BE534" i="3"/>
  <c r="BF534" i="3"/>
  <c r="BG534" i="3"/>
  <c r="BH534" i="3"/>
  <c r="BI534" i="3"/>
  <c r="BJ534" i="3"/>
  <c r="BK534" i="3"/>
  <c r="BM534" i="3"/>
  <c r="BN534" i="3"/>
  <c r="BO534" i="3"/>
  <c r="BP534" i="3"/>
  <c r="BR534" i="3"/>
  <c r="BS534" i="3"/>
  <c r="BT534" i="3"/>
  <c r="H535" i="3"/>
  <c r="G535" i="3"/>
  <c r="AC535" i="3"/>
  <c r="BB535" i="3"/>
  <c r="BA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A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L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A548" i="3"/>
  <c r="AZ548" i="3"/>
  <c r="BD548" i="3"/>
  <c r="BE548" i="3"/>
  <c r="BF548" i="3"/>
  <c r="BG548" i="3"/>
  <c r="BH548" i="3"/>
  <c r="BI548" i="3"/>
  <c r="BJ548" i="3"/>
  <c r="BK548" i="3"/>
  <c r="BM548" i="3"/>
  <c r="BN548" i="3"/>
  <c r="BO548" i="3"/>
  <c r="BP548" i="3"/>
  <c r="BR548" i="3"/>
  <c r="BS548" i="3"/>
  <c r="BT548" i="3"/>
  <c r="H549" i="3"/>
  <c r="G549" i="3"/>
  <c r="AC549" i="3"/>
  <c r="BB549" i="3"/>
  <c r="BA549" i="3"/>
  <c r="AZ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L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AC558" i="3"/>
  <c r="BB558" i="3"/>
  <c r="BA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G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c r="BB565" i="3"/>
  <c r="BC565" i="3"/>
  <c r="BD565" i="3"/>
  <c r="BE565" i="3"/>
  <c r="BF565" i="3"/>
  <c r="BG565" i="3"/>
  <c r="BH565" i="3"/>
  <c r="BI565" i="3"/>
  <c r="BJ565" i="3"/>
  <c r="BK565" i="3"/>
  <c r="BM565" i="3"/>
  <c r="BN565" i="3"/>
  <c r="BO565" i="3"/>
  <c r="BP565" i="3"/>
  <c r="BQ565" i="3"/>
  <c r="BR565" i="3"/>
  <c r="BS565" i="3"/>
  <c r="BT565" i="3"/>
  <c r="H566" i="3"/>
  <c r="AC566" i="3"/>
  <c r="G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A568" i="3"/>
  <c r="AZ568" i="3"/>
  <c r="BC568" i="3"/>
  <c r="BD568" i="3"/>
  <c r="BE568" i="3"/>
  <c r="BF568" i="3"/>
  <c r="BG568" i="3"/>
  <c r="BH568" i="3"/>
  <c r="BI568" i="3"/>
  <c r="BJ568" i="3"/>
  <c r="BK568" i="3"/>
  <c r="BM568" i="3"/>
  <c r="BN568" i="3"/>
  <c r="BO568" i="3"/>
  <c r="BP568" i="3"/>
  <c r="BR568" i="3"/>
  <c r="BS568" i="3"/>
  <c r="BT568" i="3"/>
  <c r="H569" i="3"/>
  <c r="G569" i="3"/>
  <c r="AC569" i="3"/>
  <c r="BB569" i="3"/>
  <c r="BA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S37" i="39"/>
  <c r="B114" i="39"/>
  <c r="F38" i="39"/>
  <c r="AA38" i="39"/>
  <c r="J30" i="36"/>
  <c r="H30" i="36"/>
  <c r="U30" i="36"/>
  <c r="F30" i="36"/>
  <c r="AA30" i="36"/>
  <c r="C26" i="35"/>
  <c r="C79" i="35"/>
  <c r="J31" i="35"/>
  <c r="AC31" i="35"/>
  <c r="H31" i="35"/>
  <c r="U31" i="35"/>
  <c r="F31" i="35"/>
  <c r="S31" i="35"/>
  <c r="D87" i="35"/>
  <c r="E87" i="35"/>
  <c r="F87" i="35"/>
  <c r="H34" i="37"/>
  <c r="D101" i="37"/>
  <c r="F34" i="37"/>
  <c r="D99" i="37"/>
  <c r="E99" i="37"/>
  <c r="H42" i="34"/>
  <c r="J42" i="34"/>
  <c r="F42" i="34"/>
  <c r="S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D90" i="40"/>
  <c r="H21" i="40"/>
  <c r="AB21" i="40"/>
  <c r="D88" i="40"/>
  <c r="E88" i="40"/>
  <c r="D86" i="40"/>
  <c r="E86" i="40"/>
  <c r="F86" i="40"/>
  <c r="G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E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J23" i="36"/>
  <c r="D70" i="36"/>
  <c r="H22" i="36"/>
  <c r="D68" i="36"/>
  <c r="E68" i="36"/>
  <c r="D64" i="36"/>
  <c r="E64" i="36"/>
  <c r="F64" i="36"/>
  <c r="G64" i="36"/>
  <c r="J16" i="36"/>
  <c r="W16" i="36"/>
  <c r="D62" i="36"/>
  <c r="E62" i="36"/>
  <c r="B59" i="36"/>
  <c r="B57"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B73" i="35"/>
  <c r="B57" i="35"/>
  <c r="H11" i="35"/>
  <c r="B61" i="35"/>
  <c r="B59" i="35"/>
  <c r="H12" i="35"/>
  <c r="U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c r="Q29" i="35"/>
  <c r="Z29" i="35"/>
  <c r="Q28" i="35"/>
  <c r="Z28" i="35"/>
  <c r="J28" i="35"/>
  <c r="AC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H42" i="21"/>
  <c r="AB42" i="21"/>
  <c r="D119" i="21"/>
  <c r="D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F66" i="21"/>
  <c r="D111" i="21"/>
  <c r="E111" i="21"/>
  <c r="F111" i="21"/>
  <c r="C111" i="21"/>
  <c r="D79" i="21"/>
  <c r="E79" i="21"/>
  <c r="F79" i="21"/>
  <c r="G79" i="21"/>
  <c r="D85" i="21"/>
  <c r="E85" i="21"/>
  <c r="F85" i="21"/>
  <c r="G85" i="21"/>
  <c r="D81" i="21"/>
  <c r="E81" i="21"/>
  <c r="F81" i="21"/>
  <c r="G81" i="21"/>
  <c r="D77" i="21"/>
  <c r="E77" i="21"/>
  <c r="F77" i="21"/>
  <c r="G77" i="21"/>
  <c r="B130" i="21"/>
  <c r="H46" i="21"/>
  <c r="B128" i="21"/>
  <c r="B126" i="21"/>
  <c r="H44" i="21"/>
  <c r="B98" i="21"/>
  <c r="B96" i="21"/>
  <c r="B94" i="21"/>
  <c r="B92" i="21"/>
  <c r="J28" i="21"/>
  <c r="AC28" i="21"/>
  <c r="B90" i="21"/>
  <c r="B74" i="21"/>
  <c r="J14" i="21"/>
  <c r="W1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F9" i="12"/>
  <c r="E9" i="12"/>
  <c r="G9" i="12"/>
  <c r="J5" i="3"/>
  <c r="BE10" i="3"/>
  <c r="BD13" i="3"/>
  <c r="BE13" i="3"/>
  <c r="BF13" i="3"/>
  <c r="BG13" i="3"/>
  <c r="BH13" i="3"/>
  <c r="BI13" i="3"/>
  <c r="BJ13" i="3"/>
  <c r="BK13" i="3"/>
  <c r="BN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F34" i="21"/>
  <c r="AA34" i="21"/>
  <c r="H34" i="21"/>
  <c r="U34" i="21"/>
  <c r="H38" i="21"/>
  <c r="AB38" i="21"/>
  <c r="F32" i="21"/>
  <c r="AA32" i="21"/>
  <c r="F38" i="21"/>
  <c r="S38" i="21"/>
  <c r="F36" i="21"/>
  <c r="S36" i="21"/>
  <c r="J40" i="21"/>
  <c r="W40" i="21"/>
  <c r="J8" i="21"/>
  <c r="AC8" i="21"/>
  <c r="J9" i="21"/>
  <c r="AC9" i="21"/>
  <c r="H8" i="21"/>
  <c r="AB8" i="21"/>
  <c r="H9" i="21"/>
  <c r="AB9" i="21"/>
  <c r="H39" i="21"/>
  <c r="AB39" i="21"/>
  <c r="J34" i="21"/>
  <c r="W34" i="21"/>
  <c r="H36" i="21"/>
  <c r="U36" i="21"/>
  <c r="H26" i="21"/>
  <c r="F19" i="21"/>
  <c r="AA19" i="21"/>
  <c r="H19" i="21"/>
  <c r="AB19" i="21"/>
  <c r="J19" i="21"/>
  <c r="W19" i="21"/>
  <c r="J26" i="21"/>
  <c r="W26" i="21"/>
  <c r="F26" i="21"/>
  <c r="AA26" i="21"/>
  <c r="AB41" i="21"/>
  <c r="S41" i="21"/>
  <c r="AA41" i="21"/>
  <c r="S10" i="39"/>
  <c r="U30" i="37"/>
  <c r="E103" i="37"/>
  <c r="F103" i="37"/>
  <c r="F39" i="37"/>
  <c r="W39" i="37"/>
  <c r="F29" i="36"/>
  <c r="AA29" i="36"/>
  <c r="F16" i="36"/>
  <c r="AA16" i="36"/>
  <c r="AC31" i="36"/>
  <c r="J33" i="36"/>
  <c r="W33" i="36"/>
  <c r="AC27" i="35"/>
  <c r="W36" i="35"/>
  <c r="W31" i="35"/>
  <c r="F36" i="34"/>
  <c r="S36" i="34"/>
  <c r="W9" i="34"/>
  <c r="W39" i="34"/>
  <c r="H39" i="33"/>
  <c r="AB39" i="33"/>
  <c r="F26" i="33"/>
  <c r="AA26" i="33"/>
  <c r="U33" i="33"/>
  <c r="S40" i="33"/>
  <c r="W8" i="21"/>
  <c r="H39" i="37"/>
  <c r="AB39" i="37"/>
  <c r="AB27" i="35"/>
  <c r="S10" i="40"/>
  <c r="W10" i="40"/>
  <c r="S11" i="40"/>
  <c r="U11" i="40"/>
  <c r="S36" i="40"/>
  <c r="U36" i="40"/>
  <c r="S40" i="39"/>
  <c r="S36" i="39"/>
  <c r="C29" i="39"/>
  <c r="C23" i="39"/>
  <c r="U36" i="39"/>
  <c r="S42" i="39"/>
  <c r="H32" i="33"/>
  <c r="AB32" i="33"/>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F35" i="37"/>
  <c r="E101" i="37"/>
  <c r="F101" i="37"/>
  <c r="G101" i="37"/>
  <c r="H101" i="37"/>
  <c r="I101" i="37"/>
  <c r="J101" i="37"/>
  <c r="K101" i="37"/>
  <c r="L101" i="37"/>
  <c r="M101" i="37"/>
  <c r="J34" i="37"/>
  <c r="W34" i="37"/>
  <c r="H43" i="34"/>
  <c r="U43" i="34"/>
  <c r="H36" i="34"/>
  <c r="U36" i="34"/>
  <c r="F37" i="34"/>
  <c r="AA37" i="34"/>
  <c r="F33" i="34"/>
  <c r="S33" i="34"/>
  <c r="F19" i="34"/>
  <c r="AA19" i="34"/>
  <c r="J10" i="34"/>
  <c r="AC10" i="34"/>
  <c r="U9" i="34"/>
  <c r="W8" i="34"/>
  <c r="J28" i="34"/>
  <c r="S38" i="33"/>
  <c r="E113" i="33"/>
  <c r="F36" i="33"/>
  <c r="S36" i="33"/>
  <c r="F19" i="33"/>
  <c r="S19" i="33"/>
  <c r="J19" i="33"/>
  <c r="AB30" i="36"/>
  <c r="AC34" i="36"/>
  <c r="S34" i="37"/>
  <c r="AA34" i="37"/>
  <c r="AC43" i="34"/>
  <c r="AB40" i="34"/>
  <c r="J19" i="34"/>
  <c r="AC19" i="34"/>
  <c r="F113" i="33"/>
  <c r="G113" i="33"/>
  <c r="H113" i="33"/>
  <c r="I113" i="33"/>
  <c r="J113" i="33"/>
  <c r="K113" i="33"/>
  <c r="L113" i="33"/>
  <c r="M113" i="33"/>
  <c r="H37" i="33"/>
  <c r="AB37" i="33"/>
  <c r="S37" i="33"/>
  <c r="W43" i="34"/>
  <c r="AC42" i="34"/>
  <c r="W42" i="34"/>
  <c r="AC38" i="34"/>
  <c r="W38" i="34"/>
  <c r="AA38" i="34"/>
  <c r="S38" i="34"/>
  <c r="J37" i="33"/>
  <c r="W37" i="33"/>
  <c r="J42" i="21"/>
  <c r="AC42" i="21"/>
  <c r="J44" i="34"/>
  <c r="AC44" i="34"/>
  <c r="F44" i="34"/>
  <c r="S44" i="34"/>
  <c r="J10" i="35"/>
  <c r="W10" i="35"/>
  <c r="H14" i="21"/>
  <c r="U14" i="21"/>
  <c r="F44" i="21"/>
  <c r="AA44"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J29" i="37"/>
  <c r="W29" i="37"/>
  <c r="F29" i="37"/>
  <c r="AA29" i="37"/>
  <c r="F105" i="37"/>
  <c r="G105"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F30" i="33"/>
  <c r="S30" i="33"/>
  <c r="J30" i="33"/>
  <c r="AC30" i="33"/>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31" i="21"/>
  <c r="AC14" i="21"/>
  <c r="AC13" i="36"/>
  <c r="AB31" i="33"/>
  <c r="AC28" i="33"/>
  <c r="S19" i="21"/>
  <c r="G517" i="3"/>
  <c r="G508" i="3"/>
  <c r="G493" i="3"/>
  <c r="G561" i="3"/>
  <c r="G539" i="3"/>
  <c r="BL557" i="3"/>
  <c r="BL527" i="3"/>
  <c r="BL491" i="3"/>
  <c r="BL559" i="3"/>
  <c r="BL541" i="3"/>
  <c r="BL525" i="3"/>
  <c r="G514" i="3"/>
  <c r="BL485" i="3"/>
  <c r="BA561" i="3"/>
  <c r="BA559" i="3"/>
  <c r="BA505" i="3"/>
  <c r="AZ505" i="3"/>
  <c r="BA493" i="3"/>
  <c r="BA487" i="3"/>
  <c r="AZ487" i="3"/>
  <c r="BA562" i="3"/>
  <c r="BA554" i="3"/>
  <c r="AZ554" i="3"/>
  <c r="BA544" i="3"/>
  <c r="BA536" i="3"/>
  <c r="BA528" i="3"/>
  <c r="BA516" i="3"/>
  <c r="BA508" i="3"/>
  <c r="BA492" i="3"/>
  <c r="BA488" i="3"/>
  <c r="G562" i="3"/>
  <c r="G558" i="3"/>
  <c r="G546" i="3"/>
  <c r="AC542" i="3"/>
  <c r="BQ542" i="3"/>
  <c r="BQ568" i="3"/>
  <c r="BQ566" i="3"/>
  <c r="BQ564" i="3"/>
  <c r="BL564" i="3"/>
  <c r="BQ562" i="3"/>
  <c r="BL562" i="3"/>
  <c r="BQ560" i="3"/>
  <c r="BQ558" i="3"/>
  <c r="BQ556" i="3"/>
  <c r="BQ554" i="3"/>
  <c r="BQ552" i="3"/>
  <c r="BQ550" i="3"/>
  <c r="BQ548" i="3"/>
  <c r="BQ546" i="3"/>
  <c r="BL546" i="3"/>
  <c r="BQ544" i="3"/>
  <c r="BL544" i="3"/>
  <c r="G534" i="3"/>
  <c r="G526" i="3"/>
  <c r="BQ540" i="3"/>
  <c r="BQ538" i="3"/>
  <c r="BQ536" i="3"/>
  <c r="BL536" i="3"/>
  <c r="AZ536" i="3"/>
  <c r="BQ534" i="3"/>
  <c r="BL534" i="3"/>
  <c r="BQ532" i="3"/>
  <c r="BL532" i="3"/>
  <c r="BQ530" i="3"/>
  <c r="BQ528" i="3"/>
  <c r="BQ526" i="3"/>
  <c r="BL526" i="3"/>
  <c r="BQ524" i="3"/>
  <c r="BL524" i="3"/>
  <c r="BQ522" i="3"/>
  <c r="BQ520" i="3"/>
  <c r="BQ518" i="3"/>
  <c r="BQ516" i="3"/>
  <c r="BL516" i="3"/>
  <c r="BQ514" i="3"/>
  <c r="BL514" i="3"/>
  <c r="BQ512" i="3"/>
  <c r="BQ510" i="3"/>
  <c r="BQ508" i="3"/>
  <c r="AC506" i="3"/>
  <c r="BQ506" i="3"/>
  <c r="BL506" i="3"/>
  <c r="G498" i="3"/>
  <c r="BQ504" i="3"/>
  <c r="BQ502" i="3"/>
  <c r="BQ500" i="3"/>
  <c r="BQ498" i="3"/>
  <c r="BQ496" i="3"/>
  <c r="AC494" i="3"/>
  <c r="BQ494" i="3"/>
  <c r="BL493" i="3"/>
  <c r="G488"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G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F17" i="37"/>
  <c r="AA17" i="37"/>
  <c r="AB43" i="33"/>
  <c r="AC33" i="36"/>
  <c r="W23" i="35"/>
  <c r="U39" i="37"/>
  <c r="AC8" i="37"/>
  <c r="AC36" i="34"/>
  <c r="AB8" i="34"/>
  <c r="AC37" i="33"/>
  <c r="AA13" i="33"/>
  <c r="AC45" i="33"/>
  <c r="F43" i="33"/>
  <c r="AA43" i="33"/>
  <c r="AA23" i="37"/>
  <c r="AA9" i="21"/>
  <c r="H19" i="34"/>
  <c r="AB19" i="34"/>
  <c r="J10" i="37"/>
  <c r="W10" i="37"/>
  <c r="F36" i="35"/>
  <c r="S36" i="35"/>
  <c r="J9" i="37"/>
  <c r="W9" i="37"/>
  <c r="H9" i="37"/>
  <c r="U9" i="37"/>
  <c r="F9" i="37"/>
  <c r="S9" i="37"/>
  <c r="F11" i="37"/>
  <c r="S11" i="37"/>
  <c r="J12" i="37"/>
  <c r="AC12" i="37"/>
  <c r="H12" i="37"/>
  <c r="AB12" i="37"/>
  <c r="F12" i="37"/>
  <c r="AA12" i="37"/>
  <c r="H15" i="37"/>
  <c r="U15" i="37"/>
  <c r="F31" i="37"/>
  <c r="S31" i="37"/>
  <c r="H31" i="37"/>
  <c r="AB31" i="37"/>
  <c r="J15" i="37"/>
  <c r="W15" i="37"/>
  <c r="U12" i="37"/>
  <c r="AB10" i="37"/>
  <c r="J11" i="37"/>
  <c r="W11" i="37"/>
  <c r="U31" i="37"/>
  <c r="E90" i="40"/>
  <c r="F21" i="40"/>
  <c r="S21" i="40"/>
  <c r="W36" i="40"/>
  <c r="U40" i="39"/>
  <c r="F90" i="40"/>
  <c r="G90" i="40"/>
  <c r="J21" i="40"/>
  <c r="AC21" i="40"/>
  <c r="S27" i="31"/>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AZ358" i="3"/>
  <c r="BA359" i="3"/>
  <c r="BL359" i="3"/>
  <c r="AZ359" i="3"/>
  <c r="G360" i="3"/>
  <c r="G361" i="3"/>
  <c r="BL362" i="3"/>
  <c r="BA364" i="3"/>
  <c r="AZ364" i="3"/>
  <c r="BA365" i="3"/>
  <c r="AZ365" i="3"/>
  <c r="BL365" i="3"/>
  <c r="G366" i="3"/>
  <c r="G369" i="3"/>
  <c r="BL370" i="3"/>
  <c r="BA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R16" i="4"/>
  <c r="P16" i="4"/>
  <c r="G4" i="4"/>
  <c r="S37" i="34"/>
  <c r="J16" i="35"/>
  <c r="W16" i="35"/>
  <c r="W25" i="35"/>
  <c r="AZ354" i="3"/>
  <c r="AZ322" i="3"/>
  <c r="H13" i="39"/>
  <c r="AB13" i="39"/>
  <c r="F13" i="39"/>
  <c r="J13" i="39"/>
  <c r="AC13" i="39"/>
  <c r="AA36" i="35"/>
  <c r="H11" i="37"/>
  <c r="AB11" i="37"/>
  <c r="W37" i="37"/>
  <c r="AA30" i="33"/>
  <c r="AA36" i="37"/>
  <c r="S42" i="33"/>
  <c r="U32" i="33"/>
  <c r="AZ516" i="3"/>
  <c r="AC29" i="33"/>
  <c r="AA45" i="33"/>
  <c r="AC11" i="36"/>
  <c r="AC10" i="36"/>
  <c r="AC14" i="37"/>
  <c r="AB35" i="35"/>
  <c r="S25" i="35"/>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c r="F96" i="37"/>
  <c r="H32" i="37"/>
  <c r="AB32" i="37"/>
  <c r="F99" i="37"/>
  <c r="U25" i="35"/>
  <c r="AC40" i="37"/>
  <c r="W40" i="37"/>
  <c r="S28" i="33"/>
  <c r="AA44" i="34"/>
  <c r="AC19" i="33"/>
  <c r="W19" i="33"/>
  <c r="AB43" i="34"/>
  <c r="AC34" i="37"/>
  <c r="S35" i="37"/>
  <c r="AA35" i="37"/>
  <c r="BA571" i="3"/>
  <c r="BL570" i="3"/>
  <c r="BE5" i="3"/>
  <c r="F42" i="21"/>
  <c r="AA42" i="21"/>
  <c r="AB40" i="33"/>
  <c r="U40" i="33"/>
  <c r="AA35" i="34"/>
  <c r="S35" i="34"/>
  <c r="E90" i="34"/>
  <c r="H27" i="34"/>
  <c r="AB27" i="34"/>
  <c r="AB8" i="35"/>
  <c r="U8" i="35"/>
  <c r="J14" i="35"/>
  <c r="AC14" i="35"/>
  <c r="F14" i="35"/>
  <c r="S14" i="35"/>
  <c r="H14" i="35"/>
  <c r="U14" i="35"/>
  <c r="E80" i="35"/>
  <c r="E94" i="35"/>
  <c r="F94" i="35"/>
  <c r="G94" i="35"/>
  <c r="H94" i="35"/>
  <c r="I94" i="35"/>
  <c r="J94" i="35"/>
  <c r="K94" i="35"/>
  <c r="L94" i="35"/>
  <c r="M94" i="35"/>
  <c r="J32" i="35"/>
  <c r="AC32" i="35"/>
  <c r="H11" i="36"/>
  <c r="AB11" i="36"/>
  <c r="F11" i="36"/>
  <c r="S11"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AB14" i="37"/>
  <c r="F44" i="39"/>
  <c r="S44" i="39"/>
  <c r="H44" i="39"/>
  <c r="U44" i="39"/>
  <c r="J44" i="39"/>
  <c r="AC44" i="39"/>
  <c r="E128" i="39"/>
  <c r="F128" i="39"/>
  <c r="G128" i="39"/>
  <c r="H128" i="39"/>
  <c r="I128" i="39"/>
  <c r="J128" i="39"/>
  <c r="K128" i="39"/>
  <c r="L128" i="39"/>
  <c r="M128" i="39"/>
  <c r="F46" i="39"/>
  <c r="S46" i="39"/>
  <c r="H46" i="39"/>
  <c r="U46" i="39"/>
  <c r="J46" i="39"/>
  <c r="W46" i="39"/>
  <c r="F39" i="39"/>
  <c r="AA39" i="39"/>
  <c r="H39" i="39"/>
  <c r="AB39" i="39"/>
  <c r="J39" i="39"/>
  <c r="AC39" i="39"/>
  <c r="W30" i="36"/>
  <c r="AC30" i="36"/>
  <c r="H37" i="39"/>
  <c r="U37" i="39"/>
  <c r="BL568" i="3"/>
  <c r="BL567" i="3"/>
  <c r="BA567" i="3"/>
  <c r="AZ567" i="3"/>
  <c r="BL566" i="3"/>
  <c r="BL565" i="3"/>
  <c r="BA564" i="3"/>
  <c r="AZ564" i="3"/>
  <c r="BA563" i="3"/>
  <c r="BL554" i="3"/>
  <c r="BA553" i="3"/>
  <c r="AZ553" i="3"/>
  <c r="BA552" i="3"/>
  <c r="BL549" i="3"/>
  <c r="BL548" i="3"/>
  <c r="BL547" i="3"/>
  <c r="AZ547" i="3"/>
  <c r="BA547" i="3"/>
  <c r="BL539" i="3"/>
  <c r="BA539" i="3"/>
  <c r="AZ539" i="3"/>
  <c r="BA538" i="3"/>
  <c r="BL537" i="3"/>
  <c r="BA537" i="3"/>
  <c r="BA530" i="3"/>
  <c r="AZ530" i="3"/>
  <c r="BA529" i="3"/>
  <c r="BA526" i="3"/>
  <c r="AZ526" i="3"/>
  <c r="BA525" i="3"/>
  <c r="AZ525" i="3"/>
  <c r="BA523" i="3"/>
  <c r="AZ523" i="3"/>
  <c r="BL522" i="3"/>
  <c r="BL518" i="3"/>
  <c r="BA518" i="3"/>
  <c r="AZ518" i="3"/>
  <c r="BL517" i="3"/>
  <c r="BA517" i="3"/>
  <c r="AZ517" i="3"/>
  <c r="BL515" i="3"/>
  <c r="BA515" i="3"/>
  <c r="AZ515" i="3"/>
  <c r="BA514" i="3"/>
  <c r="AZ514" i="3"/>
  <c r="BL513" i="3"/>
  <c r="BA513" i="3"/>
  <c r="AZ513" i="3"/>
  <c r="BL512" i="3"/>
  <c r="BA511" i="3"/>
  <c r="AZ511" i="3"/>
  <c r="BA510" i="3"/>
  <c r="BL509" i="3"/>
  <c r="BL507" i="3"/>
  <c r="AZ507" i="3"/>
  <c r="BA507" i="3"/>
  <c r="BA506" i="3"/>
  <c r="BL505" i="3"/>
  <c r="BL504" i="3"/>
  <c r="BA503" i="3"/>
  <c r="AZ503" i="3"/>
  <c r="BA500" i="3"/>
  <c r="BL499" i="3"/>
  <c r="BA499" i="3"/>
  <c r="AZ499" i="3"/>
  <c r="BL498" i="3"/>
  <c r="BL497" i="3"/>
  <c r="BA497" i="3"/>
  <c r="AZ497" i="3"/>
  <c r="BA496" i="3"/>
  <c r="AZ496" i="3"/>
  <c r="BA495" i="3"/>
  <c r="BL494" i="3"/>
  <c r="BA494" i="3"/>
  <c r="AZ494" i="3"/>
  <c r="G494" i="3"/>
  <c r="BA491" i="3"/>
  <c r="AZ491" i="3"/>
  <c r="BL490" i="3"/>
  <c r="AZ490" i="3"/>
  <c r="BA490" i="3"/>
  <c r="BL489" i="3"/>
  <c r="BA489" i="3"/>
  <c r="AZ489" i="3"/>
  <c r="BL487" i="3"/>
  <c r="BL486" i="3"/>
  <c r="BA485" i="3"/>
  <c r="AZ485" i="3"/>
  <c r="BA483" i="3"/>
  <c r="BA482" i="3"/>
  <c r="AZ482" i="3"/>
  <c r="BL481" i="3"/>
  <c r="BA481" i="3"/>
  <c r="AZ481" i="3"/>
  <c r="F36" i="44"/>
  <c r="H38" i="34"/>
  <c r="U38" i="34"/>
  <c r="H30" i="40"/>
  <c r="AB30" i="40"/>
  <c r="J30" i="40"/>
  <c r="AC30" i="40"/>
  <c r="F38" i="40"/>
  <c r="AA38" i="40"/>
  <c r="AA36" i="34"/>
  <c r="AB8" i="33"/>
  <c r="U8" i="33"/>
  <c r="E106" i="33"/>
  <c r="H34" i="33"/>
  <c r="U34" i="33"/>
  <c r="F34" i="33"/>
  <c r="S34" i="33"/>
  <c r="E121" i="33"/>
  <c r="F41" i="33"/>
  <c r="S41" i="33"/>
  <c r="AC34" i="34"/>
  <c r="W34" i="34"/>
  <c r="AA39" i="34"/>
  <c r="S39" i="34"/>
  <c r="S43" i="34"/>
  <c r="E78" i="34"/>
  <c r="F15" i="34"/>
  <c r="AA15" i="34"/>
  <c r="W28" i="35"/>
  <c r="J20" i="35"/>
  <c r="AC20" i="35"/>
  <c r="E72" i="35"/>
  <c r="F72" i="35"/>
  <c r="G72" i="35"/>
  <c r="H22" i="35"/>
  <c r="AB22" i="35"/>
  <c r="H23" i="35"/>
  <c r="U23" i="35"/>
  <c r="F23" i="35"/>
  <c r="AA23" i="35"/>
  <c r="AB36" i="35"/>
  <c r="U36" i="35"/>
  <c r="U31" i="36"/>
  <c r="S8" i="37"/>
  <c r="AA8" i="37"/>
  <c r="F14" i="39"/>
  <c r="AA14" i="39"/>
  <c r="H14" i="39"/>
  <c r="AB14" i="39"/>
  <c r="J14" i="39"/>
  <c r="AC14" i="39"/>
  <c r="F16" i="39"/>
  <c r="AA16" i="39"/>
  <c r="H16" i="39"/>
  <c r="U16" i="39"/>
  <c r="J16" i="39"/>
  <c r="AC16" i="39"/>
  <c r="E97" i="39"/>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S47" i="39"/>
  <c r="U37" i="34"/>
  <c r="AB37" i="34"/>
  <c r="W41" i="40"/>
  <c r="J23" i="40"/>
  <c r="AC23" i="40"/>
  <c r="F23" i="40"/>
  <c r="S23" i="40"/>
  <c r="W14" i="39"/>
  <c r="AB23" i="35"/>
  <c r="H20" i="35"/>
  <c r="U20" i="35"/>
  <c r="F20" i="35"/>
  <c r="S20" i="35"/>
  <c r="H15" i="34"/>
  <c r="AB15" i="34"/>
  <c r="F78" i="34"/>
  <c r="G78" i="34"/>
  <c r="J15" i="34"/>
  <c r="AC15" i="34"/>
  <c r="H41" i="33"/>
  <c r="U41" i="33"/>
  <c r="F121" i="33"/>
  <c r="G121" i="33"/>
  <c r="H121" i="33"/>
  <c r="I121" i="33"/>
  <c r="J121" i="33"/>
  <c r="K121" i="33"/>
  <c r="L121" i="33"/>
  <c r="M121" i="33"/>
  <c r="F30" i="40"/>
  <c r="AA30" i="40"/>
  <c r="AB38" i="34"/>
  <c r="AZ537" i="3"/>
  <c r="U39" i="39"/>
  <c r="AB33" i="36"/>
  <c r="AA11" i="36"/>
  <c r="G99" i="37"/>
  <c r="F33" i="37"/>
  <c r="U46" i="34"/>
  <c r="AC30" i="34"/>
  <c r="AA14" i="34"/>
  <c r="W12" i="34"/>
  <c r="U29" i="33"/>
  <c r="AC13" i="33"/>
  <c r="U17" i="34"/>
  <c r="W32" i="33"/>
  <c r="H15" i="33"/>
  <c r="U15" i="33"/>
  <c r="AA11" i="33"/>
  <c r="AA40" i="21"/>
  <c r="S13" i="39"/>
  <c r="AA13" i="39"/>
  <c r="W34" i="40"/>
  <c r="AC16" i="40"/>
  <c r="W32" i="40"/>
  <c r="H25" i="40"/>
  <c r="AB25" i="40"/>
  <c r="F94" i="40"/>
  <c r="G94" i="40"/>
  <c r="U47" i="39"/>
  <c r="J37" i="34"/>
  <c r="AC37" i="34"/>
  <c r="J36" i="33"/>
  <c r="W36" i="33"/>
  <c r="S41" i="40"/>
  <c r="F97" i="39"/>
  <c r="F23" i="39"/>
  <c r="S15" i="34"/>
  <c r="AA41" i="33"/>
  <c r="AA34" i="33"/>
  <c r="F106" i="33"/>
  <c r="G106" i="33"/>
  <c r="H106" i="33"/>
  <c r="I106" i="33"/>
  <c r="J106" i="33"/>
  <c r="K106" i="33"/>
  <c r="L106" i="33"/>
  <c r="M106" i="33"/>
  <c r="J34" i="33"/>
  <c r="AC34" i="33"/>
  <c r="U30" i="40"/>
  <c r="W39" i="39"/>
  <c r="S39"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J11" i="34"/>
  <c r="W11" i="34"/>
  <c r="S17" i="34"/>
  <c r="F25" i="40"/>
  <c r="AA25" i="40"/>
  <c r="J11" i="33"/>
  <c r="W11" i="33"/>
  <c r="H33" i="37"/>
  <c r="AB33" i="37"/>
  <c r="W15" i="34"/>
  <c r="W23" i="40"/>
  <c r="D73" i="9"/>
  <c r="N73" i="9"/>
  <c r="AP11" i="1"/>
  <c r="B11" i="1"/>
  <c r="E11" i="1"/>
  <c r="K11" i="1"/>
  <c r="M11" i="1"/>
  <c r="B9" i="1"/>
  <c r="E9" i="1"/>
  <c r="K9" i="1"/>
  <c r="M9" i="1"/>
  <c r="B7" i="1"/>
  <c r="E7" i="1"/>
  <c r="C20" i="43"/>
  <c r="F6" i="1"/>
  <c r="AP6" i="1"/>
  <c r="G11" i="1"/>
  <c r="M22" i="44"/>
  <c r="F32" i="15"/>
  <c r="F59" i="15"/>
  <c r="F29" i="12"/>
  <c r="F70" i="9"/>
  <c r="D86" i="9"/>
  <c r="M20" i="44"/>
  <c r="F31" i="43"/>
  <c r="F30" i="44"/>
  <c r="S8" i="36"/>
  <c r="AA28" i="36"/>
  <c r="H20" i="36"/>
  <c r="U20" i="36"/>
  <c r="F68" i="36"/>
  <c r="G68" i="36"/>
  <c r="J20" i="36"/>
  <c r="AC20" i="36"/>
  <c r="F20" i="36"/>
  <c r="S20" i="36"/>
  <c r="F62" i="36"/>
  <c r="G62" i="36"/>
  <c r="J14" i="36"/>
  <c r="W14" i="36"/>
  <c r="H14" i="36"/>
  <c r="F14" i="36"/>
  <c r="AA14" i="36"/>
  <c r="W20" i="36"/>
  <c r="U32" i="36"/>
  <c r="U9" i="36"/>
  <c r="AA27" i="36"/>
  <c r="S16" i="36"/>
  <c r="S29" i="36"/>
  <c r="AA13" i="35"/>
  <c r="AC9" i="35"/>
  <c r="S23" i="35"/>
  <c r="S16" i="35"/>
  <c r="W13" i="35"/>
  <c r="AC18" i="35"/>
  <c r="W18" i="35"/>
  <c r="U18" i="35"/>
  <c r="AB18" i="35"/>
  <c r="AA35" i="35"/>
  <c r="S27" i="35"/>
  <c r="AB9" i="37"/>
  <c r="W12" i="37"/>
  <c r="AA9" i="37"/>
  <c r="S17" i="37"/>
  <c r="W28" i="37"/>
  <c r="AB37" i="37"/>
  <c r="S33" i="37"/>
  <c r="AA33" i="37"/>
  <c r="U32" i="37"/>
  <c r="AA32" i="37"/>
  <c r="J33" i="37"/>
  <c r="W33" i="37"/>
  <c r="H99" i="37"/>
  <c r="I99" i="37"/>
  <c r="J99" i="37"/>
  <c r="K99" i="37"/>
  <c r="L99" i="37"/>
  <c r="M99" i="37"/>
  <c r="S29" i="37"/>
  <c r="J19" i="37"/>
  <c r="AC19" i="37"/>
  <c r="F19" i="37"/>
  <c r="AA19" i="37"/>
  <c r="H19" i="37"/>
  <c r="U19" i="37"/>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c r="H25" i="34"/>
  <c r="F25" i="34"/>
  <c r="S25" i="34"/>
  <c r="J23" i="34"/>
  <c r="F86" i="34"/>
  <c r="G86" i="34"/>
  <c r="F23" i="34"/>
  <c r="S23" i="34"/>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c r="J25" i="33"/>
  <c r="W25" i="33"/>
  <c r="F87" i="33"/>
  <c r="G87" i="33"/>
  <c r="H87" i="33"/>
  <c r="I87" i="33"/>
  <c r="J87" i="33"/>
  <c r="K87" i="33"/>
  <c r="L87" i="33"/>
  <c r="M87" i="33"/>
  <c r="F25" i="33"/>
  <c r="S25" i="33"/>
  <c r="J23" i="33"/>
  <c r="F23" i="33"/>
  <c r="AA23" i="33"/>
  <c r="H23" i="33"/>
  <c r="U19" i="33"/>
  <c r="F79" i="33"/>
  <c r="G79" i="33"/>
  <c r="F17" i="33"/>
  <c r="H17" i="33"/>
  <c r="AB17" i="33"/>
  <c r="J17" i="33"/>
  <c r="AB15" i="33"/>
  <c r="S10" i="33"/>
  <c r="W10" i="33"/>
  <c r="AC21" i="33"/>
  <c r="W21" i="33"/>
  <c r="W14" i="33"/>
  <c r="AB10" i="33"/>
  <c r="AB21" i="33"/>
  <c r="U21" i="33"/>
  <c r="AA21" i="33"/>
  <c r="S21" i="33"/>
  <c r="AA36" i="33"/>
  <c r="S44" i="21"/>
  <c r="AC26" i="21"/>
  <c r="J23" i="21"/>
  <c r="W23" i="21"/>
  <c r="H23" i="21"/>
  <c r="U23" i="21"/>
  <c r="F15" i="21"/>
  <c r="S15" i="21"/>
  <c r="J15" i="21"/>
  <c r="W15" i="21"/>
  <c r="H15" i="21"/>
  <c r="AB15" i="21"/>
  <c r="W13" i="21"/>
  <c r="AC21" i="21"/>
  <c r="W21" i="21"/>
  <c r="AC38" i="21"/>
  <c r="AB21" i="21"/>
  <c r="U21" i="21"/>
  <c r="AB29" i="21"/>
  <c r="AA31" i="21"/>
  <c r="W33" i="40"/>
  <c r="U33" i="40"/>
  <c r="S35" i="40"/>
  <c r="S14" i="40"/>
  <c r="AB13" i="40"/>
  <c r="S16" i="40"/>
  <c r="W1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C38" i="39"/>
  <c r="AB15" i="39"/>
  <c r="U11" i="39"/>
  <c r="AB38" i="39"/>
  <c r="U31" i="39"/>
  <c r="AB31" i="39"/>
  <c r="S22" i="31"/>
  <c r="R22" i="31"/>
  <c r="B21" i="31"/>
  <c r="D96" i="9"/>
  <c r="F28" i="15"/>
  <c r="M18" i="15"/>
  <c r="BA16" i="3"/>
  <c r="BA17" i="3"/>
  <c r="AZ17" i="3"/>
  <c r="F3" i="35"/>
  <c r="B2" i="35"/>
  <c r="K1" i="43"/>
  <c r="K1" i="12"/>
  <c r="G1" i="44"/>
  <c r="AZ15" i="3"/>
  <c r="BN5" i="3"/>
  <c r="G29" i="6"/>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B12" i="35"/>
  <c r="AA11" i="35"/>
  <c r="S14" i="37"/>
  <c r="C24" i="9"/>
  <c r="C25" i="9"/>
  <c r="G9" i="1"/>
  <c r="I20" i="46"/>
  <c r="B6" i="63"/>
  <c r="B46" i="50"/>
  <c r="B4" i="63"/>
  <c r="C46" i="36"/>
  <c r="C59" i="34"/>
  <c r="C52" i="37"/>
  <c r="D52" i="37"/>
  <c r="J7" i="33"/>
  <c r="AC7" i="33"/>
  <c r="V48" i="33"/>
  <c r="I48" i="33"/>
  <c r="I52" i="33"/>
  <c r="J52" i="33"/>
  <c r="D65" i="40"/>
  <c r="E65" i="40"/>
  <c r="C72" i="39"/>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AC27" i="36"/>
  <c r="W28" i="36"/>
  <c r="AA32" i="36"/>
  <c r="U13" i="36"/>
  <c r="AA22" i="36"/>
  <c r="U10" i="36"/>
  <c r="AA13" i="36"/>
  <c r="W29" i="36"/>
  <c r="W9" i="36"/>
  <c r="W8" i="36"/>
  <c r="AC30" i="35"/>
  <c r="W32" i="35"/>
  <c r="U32" i="35"/>
  <c r="W22" i="35"/>
  <c r="S32" i="35"/>
  <c r="W35" i="37"/>
  <c r="U33" i="37"/>
  <c r="S12" i="37"/>
  <c r="W36" i="37"/>
  <c r="U26" i="37"/>
  <c r="AB28" i="37"/>
  <c r="S28" i="37"/>
  <c r="S26" i="37"/>
  <c r="AB35" i="34"/>
  <c r="S8" i="34"/>
  <c r="AC25" i="33"/>
  <c r="S43" i="33"/>
  <c r="AB42" i="33"/>
  <c r="AB14" i="33"/>
  <c r="S26" i="33"/>
  <c r="S15" i="33"/>
  <c r="S9" i="33"/>
  <c r="AA29" i="21"/>
  <c r="W31" i="21"/>
  <c r="AA15" i="21"/>
  <c r="AC27" i="21"/>
  <c r="W29" i="21"/>
  <c r="G96" i="40"/>
  <c r="J27" i="40"/>
  <c r="W37" i="40"/>
  <c r="W30" i="40"/>
  <c r="U17" i="40"/>
  <c r="U38" i="40"/>
  <c r="S40" i="40"/>
  <c r="J31" i="39"/>
  <c r="W31" i="39"/>
  <c r="AC46" i="39"/>
  <c r="W42" i="39"/>
  <c r="W36" i="39"/>
  <c r="U14" i="39"/>
  <c r="S15" i="39"/>
  <c r="AA46" i="39"/>
  <c r="W10" i="39"/>
  <c r="W11" i="39"/>
  <c r="U42" i="39"/>
  <c r="W40" i="39"/>
  <c r="C27" i="39"/>
  <c r="C17" i="40"/>
  <c r="C19" i="40"/>
  <c r="C17" i="39"/>
  <c r="C19" i="39"/>
  <c r="C21" i="39"/>
  <c r="C23" i="40"/>
  <c r="B51" i="46"/>
  <c r="B55" i="46"/>
  <c r="B59" i="46"/>
  <c r="B66" i="46"/>
  <c r="B53" i="46"/>
  <c r="B64" i="46"/>
  <c r="D24" i="15"/>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AT6" i="3"/>
  <c r="AZ16" i="3"/>
  <c r="A9" i="64"/>
  <c r="A9" i="51"/>
  <c r="B9" i="63"/>
  <c r="D72" i="39"/>
  <c r="W7" i="33"/>
  <c r="D67" i="40"/>
  <c r="G66" i="36"/>
  <c r="J18" i="36"/>
  <c r="AE8" i="1"/>
  <c r="AE6" i="1"/>
  <c r="W18" i="36"/>
  <c r="AC18" i="36"/>
  <c r="AG6" i="1"/>
  <c r="L20" i="6"/>
  <c r="E67" i="40"/>
  <c r="F65" i="40"/>
  <c r="F67" i="40"/>
  <c r="E72" i="39"/>
  <c r="F70" i="39"/>
  <c r="F72" i="39"/>
  <c r="S8" i="1"/>
  <c r="S9" i="1"/>
  <c r="R9" i="1"/>
  <c r="R8" i="1"/>
  <c r="C45" i="9"/>
  <c r="H14" i="66"/>
  <c r="B7" i="66"/>
  <c r="O40" i="9"/>
  <c r="K31" i="9"/>
  <c r="K32" i="9"/>
  <c r="R7" i="54"/>
  <c r="B52" i="63"/>
  <c r="N76" i="9"/>
  <c r="C46" i="9"/>
  <c r="K33" i="9"/>
  <c r="K34" i="9"/>
  <c r="S30" i="35"/>
  <c r="G87" i="35"/>
  <c r="H87" i="35"/>
  <c r="I87" i="35"/>
  <c r="J87" i="35"/>
  <c r="K87" i="35"/>
  <c r="L87" i="35"/>
  <c r="M87" i="35"/>
  <c r="U22" i="35"/>
  <c r="W20" i="35"/>
  <c r="AB20" i="35"/>
  <c r="S18" i="35"/>
  <c r="AC16" i="35"/>
  <c r="AB16" i="35"/>
  <c r="AA14" i="35"/>
  <c r="AB14" i="35"/>
  <c r="AB10" i="35"/>
  <c r="S10" i="35"/>
  <c r="AC10" i="35"/>
  <c r="U9" i="35"/>
  <c r="S9" i="35"/>
  <c r="AA33" i="35"/>
  <c r="U33" i="35"/>
  <c r="AC33" i="35"/>
  <c r="AB31" i="35"/>
  <c r="S22" i="35"/>
  <c r="F26" i="35"/>
  <c r="J26" i="35"/>
  <c r="H26" i="35"/>
  <c r="AB45" i="39"/>
  <c r="W45" i="39"/>
  <c r="S45" i="39"/>
  <c r="AB45" i="21"/>
  <c r="AC45" i="21"/>
  <c r="S45" i="21"/>
  <c r="J46" i="21"/>
  <c r="J44" i="21"/>
  <c r="AC44" i="21"/>
  <c r="U40" i="21"/>
  <c r="S27" i="21"/>
  <c r="U27" i="21"/>
  <c r="AA25" i="21"/>
  <c r="F28" i="21"/>
  <c r="AB37" i="39"/>
  <c r="J37" i="39"/>
  <c r="W37" i="39"/>
  <c r="AC23" i="36"/>
  <c r="W23" i="36"/>
  <c r="S15" i="40"/>
  <c r="AA15" i="40"/>
  <c r="AZ506" i="3"/>
  <c r="AZ571" i="3"/>
  <c r="U44" i="21"/>
  <c r="AB44" i="21"/>
  <c r="AB46" i="21"/>
  <c r="U46" i="21"/>
  <c r="U11" i="35"/>
  <c r="AB11" i="35"/>
  <c r="H29" i="39"/>
  <c r="U29" i="39"/>
  <c r="J29" i="39"/>
  <c r="AC29" i="39"/>
  <c r="F29" i="39"/>
  <c r="AA29" i="39"/>
  <c r="F103" i="39"/>
  <c r="G103" i="39"/>
  <c r="AZ572" i="3"/>
  <c r="S29" i="40"/>
  <c r="AA29" i="40"/>
  <c r="AZ521" i="3"/>
  <c r="AZ18" i="3"/>
  <c r="AZ544" i="3"/>
  <c r="AZ562" i="3"/>
  <c r="AB30" i="33"/>
  <c r="U30" i="33"/>
  <c r="W28" i="34"/>
  <c r="AC28" i="34"/>
  <c r="S39" i="37"/>
  <c r="AA39" i="37"/>
  <c r="BL572" i="3"/>
  <c r="H30" i="21"/>
  <c r="F30" i="21"/>
  <c r="J30" i="21"/>
  <c r="E108" i="21"/>
  <c r="F108" i="21"/>
  <c r="G108" i="21"/>
  <c r="H108" i="21"/>
  <c r="I108" i="21"/>
  <c r="J108" i="21"/>
  <c r="K108" i="21"/>
  <c r="L108" i="21"/>
  <c r="M108" i="21"/>
  <c r="J35" i="21"/>
  <c r="H35" i="21"/>
  <c r="F35" i="21"/>
  <c r="AA35" i="21"/>
  <c r="H113" i="21"/>
  <c r="F37" i="21"/>
  <c r="E117" i="21"/>
  <c r="F117" i="21"/>
  <c r="G117" i="21"/>
  <c r="J39" i="21"/>
  <c r="F39"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c r="BA557" i="3"/>
  <c r="AZ557" i="3"/>
  <c r="BA555" i="3"/>
  <c r="AZ555" i="3"/>
  <c r="BL550" i="3"/>
  <c r="BA550" i="3"/>
  <c r="AZ550" i="3"/>
  <c r="BA546" i="3"/>
  <c r="AZ546" i="3"/>
  <c r="BL542" i="3"/>
  <c r="BA542" i="3"/>
  <c r="BL535" i="3"/>
  <c r="AZ535" i="3"/>
  <c r="BA531" i="3"/>
  <c r="AZ531" i="3"/>
  <c r="BL519" i="3"/>
  <c r="AZ519" i="3"/>
  <c r="BA509" i="3"/>
  <c r="AZ509" i="3"/>
  <c r="BA19" i="3"/>
  <c r="AZ19" i="3"/>
  <c r="F12" i="21"/>
  <c r="H12" i="21"/>
  <c r="E125" i="21"/>
  <c r="F125" i="21"/>
  <c r="G125" i="21"/>
  <c r="F43" i="21"/>
  <c r="S43" i="21"/>
  <c r="H43" i="21"/>
  <c r="AB9" i="33"/>
  <c r="U9" i="33"/>
  <c r="AB38" i="33"/>
  <c r="U38" i="33"/>
  <c r="AA31" i="33"/>
  <c r="S31" i="33"/>
  <c r="AA10" i="36"/>
  <c r="S10" i="36"/>
  <c r="J12" i="36"/>
  <c r="F12" i="36"/>
  <c r="H13" i="37"/>
  <c r="F13" i="37"/>
  <c r="J13" i="37"/>
  <c r="U42" i="34"/>
  <c r="AB42" i="34"/>
  <c r="BL558" i="3"/>
  <c r="AZ558" i="3"/>
  <c r="BL556" i="3"/>
  <c r="BA556" i="3"/>
  <c r="AZ556" i="3"/>
  <c r="BA545" i="3"/>
  <c r="AZ545" i="3"/>
  <c r="BL543" i="3"/>
  <c r="AZ543" i="3"/>
  <c r="G542" i="3"/>
  <c r="BA541" i="3"/>
  <c r="AZ541" i="3"/>
  <c r="BL533" i="3"/>
  <c r="AZ533" i="3"/>
  <c r="BL520" i="3"/>
  <c r="AZ520" i="3"/>
  <c r="BL510" i="3"/>
  <c r="AZ510" i="3"/>
  <c r="BL495" i="3"/>
  <c r="AZ495" i="3"/>
  <c r="BL488" i="3"/>
  <c r="AZ488" i="3"/>
  <c r="BA20" i="3"/>
  <c r="AZ20" i="3"/>
  <c r="G70" i="39"/>
  <c r="AA20" i="36"/>
  <c r="S14" i="36"/>
  <c r="B62" i="46"/>
  <c r="B48" i="46"/>
  <c r="S32" i="40"/>
  <c r="W16" i="39"/>
  <c r="AC37" i="39"/>
  <c r="S42" i="40"/>
  <c r="S34" i="40"/>
  <c r="S17" i="40"/>
  <c r="AB25" i="21"/>
  <c r="AB12" i="33"/>
  <c r="AA19" i="33"/>
  <c r="S19" i="34"/>
  <c r="AC15" i="37"/>
  <c r="AC33" i="37"/>
  <c r="S9" i="36"/>
  <c r="U23" i="36"/>
  <c r="S13" i="21"/>
  <c r="W11" i="35"/>
  <c r="M20" i="15"/>
  <c r="S38" i="39"/>
  <c r="S14" i="39"/>
  <c r="W13" i="39"/>
  <c r="AB40" i="40"/>
  <c r="S25" i="40"/>
  <c r="J29" i="40"/>
  <c r="S38" i="40"/>
  <c r="W42" i="40"/>
  <c r="AA21" i="40"/>
  <c r="U15" i="40"/>
  <c r="W44" i="21"/>
  <c r="F23" i="21"/>
  <c r="S23" i="21"/>
  <c r="W28" i="21"/>
  <c r="U25" i="33"/>
  <c r="S14" i="33"/>
  <c r="AC11" i="33"/>
  <c r="AB26" i="33"/>
  <c r="AB11" i="33"/>
  <c r="W34" i="33"/>
  <c r="U37" i="33"/>
  <c r="W37" i="34"/>
  <c r="AC11" i="34"/>
  <c r="AA27" i="34"/>
  <c r="W33" i="34"/>
  <c r="S40" i="37"/>
  <c r="AA31" i="37"/>
  <c r="S28" i="35"/>
  <c r="AB30" i="35"/>
  <c r="AA20"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H37" i="21"/>
  <c r="H32" i="21"/>
  <c r="AB17" i="37"/>
  <c r="AC26" i="36"/>
  <c r="AZ370" i="3"/>
  <c r="AZ372" i="3"/>
  <c r="AZ355" i="3"/>
  <c r="J37" i="21"/>
  <c r="W23" i="37"/>
  <c r="AC23" i="37"/>
  <c r="AA39" i="33"/>
  <c r="S39" i="33"/>
  <c r="AZ492" i="3"/>
  <c r="AZ493" i="3"/>
  <c r="AZ559" i="3"/>
  <c r="AB14" i="21"/>
  <c r="AB13" i="21"/>
  <c r="F46" i="21"/>
  <c r="H28" i="21"/>
  <c r="F14" i="21"/>
  <c r="AA42" i="34"/>
  <c r="AC8" i="35"/>
  <c r="W33" i="33"/>
  <c r="U26" i="36"/>
  <c r="J12" i="21"/>
  <c r="BA570" i="3"/>
  <c r="AZ570" i="3"/>
  <c r="BT5" i="3"/>
  <c r="BI5" i="3"/>
  <c r="BG5" i="3"/>
  <c r="J43" i="21"/>
  <c r="AC9" i="33"/>
  <c r="W9" i="33"/>
  <c r="S12" i="33"/>
  <c r="AA12" i="33"/>
  <c r="AC38" i="33"/>
  <c r="W38" i="33"/>
  <c r="H27" i="33"/>
  <c r="J27" i="33"/>
  <c r="F27" i="33"/>
  <c r="J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H12" i="36"/>
  <c r="AC22" i="36"/>
  <c r="W22" i="36"/>
  <c r="F23" i="36"/>
  <c r="AB24" i="36"/>
  <c r="U24" i="36"/>
  <c r="W24" i="36"/>
  <c r="AC24" i="36"/>
  <c r="J25" i="36"/>
  <c r="F25" i="36"/>
  <c r="H25" i="36"/>
  <c r="AC41" i="21"/>
  <c r="W41" i="21"/>
  <c r="BA566" i="3"/>
  <c r="AZ566" i="3"/>
  <c r="BA565" i="3"/>
  <c r="AZ565" i="3"/>
  <c r="BL563" i="3"/>
  <c r="AZ563" i="3"/>
  <c r="BL561" i="3"/>
  <c r="AZ561" i="3"/>
  <c r="BL560" i="3"/>
  <c r="BA560" i="3"/>
  <c r="G553" i="3"/>
  <c r="BL552" i="3"/>
  <c r="AZ552" i="3"/>
  <c r="BL551" i="3"/>
  <c r="BA551" i="3"/>
  <c r="G548" i="3"/>
  <c r="BL540" i="3"/>
  <c r="BA540" i="3"/>
  <c r="AZ540" i="3"/>
  <c r="BL538" i="3"/>
  <c r="AZ538" i="3"/>
  <c r="BA532" i="3"/>
  <c r="AZ532" i="3"/>
  <c r="G527" i="3"/>
  <c r="BA524" i="3"/>
  <c r="AZ524" i="3"/>
  <c r="G519" i="3"/>
  <c r="BA512" i="3"/>
  <c r="AZ512" i="3"/>
  <c r="BL508" i="3"/>
  <c r="AZ508" i="3"/>
  <c r="G506" i="3"/>
  <c r="G503" i="3"/>
  <c r="BL502" i="3"/>
  <c r="BA502" i="3"/>
  <c r="BL501" i="3"/>
  <c r="BA501" i="3"/>
  <c r="BL500" i="3"/>
  <c r="AZ500" i="3"/>
  <c r="BA498" i="3"/>
  <c r="AZ498" i="3"/>
  <c r="G495" i="3"/>
  <c r="G486" i="3"/>
  <c r="BA484" i="3"/>
  <c r="AZ484" i="3"/>
  <c r="BL483" i="3"/>
  <c r="AZ483" i="3"/>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BF5" i="3"/>
  <c r="R12" i="1"/>
  <c r="K12" i="1"/>
  <c r="M12" i="1"/>
  <c r="O12" i="1"/>
  <c r="P12" i="1"/>
  <c r="T30" i="59"/>
  <c r="D30" i="59"/>
  <c r="T42" i="59"/>
  <c r="D42" i="59"/>
  <c r="X19" i="59"/>
  <c r="B20" i="59"/>
  <c r="B21" i="59"/>
  <c r="B22" i="59"/>
  <c r="S22" i="59"/>
  <c r="X11" i="59"/>
  <c r="X13" i="59"/>
  <c r="X10" i="59"/>
  <c r="X14" i="59"/>
  <c r="Q52" i="59"/>
  <c r="Q51" i="59"/>
  <c r="T54" i="59"/>
  <c r="D54" i="59"/>
  <c r="C53" i="59"/>
  <c r="S14" i="59"/>
  <c r="B13" i="59"/>
  <c r="B12" i="59"/>
  <c r="X16" i="59"/>
  <c r="U14" i="59"/>
  <c r="E13" i="59"/>
  <c r="E12" i="59"/>
  <c r="X8" i="59"/>
  <c r="AA8" i="59"/>
  <c r="AA7" i="59"/>
  <c r="E9" i="59"/>
  <c r="E8" i="59"/>
  <c r="E7" i="59"/>
  <c r="E6" i="59"/>
  <c r="AA9" i="59"/>
  <c r="AA3" i="59"/>
  <c r="AA5" i="59"/>
  <c r="G12" i="1"/>
  <c r="C18" i="9"/>
  <c r="M43" i="9"/>
  <c r="C110" i="9"/>
  <c r="AZ21" i="3"/>
  <c r="AZ25" i="3"/>
  <c r="AZ28" i="3"/>
  <c r="AZ30" i="3"/>
  <c r="AZ34" i="3"/>
  <c r="AZ53" i="3"/>
  <c r="AZ57" i="3"/>
  <c r="AZ60" i="3"/>
  <c r="AZ62" i="3"/>
  <c r="AZ68" i="3"/>
  <c r="AZ72" i="3"/>
  <c r="AZ75" i="3"/>
  <c r="AZ77" i="3"/>
  <c r="AZ81" i="3"/>
  <c r="AZ88" i="3"/>
  <c r="AZ92" i="3"/>
  <c r="AZ95" i="3"/>
  <c r="AZ97" i="3"/>
  <c r="AZ101" i="3"/>
  <c r="D1" i="57"/>
  <c r="E10" i="57"/>
  <c r="AA21" i="34"/>
  <c r="S21" i="34"/>
  <c r="T18" i="59"/>
  <c r="D18" i="59"/>
  <c r="D61" i="59"/>
  <c r="C60" i="59"/>
  <c r="D60" i="59"/>
  <c r="D32" i="59"/>
  <c r="AB15" i="59"/>
  <c r="F16" i="59"/>
  <c r="F17" i="59"/>
  <c r="F18" i="59"/>
  <c r="V18" i="59"/>
  <c r="AB14" i="59"/>
  <c r="AB3" i="59"/>
  <c r="Y16" i="59"/>
  <c r="Z16" i="59"/>
  <c r="Y15" i="59"/>
  <c r="Z15" i="59"/>
  <c r="Y12" i="59"/>
  <c r="Z12" i="59"/>
  <c r="Y14" i="59"/>
  <c r="Z14" i="59"/>
  <c r="AB23" i="59"/>
  <c r="F24" i="59"/>
  <c r="F25" i="59"/>
  <c r="F26" i="59"/>
  <c r="V26" i="59"/>
  <c r="Y24" i="59"/>
  <c r="Z24" i="59"/>
  <c r="Y23" i="59"/>
  <c r="Z23" i="59"/>
  <c r="C25" i="59"/>
  <c r="AA25" i="59"/>
  <c r="AA13" i="59"/>
  <c r="C45" i="59"/>
  <c r="D44" i="59"/>
  <c r="AB20" i="59"/>
  <c r="AA17" i="59"/>
  <c r="X7" i="59"/>
  <c r="X6" i="59"/>
  <c r="X5" i="59"/>
  <c r="X3" i="59"/>
  <c r="AA15" i="59"/>
  <c r="AA12" i="59"/>
  <c r="AA14" i="59"/>
  <c r="E16" i="59"/>
  <c r="E17" i="59"/>
  <c r="E18" i="59"/>
  <c r="U18" i="59"/>
  <c r="X18" i="59"/>
  <c r="AA20" i="59"/>
  <c r="AA22" i="59"/>
  <c r="AA23" i="59"/>
  <c r="E24" i="59"/>
  <c r="E25" i="59"/>
  <c r="E26" i="59"/>
  <c r="U26" i="59"/>
  <c r="E53" i="59"/>
  <c r="P54" i="59"/>
  <c r="U62" i="59"/>
  <c r="E61" i="59"/>
  <c r="E60" i="59"/>
  <c r="D14" i="59"/>
  <c r="C13" i="59"/>
  <c r="C9" i="59"/>
  <c r="T10" i="59"/>
  <c r="D10" i="59"/>
  <c r="T14" i="59"/>
  <c r="AA10" i="59"/>
  <c r="AB13" i="59"/>
  <c r="AB10" i="59"/>
  <c r="AB9" i="59"/>
  <c r="AB11" i="59"/>
  <c r="B21" i="63"/>
  <c r="N4" i="63"/>
  <c r="X9" i="59"/>
  <c r="AB7" i="59"/>
  <c r="AB8" i="59"/>
  <c r="AB5" i="59"/>
  <c r="X15" i="59"/>
  <c r="AA16" i="59"/>
  <c r="X17" i="59"/>
  <c r="AA18" i="59"/>
  <c r="AB19" i="59"/>
  <c r="Y20" i="59"/>
  <c r="Z20" i="59"/>
  <c r="AB21" i="59"/>
  <c r="Y22" i="59"/>
  <c r="Z22" i="59"/>
  <c r="X23" i="59"/>
  <c r="X24" i="59"/>
  <c r="AA24" i="59"/>
  <c r="F13" i="59"/>
  <c r="F12" i="59"/>
  <c r="F8" i="59"/>
  <c r="F7" i="59"/>
  <c r="F6" i="59"/>
  <c r="V14" i="59"/>
  <c r="Y10" i="59"/>
  <c r="Z10" i="59"/>
  <c r="P62" i="15"/>
  <c r="P75" i="15"/>
  <c r="Y9" i="59"/>
  <c r="Z9" i="59"/>
  <c r="Y7" i="59"/>
  <c r="Z7" i="59"/>
  <c r="Y8" i="59"/>
  <c r="Z8" i="59"/>
  <c r="AA6" i="59"/>
  <c r="Y6" i="59"/>
  <c r="Z6" i="59"/>
  <c r="AB6" i="59"/>
  <c r="Y5" i="59"/>
  <c r="Z5" i="59"/>
  <c r="AC23" i="21"/>
  <c r="G10" i="1"/>
  <c r="G8" i="1"/>
  <c r="D18" i="9"/>
  <c r="M44" i="9"/>
  <c r="A30" i="51"/>
  <c r="B22" i="63"/>
  <c r="A30" i="64"/>
  <c r="K17" i="4"/>
  <c r="A22" i="51"/>
  <c r="B16" i="63"/>
  <c r="G3" i="46"/>
  <c r="AB34" i="21"/>
  <c r="S32" i="21"/>
  <c r="G69" i="21"/>
  <c r="H69" i="21"/>
  <c r="I69" i="21"/>
  <c r="J69" i="21"/>
  <c r="K69" i="21"/>
  <c r="L69" i="21"/>
  <c r="M69" i="21"/>
  <c r="AB23" i="21"/>
  <c r="U17" i="21"/>
  <c r="U15" i="21"/>
  <c r="S42" i="21"/>
  <c r="U42" i="21"/>
  <c r="S21" i="21"/>
  <c r="AA17" i="21"/>
  <c r="H126" i="39"/>
  <c r="I126" i="39"/>
  <c r="J126" i="39"/>
  <c r="K126" i="39"/>
  <c r="L126" i="39"/>
  <c r="M126" i="39"/>
  <c r="H43" i="39"/>
  <c r="F43" i="39"/>
  <c r="J43" i="39"/>
  <c r="U41" i="39"/>
  <c r="H34" i="39"/>
  <c r="AB34" i="39"/>
  <c r="H109" i="39"/>
  <c r="I109" i="39"/>
  <c r="J109" i="39"/>
  <c r="K109" i="39"/>
  <c r="L109" i="39"/>
  <c r="M109" i="39"/>
  <c r="F34" i="39"/>
  <c r="J34" i="39"/>
  <c r="AC34" i="39"/>
  <c r="F33" i="39"/>
  <c r="J33" i="39"/>
  <c r="F107" i="39"/>
  <c r="G107" i="39"/>
  <c r="H107" i="39"/>
  <c r="I107" i="39"/>
  <c r="J107" i="39"/>
  <c r="K107" i="39"/>
  <c r="L107" i="39"/>
  <c r="M107" i="39"/>
  <c r="H33" i="39"/>
  <c r="S29" i="39"/>
  <c r="AB29" i="39"/>
  <c r="F27" i="39"/>
  <c r="J27" i="39"/>
  <c r="AC27" i="39"/>
  <c r="G101" i="39"/>
  <c r="H27" i="39"/>
  <c r="AB25" i="39"/>
  <c r="AA23" i="39"/>
  <c r="S23" i="39"/>
  <c r="G97" i="39"/>
  <c r="J23" i="39"/>
  <c r="H23" i="39"/>
  <c r="AB23" i="39"/>
  <c r="G95" i="39"/>
  <c r="H21" i="39"/>
  <c r="F21" i="39"/>
  <c r="J21" i="39"/>
  <c r="F19" i="39"/>
  <c r="J19" i="39"/>
  <c r="F93" i="39"/>
  <c r="G93" i="39"/>
  <c r="H19" i="39"/>
  <c r="G91" i="39"/>
  <c r="H17" i="39"/>
  <c r="U17" i="39"/>
  <c r="F17" i="39"/>
  <c r="J17" i="39"/>
  <c r="W17" i="39"/>
  <c r="AC31" i="39"/>
  <c r="S31" i="39"/>
  <c r="W29" i="39"/>
  <c r="W27" i="39"/>
  <c r="W25" i="39"/>
  <c r="S25" i="39"/>
  <c r="AA43" i="21"/>
  <c r="AC40" i="21"/>
  <c r="AA38" i="21"/>
  <c r="W25" i="21"/>
  <c r="AA23" i="21"/>
  <c r="AC19" i="21"/>
  <c r="U19" i="21"/>
  <c r="W17" i="21"/>
  <c r="AC15" i="21"/>
  <c r="G66" i="21"/>
  <c r="H66" i="21"/>
  <c r="I66" i="21"/>
  <c r="H10" i="21"/>
  <c r="J10" i="21"/>
  <c r="F10" i="21"/>
  <c r="W9" i="21"/>
  <c r="S8" i="21"/>
  <c r="W42" i="21"/>
  <c r="U39" i="21"/>
  <c r="U38" i="21"/>
  <c r="AC36" i="21"/>
  <c r="AB36" i="21"/>
  <c r="AA36" i="21"/>
  <c r="S35" i="21"/>
  <c r="AC34" i="21"/>
  <c r="S34" i="21"/>
  <c r="W32" i="21"/>
  <c r="AA44" i="39"/>
  <c r="AB44" i="39"/>
  <c r="W44" i="39"/>
  <c r="S41" i="39"/>
  <c r="W41" i="39"/>
  <c r="W34" i="39"/>
  <c r="U34" i="39"/>
  <c r="B54" i="46"/>
  <c r="D23" i="15"/>
  <c r="A18" i="51"/>
  <c r="B14" i="63"/>
  <c r="L5" i="54"/>
  <c r="B39" i="63"/>
  <c r="K5" i="54"/>
  <c r="A18" i="64"/>
  <c r="B74" i="63"/>
  <c r="C53" i="10"/>
  <c r="T41" i="4"/>
  <c r="A17" i="64"/>
  <c r="A11" i="55"/>
  <c r="B62" i="63"/>
  <c r="A2" i="55"/>
  <c r="B55" i="63"/>
  <c r="O41" i="9"/>
  <c r="R8" i="54"/>
  <c r="B54" i="63"/>
  <c r="I14" i="66"/>
  <c r="B8" i="66"/>
  <c r="L76" i="9"/>
  <c r="K76" i="9"/>
  <c r="K77" i="9"/>
  <c r="K79" i="9"/>
  <c r="K81" i="9"/>
  <c r="E14" i="52"/>
  <c r="C30" i="44"/>
  <c r="C25" i="12"/>
  <c r="C27" i="43"/>
  <c r="C31" i="43"/>
  <c r="C28" i="15"/>
  <c r="H1" i="65"/>
  <c r="H51" i="46"/>
  <c r="X7" i="46"/>
  <c r="E17" i="46"/>
  <c r="N17" i="46"/>
  <c r="O17" i="46"/>
  <c r="M17" i="46"/>
  <c r="L17" i="46"/>
  <c r="H22" i="46"/>
  <c r="Y11" i="46"/>
  <c r="Y13" i="46"/>
  <c r="H101" i="46"/>
  <c r="H102" i="46"/>
  <c r="G22" i="46"/>
  <c r="J22" i="46"/>
  <c r="F101" i="46"/>
  <c r="F106" i="46"/>
  <c r="D101" i="46"/>
  <c r="D106" i="46"/>
  <c r="AP7" i="1"/>
  <c r="G13" i="1"/>
  <c r="G65" i="40"/>
  <c r="E52" i="37"/>
  <c r="D46" i="36"/>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H62" i="46"/>
  <c r="AF12" i="46"/>
  <c r="K100" i="46"/>
  <c r="AB12" i="46"/>
  <c r="AJ12" i="46"/>
  <c r="F102" i="46"/>
  <c r="F105" i="46"/>
  <c r="F103" i="46"/>
  <c r="C101" i="46"/>
  <c r="C109" i="46"/>
  <c r="G101" i="46"/>
  <c r="J101" i="46"/>
  <c r="B113" i="46"/>
  <c r="N104" i="45"/>
  <c r="L101" i="46"/>
  <c r="F22" i="46"/>
  <c r="E101" i="46"/>
  <c r="Z7" i="46"/>
  <c r="K101" i="46"/>
  <c r="E22" i="46"/>
  <c r="AG11" i="46"/>
  <c r="AG13" i="46"/>
  <c r="Z11" i="46"/>
  <c r="Z13" i="46"/>
  <c r="AH11"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B6" i="52"/>
  <c r="E7" i="52"/>
  <c r="C4" i="4"/>
  <c r="B20" i="55"/>
  <c r="B70" i="63"/>
  <c r="E6" i="52"/>
  <c r="E4" i="52"/>
  <c r="B7" i="52"/>
  <c r="E5" i="52"/>
  <c r="P21" i="46"/>
  <c r="B7" i="59"/>
  <c r="B6" i="59"/>
  <c r="S6" i="59"/>
  <c r="P22" i="46"/>
  <c r="P23" i="46"/>
  <c r="P25" i="46"/>
  <c r="P24" i="46"/>
  <c r="B68" i="40"/>
  <c r="E22" i="52"/>
  <c r="B22" i="52"/>
  <c r="B10" i="52"/>
  <c r="B11" i="52"/>
  <c r="B4" i="52"/>
  <c r="E9" i="52"/>
  <c r="E17" i="52"/>
  <c r="E11" i="52"/>
  <c r="E15" i="52"/>
  <c r="E13" i="52"/>
  <c r="E4" i="4"/>
  <c r="B21" i="55"/>
  <c r="B72" i="63"/>
  <c r="B14" i="52"/>
  <c r="E8" i="52"/>
  <c r="E16" i="52"/>
  <c r="B5" i="52"/>
  <c r="B9" i="52"/>
  <c r="B16" i="52"/>
  <c r="B8" i="52"/>
  <c r="B13" i="52"/>
  <c r="E10" i="52"/>
  <c r="E21" i="52"/>
  <c r="F58" i="15"/>
  <c r="F31" i="15"/>
  <c r="M17" i="15"/>
  <c r="M19" i="44"/>
  <c r="F33" i="44"/>
  <c r="H29" i="35"/>
  <c r="AB29" i="35"/>
  <c r="J29" i="35"/>
  <c r="F29" i="35"/>
  <c r="U29" i="35"/>
  <c r="AC26" i="35"/>
  <c r="W26" i="35"/>
  <c r="AB26" i="35"/>
  <c r="U26" i="35"/>
  <c r="AA26" i="35"/>
  <c r="S26" i="35"/>
  <c r="W46" i="21"/>
  <c r="AC46" i="21"/>
  <c r="AA28" i="21"/>
  <c r="S28" i="21"/>
  <c r="B73" i="39"/>
  <c r="AB17" i="39"/>
  <c r="C8" i="59"/>
  <c r="D9" i="59"/>
  <c r="P53" i="59"/>
  <c r="E52" i="59"/>
  <c r="D25" i="59"/>
  <c r="C26" i="59"/>
  <c r="E5" i="59"/>
  <c r="U6" i="59"/>
  <c r="AZ501" i="3"/>
  <c r="AZ502" i="3"/>
  <c r="AZ551" i="3"/>
  <c r="AZ560" i="3"/>
  <c r="U25" i="36"/>
  <c r="AB25" i="36"/>
  <c r="AC25" i="36"/>
  <c r="W25" i="36"/>
  <c r="U12" i="36"/>
  <c r="AB12" i="36"/>
  <c r="U34" i="35"/>
  <c r="AB34" i="35"/>
  <c r="AB24" i="35"/>
  <c r="U24" i="35"/>
  <c r="W24" i="35"/>
  <c r="AC24" i="35"/>
  <c r="S47" i="34"/>
  <c r="AA47" i="34"/>
  <c r="S45" i="34"/>
  <c r="AA45" i="34"/>
  <c r="AB45" i="34"/>
  <c r="U45" i="34"/>
  <c r="U31" i="34"/>
  <c r="AB31" i="34"/>
  <c r="AB29" i="34"/>
  <c r="U29" i="34"/>
  <c r="W29" i="34"/>
  <c r="AC29" i="34"/>
  <c r="W13" i="34"/>
  <c r="AC13" i="34"/>
  <c r="AB46" i="33"/>
  <c r="U46" i="33"/>
  <c r="W46" i="33"/>
  <c r="AC46" i="33"/>
  <c r="AA27" i="33"/>
  <c r="S27" i="33"/>
  <c r="U27" i="33"/>
  <c r="AB27" i="33"/>
  <c r="AC12" i="21"/>
  <c r="W12" i="21"/>
  <c r="AB28" i="21"/>
  <c r="U28" i="21"/>
  <c r="U37" i="21"/>
  <c r="AB37" i="21"/>
  <c r="AC15" i="40"/>
  <c r="W15" i="40"/>
  <c r="H70" i="39"/>
  <c r="G72" i="39"/>
  <c r="AC13" i="37"/>
  <c r="W13" i="37"/>
  <c r="AB13" i="37"/>
  <c r="U13" i="37"/>
  <c r="W12" i="36"/>
  <c r="AC12" i="36"/>
  <c r="AB12" i="21"/>
  <c r="U12" i="21"/>
  <c r="AZ542" i="3"/>
  <c r="S25" i="37"/>
  <c r="AA25" i="37"/>
  <c r="U25" i="37"/>
  <c r="AB25" i="37"/>
  <c r="AC38" i="37"/>
  <c r="W38" i="37"/>
  <c r="AC27" i="37"/>
  <c r="W27" i="37"/>
  <c r="AB27" i="37"/>
  <c r="U27" i="37"/>
  <c r="W44" i="33"/>
  <c r="AC44" i="33"/>
  <c r="AA39" i="21"/>
  <c r="S39" i="21"/>
  <c r="AB35" i="21"/>
  <c r="U35" i="21"/>
  <c r="S30" i="21"/>
  <c r="AA30" i="21"/>
  <c r="F5" i="59"/>
  <c r="V6" i="59"/>
  <c r="D13" i="59"/>
  <c r="C12" i="59"/>
  <c r="D12" i="59"/>
  <c r="C46" i="59"/>
  <c r="D45" i="59"/>
  <c r="C52" i="59"/>
  <c r="D53" i="59"/>
  <c r="O53" i="59"/>
  <c r="AA25" i="36"/>
  <c r="S25" i="36"/>
  <c r="AA23" i="36"/>
  <c r="S23" i="36"/>
  <c r="AA34" i="35"/>
  <c r="S34" i="35"/>
  <c r="AC34" i="35"/>
  <c r="W34" i="35"/>
  <c r="AA24" i="35"/>
  <c r="S24" i="35"/>
  <c r="AC47" i="34"/>
  <c r="W47" i="34"/>
  <c r="U47" i="34"/>
  <c r="AB47" i="34"/>
  <c r="W45" i="34"/>
  <c r="AC45" i="34"/>
  <c r="S31" i="34"/>
  <c r="AA31" i="34"/>
  <c r="W31" i="34"/>
  <c r="AC31" i="34"/>
  <c r="S29" i="34"/>
  <c r="AA29" i="34"/>
  <c r="AA13" i="34"/>
  <c r="S13" i="34"/>
  <c r="U13" i="34"/>
  <c r="AB13" i="34"/>
  <c r="AA46" i="33"/>
  <c r="S46" i="33"/>
  <c r="W12" i="35"/>
  <c r="AC12" i="35"/>
  <c r="W27" i="33"/>
  <c r="AC27" i="33"/>
  <c r="AC43" i="21"/>
  <c r="W43" i="21"/>
  <c r="AA14" i="21"/>
  <c r="S14" i="21"/>
  <c r="AA46" i="21"/>
  <c r="S46" i="21"/>
  <c r="W37" i="21"/>
  <c r="AC37" i="21"/>
  <c r="U32" i="21"/>
  <c r="AB32" i="21"/>
  <c r="U42" i="40"/>
  <c r="AB42" i="40"/>
  <c r="W29" i="40"/>
  <c r="AC29" i="40"/>
  <c r="S13" i="37"/>
  <c r="AA13" i="37"/>
  <c r="S12" i="36"/>
  <c r="AA12" i="36"/>
  <c r="AB43" i="21"/>
  <c r="U43" i="21"/>
  <c r="S12" i="21"/>
  <c r="AA12" i="21"/>
  <c r="AC25" i="37"/>
  <c r="W25" i="37"/>
  <c r="AA38" i="37"/>
  <c r="S38" i="37"/>
  <c r="AB38" i="37"/>
  <c r="U38" i="37"/>
  <c r="AA27" i="37"/>
  <c r="S27" i="37"/>
  <c r="S44" i="33"/>
  <c r="AA44" i="33"/>
  <c r="U44" i="33"/>
  <c r="AB44" i="33"/>
  <c r="AC39" i="21"/>
  <c r="W39" i="21"/>
  <c r="S37" i="21"/>
  <c r="AA37" i="21"/>
  <c r="W35" i="21"/>
  <c r="AC35" i="21"/>
  <c r="AC30" i="21"/>
  <c r="W30" i="21"/>
  <c r="AB30" i="21"/>
  <c r="U30" i="21"/>
  <c r="AC17" i="39"/>
  <c r="I106" i="46"/>
  <c r="H103" i="46"/>
  <c r="U11" i="21"/>
  <c r="S11" i="21"/>
  <c r="W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AA10" i="21"/>
  <c r="S10" i="21"/>
  <c r="U10" i="21"/>
  <c r="AB10" i="21"/>
  <c r="AC10" i="21"/>
  <c r="W10" i="21"/>
  <c r="A17" i="51"/>
  <c r="B13" i="63"/>
  <c r="A25" i="64"/>
  <c r="A25" i="51"/>
  <c r="B18" i="63"/>
  <c r="B38" i="63"/>
  <c r="A3" i="55"/>
  <c r="B56" i="63"/>
  <c r="B5" i="59"/>
  <c r="D107" i="46"/>
  <c r="M106" i="46"/>
  <c r="M104" i="46"/>
  <c r="M102" i="46"/>
  <c r="H107" i="46"/>
  <c r="M105" i="46"/>
  <c r="C5" i="46"/>
  <c r="H105" i="46"/>
  <c r="H109" i="46"/>
  <c r="D103" i="46"/>
  <c r="D102" i="46"/>
  <c r="H104" i="46"/>
  <c r="H106" i="46"/>
  <c r="D5" i="46"/>
  <c r="D105" i="46"/>
  <c r="D109" i="46"/>
  <c r="D104" i="46"/>
  <c r="AJ13" i="46"/>
  <c r="I109" i="46"/>
  <c r="AB7" i="33"/>
  <c r="T48" i="33"/>
  <c r="G48" i="33"/>
  <c r="U7" i="33"/>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C29" i="46"/>
  <c r="L107" i="46"/>
  <c r="L103" i="46"/>
  <c r="I116" i="46"/>
  <c r="J116" i="46"/>
  <c r="K116" i="46"/>
  <c r="L116" i="46"/>
  <c r="M116" i="46"/>
  <c r="I115" i="46"/>
  <c r="J115" i="46"/>
  <c r="K115" i="46"/>
  <c r="L115" i="46"/>
  <c r="M115" i="46"/>
  <c r="I118" i="46"/>
  <c r="J118" i="46"/>
  <c r="K118" i="46"/>
  <c r="L118" i="46"/>
  <c r="M118" i="46"/>
  <c r="B115" i="46"/>
  <c r="D116" i="46"/>
  <c r="E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S29" i="35"/>
  <c r="AA29" i="35"/>
  <c r="AC29" i="35"/>
  <c r="W29" i="35"/>
  <c r="O52" i="59"/>
  <c r="O51" i="59"/>
  <c r="D52" i="59"/>
  <c r="T46" i="59"/>
  <c r="D46" i="59"/>
  <c r="I70" i="39"/>
  <c r="H72" i="39"/>
  <c r="U7" i="21"/>
  <c r="D8" i="59"/>
  <c r="C7" i="59"/>
  <c r="S7" i="21"/>
  <c r="W7" i="21"/>
  <c r="T26" i="59"/>
  <c r="D26" i="59"/>
  <c r="P52" i="59"/>
  <c r="P51" i="59"/>
  <c r="G20" i="46"/>
  <c r="E41" i="46"/>
  <c r="C41" i="46"/>
  <c r="C20" i="46"/>
  <c r="S5" i="46"/>
  <c r="S2" i="46"/>
  <c r="T2" i="46"/>
  <c r="V2" i="46"/>
  <c r="S3" i="46"/>
  <c r="S7" i="46"/>
  <c r="T7" i="46"/>
  <c r="V7" i="46"/>
  <c r="S6" i="46"/>
  <c r="S4" i="46"/>
  <c r="T4" i="46"/>
  <c r="V4" i="46"/>
  <c r="G52" i="37"/>
  <c r="H7" i="34"/>
  <c r="J7" i="34"/>
  <c r="R49" i="33"/>
  <c r="E48" i="33"/>
  <c r="G52" i="33"/>
  <c r="H52" i="33"/>
  <c r="G53" i="33"/>
  <c r="H53" i="33"/>
  <c r="I65" i="40"/>
  <c r="H67" i="40"/>
  <c r="F46" i="36"/>
  <c r="G46" i="36"/>
  <c r="H46" i="36"/>
  <c r="I46" i="36"/>
  <c r="J46" i="36"/>
  <c r="K46" i="36"/>
  <c r="L46" i="36"/>
  <c r="M46" i="36"/>
  <c r="N46" i="36"/>
  <c r="O46" i="36"/>
  <c r="F7" i="34"/>
  <c r="C115" i="46"/>
  <c r="I72" i="39"/>
  <c r="J70" i="39"/>
  <c r="F7" i="36"/>
  <c r="C6" i="59"/>
  <c r="D7" i="59"/>
  <c r="H33" i="21"/>
  <c r="J33" i="21"/>
  <c r="F33" i="21"/>
  <c r="AA7" i="36"/>
  <c r="R36" i="36"/>
  <c r="S7" i="36"/>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T6" i="59"/>
  <c r="D6" i="59"/>
  <c r="M20" i="46"/>
  <c r="C19" i="46"/>
  <c r="C5" i="59"/>
  <c r="D5" i="59"/>
  <c r="J72" i="39"/>
  <c r="K70" i="39"/>
  <c r="S33" i="21"/>
  <c r="AA33" i="21"/>
  <c r="U33" i="21"/>
  <c r="AB33" i="21"/>
  <c r="G48" i="21"/>
  <c r="W33" i="21"/>
  <c r="AC33" i="21"/>
  <c r="I48" i="21"/>
  <c r="I52" i="21"/>
  <c r="J52" i="21"/>
  <c r="W7" i="36"/>
  <c r="AC7" i="36"/>
  <c r="V36" i="36"/>
  <c r="I36" i="36"/>
  <c r="K65" i="40"/>
  <c r="J67" i="40"/>
  <c r="I52" i="37"/>
  <c r="G54" i="34"/>
  <c r="H54" i="34"/>
  <c r="G53" i="34"/>
  <c r="H53" i="34"/>
  <c r="R50" i="34"/>
  <c r="E49" i="34"/>
  <c r="I53" i="34"/>
  <c r="J53" i="34"/>
  <c r="I54" i="34"/>
  <c r="J54" i="34"/>
  <c r="AB7" i="36"/>
  <c r="T36" i="36"/>
  <c r="G36" i="36"/>
  <c r="U7" i="36"/>
  <c r="E36" i="36"/>
  <c r="R37" i="36"/>
  <c r="K72" i="39"/>
  <c r="L70" i="39"/>
  <c r="C37" i="46"/>
  <c r="C33" i="46"/>
  <c r="C39" i="46"/>
  <c r="T3" i="46"/>
  <c r="V3" i="46"/>
  <c r="C35" i="46"/>
  <c r="T16" i="46"/>
  <c r="V16" i="46"/>
  <c r="T14" i="46"/>
  <c r="V14" i="46"/>
  <c r="T12" i="46"/>
  <c r="V12" i="46"/>
  <c r="T13" i="46"/>
  <c r="V13" i="46"/>
  <c r="T10" i="46"/>
  <c r="V10" i="46"/>
  <c r="C34" i="46"/>
  <c r="C36" i="46"/>
  <c r="T6" i="46"/>
  <c r="V6" i="46"/>
  <c r="T5" i="46"/>
  <c r="V5" i="46"/>
  <c r="C38" i="46"/>
  <c r="T9" i="46"/>
  <c r="V9" i="46"/>
  <c r="T15" i="46"/>
  <c r="V15" i="46"/>
  <c r="T8" i="46"/>
  <c r="V8" i="46"/>
  <c r="T11" i="46"/>
  <c r="V11" i="46"/>
  <c r="G53" i="21"/>
  <c r="H53" i="21"/>
  <c r="G52" i="21"/>
  <c r="H52" i="21"/>
  <c r="E48" i="21"/>
  <c r="E40" i="36"/>
  <c r="F40" i="36"/>
  <c r="E41" i="36"/>
  <c r="F41" i="36"/>
  <c r="G41" i="36"/>
  <c r="H41" i="36"/>
  <c r="G40" i="36"/>
  <c r="H40" i="36"/>
  <c r="E54" i="34"/>
  <c r="F54" i="34"/>
  <c r="E53" i="34"/>
  <c r="F53" i="34"/>
  <c r="I40" i="36"/>
  <c r="J40" i="36"/>
  <c r="I41" i="36"/>
  <c r="J41" i="36"/>
  <c r="C37" i="36"/>
  <c r="B3" i="36"/>
  <c r="B2" i="36"/>
  <c r="C36" i="36"/>
  <c r="C50" i="34"/>
  <c r="B3" i="34"/>
  <c r="B2" i="34"/>
  <c r="C49" i="34"/>
  <c r="J52" i="37"/>
  <c r="L65" i="40"/>
  <c r="K67" i="40"/>
  <c r="E38" i="46"/>
  <c r="G38" i="46"/>
  <c r="I38" i="46"/>
  <c r="E34" i="46"/>
  <c r="G34" i="46"/>
  <c r="I34" i="46"/>
  <c r="G33" i="46"/>
  <c r="I33" i="46"/>
  <c r="E33" i="46"/>
  <c r="L72" i="39"/>
  <c r="M70" i="39"/>
  <c r="G36" i="46"/>
  <c r="I36" i="46"/>
  <c r="E36" i="46"/>
  <c r="E35" i="46"/>
  <c r="G35" i="46"/>
  <c r="I35" i="46"/>
  <c r="G39" i="46"/>
  <c r="I39" i="46"/>
  <c r="E39" i="46"/>
  <c r="G37" i="46"/>
  <c r="I37" i="46"/>
  <c r="E37" i="46"/>
  <c r="C48" i="21"/>
  <c r="I53" i="21"/>
  <c r="J53" i="21"/>
  <c r="E52" i="21"/>
  <c r="F52" i="21"/>
  <c r="E53" i="21"/>
  <c r="F53" i="21"/>
  <c r="L67" i="40"/>
  <c r="M65" i="40"/>
  <c r="K52" i="37"/>
  <c r="M72" i="39"/>
  <c r="N70" i="39"/>
  <c r="N72" i="39"/>
  <c r="I38" i="35"/>
  <c r="N65" i="40"/>
  <c r="N67" i="40"/>
  <c r="M67" i="40"/>
  <c r="L52" i="37"/>
  <c r="W7" i="35"/>
  <c r="F9" i="39"/>
  <c r="H9" i="39"/>
  <c r="J9" i="39"/>
  <c r="G38" i="35"/>
  <c r="U7" i="35"/>
  <c r="S7" i="35"/>
  <c r="M52" i="37"/>
  <c r="J9" i="40"/>
  <c r="F9" i="40"/>
  <c r="H9" i="40"/>
  <c r="I42" i="35"/>
  <c r="J42" i="35"/>
  <c r="AC9" i="39"/>
  <c r="W9" i="39"/>
  <c r="S9" i="39"/>
  <c r="AA9" i="39"/>
  <c r="U9" i="39"/>
  <c r="AB9" i="39"/>
  <c r="S9" i="40"/>
  <c r="AA9" i="40"/>
  <c r="R44" i="40"/>
  <c r="E44" i="40"/>
  <c r="U9" i="40"/>
  <c r="AB9" i="40"/>
  <c r="T44" i="40"/>
  <c r="G44" i="40"/>
  <c r="W9" i="40"/>
  <c r="AC9" i="40"/>
  <c r="V44" i="40"/>
  <c r="I44" i="40"/>
  <c r="I48" i="40"/>
  <c r="J48" i="40"/>
  <c r="N52" i="37"/>
  <c r="O52" i="37"/>
  <c r="F7" i="37"/>
  <c r="E38" i="35"/>
  <c r="G42" i="35"/>
  <c r="H42" i="35"/>
  <c r="G43" i="35"/>
  <c r="H43" i="35"/>
  <c r="L46" i="15"/>
  <c r="AA7" i="37"/>
  <c r="R42" i="37"/>
  <c r="S7" i="37"/>
  <c r="E43" i="35"/>
  <c r="F43" i="35"/>
  <c r="E42" i="35"/>
  <c r="F42" i="35"/>
  <c r="I43" i="35"/>
  <c r="J43"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B19" i="66"/>
  <c r="C19" i="66"/>
  <c r="F9" i="44"/>
  <c r="F37" i="15"/>
  <c r="M23" i="15"/>
  <c r="E9" i="67"/>
  <c r="M8" i="15"/>
  <c r="F40" i="15"/>
  <c r="F28" i="44"/>
  <c r="E8" i="67"/>
  <c r="M26" i="44"/>
  <c r="F9" i="15"/>
  <c r="F38" i="44"/>
  <c r="L48" i="44"/>
  <c r="M29" i="44"/>
  <c r="M9" i="15"/>
  <c r="M22" i="15"/>
  <c r="E11" i="67"/>
  <c r="L49" i="44"/>
  <c r="F46" i="44"/>
  <c r="F13" i="15"/>
  <c r="N6" i="65"/>
  <c r="M23" i="44"/>
  <c r="M24" i="44"/>
  <c r="E12" i="67"/>
  <c r="N3" i="65"/>
  <c r="B11" i="67"/>
  <c r="F7" i="15"/>
  <c r="M25" i="44"/>
  <c r="M10" i="44"/>
  <c r="F8" i="67"/>
  <c r="M28" i="44"/>
  <c r="M11" i="44"/>
  <c r="B10" i="67"/>
  <c r="M28" i="15"/>
  <c r="M6" i="15"/>
  <c r="F14" i="67"/>
  <c r="M8" i="44"/>
  <c r="F45" i="44"/>
  <c r="N7" i="65"/>
  <c r="N4" i="65"/>
  <c r="F16" i="15"/>
  <c r="J5" i="65"/>
  <c r="J6" i="65"/>
  <c r="J7" i="65"/>
  <c r="I3" i="65"/>
  <c r="J4" i="65"/>
  <c r="I5" i="65"/>
  <c r="I4" i="65"/>
  <c r="L47" i="15"/>
  <c r="L48" i="15"/>
  <c r="F9" i="67"/>
  <c r="F13" i="67"/>
  <c r="B9" i="67"/>
  <c r="F15" i="44"/>
  <c r="E13" i="67"/>
  <c r="C19" i="44"/>
  <c r="J17" i="44"/>
  <c r="F18" i="44"/>
  <c r="F26" i="15"/>
  <c r="N5" i="65"/>
  <c r="F8" i="15"/>
  <c r="B12" i="67"/>
  <c r="M27" i="15"/>
  <c r="F37" i="44"/>
  <c r="F6" i="15"/>
  <c r="M24" i="15"/>
  <c r="F42" i="15"/>
  <c r="M26" i="15"/>
  <c r="B13" i="67"/>
  <c r="F10" i="67"/>
  <c r="J36" i="15"/>
  <c r="J15" i="15"/>
  <c r="M31" i="44"/>
  <c r="F43" i="44"/>
  <c r="M30" i="44"/>
  <c r="F11" i="44"/>
  <c r="E14" i="67"/>
  <c r="F38" i="15"/>
  <c r="F36" i="15"/>
  <c r="F10" i="44"/>
  <c r="E10" i="67"/>
  <c r="F8" i="44"/>
  <c r="F39" i="44"/>
  <c r="F12" i="67"/>
  <c r="B8" i="67"/>
  <c r="B14" i="67"/>
  <c r="F11" i="67"/>
  <c r="F40" i="44"/>
  <c r="J3" i="65"/>
  <c r="I7" i="65"/>
  <c r="I6" i="65"/>
  <c r="P11" i="68"/>
  <c r="K3" i="68"/>
  <c r="AD13" i="3"/>
  <c r="K22" i="68"/>
  <c r="K12" i="68"/>
  <c r="F9" i="75"/>
  <c r="H14" i="68"/>
  <c r="F10" i="72"/>
  <c r="F10" i="73"/>
  <c r="F29" i="74"/>
  <c r="F30" i="74"/>
  <c r="F13" i="74"/>
  <c r="F10" i="75"/>
  <c r="F10" i="76"/>
  <c r="H6" i="68"/>
  <c r="R45" i="40"/>
  <c r="K2" i="68"/>
  <c r="I13" i="3"/>
  <c r="K13" i="68"/>
  <c r="F29" i="75"/>
  <c r="F30" i="75"/>
  <c r="F13" i="72"/>
  <c r="H54" i="68"/>
  <c r="H36" i="68"/>
  <c r="K36" i="68"/>
  <c r="H52" i="68"/>
  <c r="F9" i="74"/>
  <c r="F19" i="6"/>
  <c r="BB13" i="3"/>
  <c r="BB5" i="3"/>
  <c r="I5" i="3"/>
  <c r="K70" i="68"/>
  <c r="K61" i="68"/>
  <c r="K52" i="68"/>
  <c r="K11" i="68"/>
  <c r="K21" i="68"/>
  <c r="H16" i="68"/>
  <c r="K24" i="68"/>
  <c r="K14" i="68"/>
  <c r="K34" i="68"/>
  <c r="K35" i="68"/>
  <c r="H35" i="68"/>
  <c r="K60" i="68"/>
  <c r="K51" i="68"/>
  <c r="K69" i="68"/>
  <c r="H38" i="68"/>
  <c r="K47" i="68"/>
  <c r="K15" i="68"/>
  <c r="F10" i="74"/>
  <c r="F7" i="74"/>
  <c r="H55" i="68"/>
  <c r="H43" i="68"/>
  <c r="K43" i="68"/>
  <c r="K44" i="68"/>
  <c r="K48" i="68"/>
  <c r="H47" i="68"/>
  <c r="H17" i="68"/>
  <c r="F13" i="76"/>
  <c r="F7" i="75"/>
  <c r="G49" i="40"/>
  <c r="H49" i="40"/>
  <c r="G48" i="40"/>
  <c r="H48" i="40"/>
  <c r="F116" i="46"/>
  <c r="G116" i="46"/>
  <c r="H116" i="46"/>
  <c r="E29" i="46"/>
  <c r="C26" i="46"/>
  <c r="C30" i="46"/>
  <c r="E30" i="46"/>
  <c r="C27" i="46"/>
  <c r="K38" i="68"/>
  <c r="K39" i="68"/>
  <c r="K58" i="68"/>
  <c r="K67" i="68"/>
  <c r="K49" i="68"/>
  <c r="I49" i="40"/>
  <c r="J49" i="40"/>
  <c r="F7" i="73"/>
  <c r="K26" i="68"/>
  <c r="K16" i="68"/>
  <c r="D22" i="46"/>
  <c r="M109" i="46"/>
  <c r="M103" i="46"/>
  <c r="H39" i="68"/>
  <c r="K4" i="68"/>
  <c r="AH13" i="3"/>
  <c r="AH5" i="3"/>
  <c r="K8" i="68"/>
  <c r="AN13" i="3"/>
  <c r="F13" i="71"/>
  <c r="F9" i="71"/>
  <c r="F7" i="71"/>
  <c r="H50" i="68"/>
  <c r="E49" i="40"/>
  <c r="F49" i="40"/>
  <c r="E48" i="40"/>
  <c r="F48" i="40"/>
  <c r="O11" i="1"/>
  <c r="P11" i="1"/>
  <c r="O8" i="1"/>
  <c r="P8" i="1"/>
  <c r="AD5" i="3"/>
  <c r="BM13" i="3"/>
  <c r="P14" i="68"/>
  <c r="BR13" i="3"/>
  <c r="BR5" i="3"/>
  <c r="G28" i="6"/>
  <c r="G30" i="6"/>
  <c r="AN5" i="3"/>
  <c r="F29" i="71"/>
  <c r="F30" i="71"/>
  <c r="K68" i="68"/>
  <c r="K71" i="68"/>
  <c r="H53" i="68"/>
  <c r="K50" i="68"/>
  <c r="K53" i="68"/>
  <c r="K59" i="68"/>
  <c r="K62" i="68"/>
  <c r="O9" i="1"/>
  <c r="P9" i="1"/>
  <c r="O13" i="1"/>
  <c r="P13" i="1"/>
  <c r="E19" i="6"/>
  <c r="P15" i="68"/>
  <c r="K7" i="68"/>
  <c r="P6" i="68"/>
  <c r="H9" i="68"/>
  <c r="H10" i="68"/>
  <c r="K28" i="68"/>
  <c r="K63" i="68"/>
  <c r="K5" i="68"/>
  <c r="P4" i="68"/>
  <c r="R4" i="68"/>
  <c r="P2" i="68"/>
  <c r="R2" i="68"/>
  <c r="P16" i="68"/>
  <c r="R6" i="68"/>
  <c r="P3" i="68"/>
  <c r="R3" i="68"/>
  <c r="P1" i="68"/>
  <c r="D10" i="12"/>
  <c r="J1" i="65"/>
  <c r="C8" i="44"/>
  <c r="F63" i="15"/>
  <c r="F65" i="15"/>
  <c r="Q73" i="44"/>
  <c r="Q72" i="15"/>
  <c r="C6" i="15"/>
  <c r="C36" i="44"/>
  <c r="F50" i="15"/>
  <c r="C27" i="15"/>
  <c r="I54" i="15"/>
  <c r="L56" i="15"/>
  <c r="J57" i="15"/>
  <c r="J55" i="15"/>
  <c r="J58" i="15"/>
  <c r="Q51" i="15"/>
  <c r="J53" i="15"/>
  <c r="J59" i="15"/>
  <c r="L60" i="15"/>
  <c r="J60" i="15"/>
  <c r="Q49" i="15"/>
  <c r="L57" i="15"/>
  <c r="L59" i="15"/>
  <c r="L58" i="15"/>
  <c r="E20" i="46"/>
  <c r="I1" i="65"/>
  <c r="C4" i="65"/>
  <c r="B39" i="1"/>
  <c r="F49" i="15"/>
  <c r="M7" i="15"/>
  <c r="J6" i="15"/>
  <c r="J22" i="44"/>
  <c r="J54" i="44"/>
  <c r="J58" i="44"/>
  <c r="J56" i="44"/>
  <c r="J59" i="44"/>
  <c r="Q52" i="44"/>
  <c r="L57" i="44"/>
  <c r="J60" i="44"/>
  <c r="I55" i="44"/>
  <c r="J61" i="44"/>
  <c r="Q50" i="44"/>
  <c r="L59" i="44"/>
  <c r="L60" i="44"/>
  <c r="C29" i="44"/>
  <c r="F67" i="15"/>
  <c r="F64" i="15"/>
  <c r="M9" i="44"/>
  <c r="J8" i="44"/>
  <c r="E7" i="67"/>
  <c r="E3" i="65"/>
  <c r="C18" i="44"/>
  <c r="E2" i="65"/>
  <c r="F7" i="67"/>
  <c r="BO13" i="3"/>
  <c r="BO5" i="3"/>
  <c r="K72" i="68"/>
  <c r="K54" i="68"/>
  <c r="F9" i="72"/>
  <c r="F7" i="72"/>
  <c r="F29" i="72"/>
  <c r="F30" i="72"/>
  <c r="C44" i="40"/>
  <c r="C45" i="40"/>
  <c r="F9" i="76"/>
  <c r="F7" i="76"/>
  <c r="F29" i="76"/>
  <c r="F30" i="76"/>
  <c r="K64" i="68"/>
  <c r="K55" i="68"/>
  <c r="K56" i="68"/>
  <c r="K57" i="68"/>
  <c r="O49" i="68"/>
  <c r="P49" i="68"/>
  <c r="H56" i="68"/>
  <c r="K73" i="68"/>
  <c r="K74" i="68"/>
  <c r="E8" i="6"/>
  <c r="E5" i="6"/>
  <c r="K65" i="68"/>
  <c r="K75" i="68"/>
  <c r="K17" i="68"/>
  <c r="K19" i="68"/>
  <c r="K20" i="68"/>
  <c r="H19" i="68"/>
  <c r="H20" i="68"/>
  <c r="K27" i="68"/>
  <c r="K29" i="68"/>
  <c r="K30" i="68"/>
  <c r="H44" i="68"/>
  <c r="H48" i="68"/>
  <c r="E3" i="67"/>
  <c r="D113" i="46"/>
  <c r="B2" i="46"/>
  <c r="L47" i="44"/>
  <c r="AL13" i="3"/>
  <c r="K6" i="68"/>
  <c r="K13" i="3"/>
  <c r="K9" i="68"/>
  <c r="E32" i="6"/>
  <c r="C9" i="12"/>
  <c r="D3" i="21"/>
  <c r="B2" i="21"/>
  <c r="C10" i="12"/>
  <c r="C6" i="12"/>
  <c r="K6" i="1"/>
  <c r="BM5" i="3"/>
  <c r="F29" i="6"/>
  <c r="E29" i="6"/>
  <c r="R1" i="68"/>
  <c r="P5" i="68"/>
  <c r="R5" i="68"/>
  <c r="P8" i="68"/>
  <c r="P17" i="68"/>
  <c r="K66" i="68"/>
  <c r="O50" i="68"/>
  <c r="E49" i="68"/>
  <c r="H57" i="68"/>
  <c r="P18" i="68"/>
  <c r="E4" i="67"/>
  <c r="B40" i="1"/>
  <c r="F17" i="11"/>
  <c r="C17" i="11"/>
  <c r="Q75" i="44"/>
  <c r="Q62" i="44"/>
  <c r="F1" i="44"/>
  <c r="Q54" i="44"/>
  <c r="P28" i="46"/>
  <c r="N28" i="46"/>
  <c r="O28" i="46"/>
  <c r="M28" i="46"/>
  <c r="Q63" i="44"/>
  <c r="Q76" i="44"/>
  <c r="F13" i="44"/>
  <c r="C12" i="44"/>
  <c r="C7" i="44"/>
  <c r="F11" i="15"/>
  <c r="M11" i="15"/>
  <c r="J10" i="15"/>
  <c r="J5" i="15"/>
  <c r="M13" i="44"/>
  <c r="J12" i="44"/>
  <c r="J7" i="44"/>
  <c r="Q75" i="15"/>
  <c r="Q62" i="15"/>
  <c r="Q58" i="15"/>
  <c r="Q67" i="15"/>
  <c r="F1" i="15"/>
  <c r="Q53" i="15"/>
  <c r="C48" i="15"/>
  <c r="Q74" i="15"/>
  <c r="Q61" i="15"/>
  <c r="B7" i="67"/>
  <c r="AE7" i="1"/>
  <c r="F41" i="15"/>
  <c r="C24" i="12"/>
  <c r="C29" i="12"/>
  <c r="B18" i="66"/>
  <c r="B53" i="40"/>
  <c r="B57" i="40"/>
  <c r="F57" i="40"/>
  <c r="B62" i="40"/>
  <c r="B61" i="40"/>
  <c r="B55" i="40"/>
  <c r="F55" i="40"/>
  <c r="B54" i="40"/>
  <c r="F54" i="40"/>
  <c r="B59" i="40"/>
  <c r="B60" i="40"/>
  <c r="B56" i="40"/>
  <c r="F56" i="40"/>
  <c r="B58" i="40"/>
  <c r="D21" i="12"/>
  <c r="C21" i="12"/>
  <c r="D12" i="11"/>
  <c r="C12" i="11"/>
  <c r="E58" i="39"/>
  <c r="E53" i="40"/>
  <c r="F53" i="40"/>
  <c r="F27" i="6"/>
  <c r="B2" i="67"/>
  <c r="B3" i="67"/>
  <c r="B3" i="46"/>
  <c r="B4" i="46"/>
  <c r="D4" i="46"/>
  <c r="P50" i="68"/>
  <c r="R7" i="68"/>
  <c r="P9" i="68"/>
  <c r="G20" i="6"/>
  <c r="BC13" i="3"/>
  <c r="K5" i="3"/>
  <c r="H13" i="3"/>
  <c r="BQ13" i="3"/>
  <c r="AL5" i="3"/>
  <c r="AC13" i="3"/>
  <c r="AC5" i="3"/>
  <c r="L19" i="6"/>
  <c r="L27" i="6"/>
  <c r="K15" i="1"/>
  <c r="M6" i="1"/>
  <c r="K10" i="68"/>
  <c r="K81" i="68"/>
  <c r="F68" i="15"/>
  <c r="J26" i="15"/>
  <c r="J29" i="15"/>
  <c r="J18" i="15"/>
  <c r="J24" i="15"/>
  <c r="C34" i="44"/>
  <c r="C40" i="44"/>
  <c r="C52" i="15"/>
  <c r="C47" i="15"/>
  <c r="C10" i="15"/>
  <c r="C5" i="15"/>
  <c r="F26" i="12"/>
  <c r="F24" i="15"/>
  <c r="C24" i="15"/>
  <c r="F21" i="43"/>
  <c r="F26" i="44"/>
  <c r="C26" i="44"/>
  <c r="J28" i="44"/>
  <c r="J31" i="44"/>
  <c r="J26" i="44"/>
  <c r="J20" i="44"/>
  <c r="L52" i="44"/>
  <c r="C18" i="66"/>
  <c r="B4" i="67"/>
  <c r="I4" i="6"/>
  <c r="H5" i="3"/>
  <c r="G13" i="3"/>
  <c r="BC5" i="3"/>
  <c r="BA13" i="3"/>
  <c r="C15" i="43"/>
  <c r="O6" i="1"/>
  <c r="BQ5" i="3"/>
  <c r="F28" i="6"/>
  <c r="BL13" i="3"/>
  <c r="BL5" i="3"/>
  <c r="G27" i="6"/>
  <c r="G31" i="6"/>
  <c r="E20" i="6"/>
  <c r="Q69" i="44"/>
  <c r="L58" i="44"/>
  <c r="L61" i="44"/>
  <c r="C32" i="15"/>
  <c r="C38" i="15"/>
  <c r="C33" i="15"/>
  <c r="C65" i="15"/>
  <c r="C59" i="15"/>
  <c r="C60" i="15"/>
  <c r="Q58" i="44"/>
  <c r="Q49" i="44"/>
  <c r="Q55" i="44"/>
  <c r="Q67" i="44"/>
  <c r="C23" i="43"/>
  <c r="D21" i="43"/>
  <c r="C27" i="12"/>
  <c r="D26" i="12"/>
  <c r="C32" i="12"/>
  <c r="D30" i="12"/>
  <c r="B17" i="66"/>
  <c r="D20" i="66"/>
  <c r="P6" i="1"/>
  <c r="E14" i="6"/>
  <c r="E13" i="6"/>
  <c r="E10" i="6"/>
  <c r="E15" i="6"/>
  <c r="E12" i="6"/>
  <c r="E11" i="6"/>
  <c r="D3" i="35"/>
  <c r="B3" i="35"/>
  <c r="D8" i="12"/>
  <c r="K7" i="1"/>
  <c r="D9" i="12"/>
  <c r="F30" i="6"/>
  <c r="F31" i="6"/>
  <c r="E28" i="6"/>
  <c r="AZ13" i="3"/>
  <c r="AZ5" i="3"/>
  <c r="BA5" i="3"/>
  <c r="E27" i="6"/>
  <c r="G5" i="3"/>
  <c r="B3" i="3"/>
  <c r="E13" i="3"/>
  <c r="Q68" i="44"/>
  <c r="Q77" i="44"/>
  <c r="Q59" i="44"/>
  <c r="Q64" i="44"/>
  <c r="M29" i="15"/>
  <c r="F43" i="15"/>
  <c r="C17" i="66"/>
  <c r="F20" i="66"/>
  <c r="E20" i="66"/>
  <c r="F70" i="15"/>
  <c r="E3" i="6"/>
  <c r="AY6" i="3"/>
  <c r="K14" i="1"/>
  <c r="M14" i="1"/>
  <c r="K23" i="6"/>
  <c r="M23" i="6"/>
  <c r="I23" i="6"/>
  <c r="S23" i="6"/>
  <c r="K21" i="6"/>
  <c r="M21" i="6"/>
  <c r="I21" i="6"/>
  <c r="S21" i="6"/>
  <c r="K24" i="6"/>
  <c r="M24" i="6"/>
  <c r="I24" i="6"/>
  <c r="S24" i="6"/>
  <c r="K19" i="6"/>
  <c r="K20" i="6"/>
  <c r="K26" i="6"/>
  <c r="M26" i="6"/>
  <c r="I26" i="6"/>
  <c r="S26" i="6"/>
  <c r="K22" i="6"/>
  <c r="M22" i="6"/>
  <c r="I22" i="6"/>
  <c r="S22" i="6"/>
  <c r="E30" i="6"/>
  <c r="E31" i="6"/>
  <c r="K25" i="6"/>
  <c r="M25" i="6"/>
  <c r="I25" i="6"/>
  <c r="S25" i="6"/>
  <c r="M7" i="1"/>
  <c r="H16" i="1"/>
  <c r="AP16" i="1"/>
  <c r="F22" i="11"/>
  <c r="Q16" i="1"/>
  <c r="G16" i="1"/>
  <c r="E58" i="40"/>
  <c r="F58" i="40"/>
  <c r="E63" i="39"/>
  <c r="E62" i="40"/>
  <c r="F62" i="40"/>
  <c r="E67" i="39"/>
  <c r="E65" i="39"/>
  <c r="E60" i="40"/>
  <c r="F60" i="40"/>
  <c r="C15" i="12"/>
  <c r="E41" i="3"/>
  <c r="E92" i="3"/>
  <c r="E202" i="3"/>
  <c r="E304" i="3"/>
  <c r="E404" i="3"/>
  <c r="E441" i="3"/>
  <c r="E415" i="3"/>
  <c r="E28" i="3"/>
  <c r="E168" i="3"/>
  <c r="E407" i="3"/>
  <c r="E363" i="3"/>
  <c r="E79" i="3"/>
  <c r="E401" i="3"/>
  <c r="E272" i="3"/>
  <c r="E52" i="3"/>
  <c r="E451" i="3"/>
  <c r="U6" i="3"/>
  <c r="E305" i="3"/>
  <c r="E73" i="3"/>
  <c r="E126" i="3"/>
  <c r="E211" i="3"/>
  <c r="E309" i="3"/>
  <c r="V6" i="3"/>
  <c r="E448" i="3"/>
  <c r="E105" i="3"/>
  <c r="E74" i="3"/>
  <c r="AG6" i="3"/>
  <c r="E121" i="3"/>
  <c r="E505" i="3"/>
  <c r="E224" i="3"/>
  <c r="E419" i="3"/>
  <c r="E123" i="3"/>
  <c r="E302" i="3"/>
  <c r="E66" i="3"/>
  <c r="E411" i="3"/>
  <c r="E418" i="3"/>
  <c r="E414" i="3"/>
  <c r="E131" i="3"/>
  <c r="E165" i="3"/>
  <c r="E30" i="3"/>
  <c r="E367" i="3"/>
  <c r="E80" i="3"/>
  <c r="E141" i="3"/>
  <c r="E34" i="3"/>
  <c r="E550" i="3"/>
  <c r="E113" i="3"/>
  <c r="E425"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250" i="3"/>
  <c r="E44" i="3"/>
  <c r="E100" i="3"/>
  <c r="E399" i="3"/>
  <c r="E179" i="3"/>
  <c r="E247" i="3"/>
  <c r="E539" i="3"/>
  <c r="E166" i="3"/>
  <c r="E204" i="3"/>
  <c r="E449" i="3"/>
  <c r="E259" i="3"/>
  <c r="E526" i="3"/>
  <c r="E477" i="3"/>
  <c r="E540" i="3"/>
  <c r="E134" i="3"/>
  <c r="AI6" i="3"/>
  <c r="E239" i="3"/>
  <c r="E234" i="3"/>
  <c r="E128" i="3"/>
  <c r="E176" i="3"/>
  <c r="E386" i="3"/>
  <c r="E287" i="3"/>
  <c r="E188" i="3"/>
  <c r="E306" i="3"/>
  <c r="E408" i="3"/>
  <c r="E223" i="3"/>
  <c r="E444" i="3"/>
  <c r="E245" i="3"/>
  <c r="E207" i="3"/>
  <c r="E308" i="3"/>
  <c r="E96" i="3"/>
  <c r="E242" i="3"/>
  <c r="E87" i="3"/>
  <c r="E29" i="3"/>
  <c r="E554"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E301" i="3"/>
  <c r="E382" i="3"/>
  <c r="E484" i="3"/>
  <c r="E326" i="3"/>
  <c r="E356" i="3"/>
  <c r="E481" i="3"/>
  <c r="E238" i="3"/>
  <c r="E428" i="3"/>
  <c r="E205" i="3"/>
  <c r="E357" i="3"/>
  <c r="E383" i="3"/>
  <c r="E85" i="3"/>
  <c r="E102" i="3"/>
  <c r="E258" i="3"/>
  <c r="E43" i="3"/>
  <c r="E370" i="3"/>
  <c r="AR6" i="3"/>
  <c r="E65" i="3"/>
  <c r="E513" i="3"/>
  <c r="E345" i="3"/>
  <c r="E72" i="3"/>
  <c r="E440" i="3"/>
  <c r="E331" i="3"/>
  <c r="E362" i="3"/>
  <c r="E150" i="3"/>
  <c r="E314" i="3"/>
  <c r="E525" i="3"/>
  <c r="E319" i="3"/>
  <c r="E456" i="3"/>
  <c r="E353" i="3"/>
  <c r="E569" i="3"/>
  <c r="E50" i="3"/>
  <c r="AJ6" i="3"/>
  <c r="E236" i="3"/>
  <c r="E546" i="3"/>
  <c r="E474" i="3"/>
  <c r="E15" i="3"/>
  <c r="E171" i="3"/>
  <c r="E251" i="3"/>
  <c r="E354" i="3"/>
  <c r="E56" i="3"/>
  <c r="E531" i="3"/>
  <c r="E122" i="3"/>
  <c r="E495" i="3"/>
  <c r="E208" i="3"/>
  <c r="E344" i="3"/>
  <c r="E485" i="3"/>
  <c r="E562" i="3"/>
  <c r="E518" i="3"/>
  <c r="E167" i="3"/>
  <c r="E515" i="3"/>
  <c r="E494" i="3"/>
  <c r="E542" i="3"/>
  <c r="E254" i="3"/>
  <c r="E341" i="3"/>
  <c r="E316" i="3"/>
  <c r="E318" i="3"/>
  <c r="E380" i="3"/>
  <c r="E483" i="3"/>
  <c r="E335" i="3"/>
  <c r="E532" i="3"/>
  <c r="E340" i="3"/>
  <c r="E521" i="3"/>
  <c r="E130" i="3"/>
  <c r="E461" i="3"/>
  <c r="E328" i="3"/>
  <c r="E155" i="3"/>
  <c r="E346" i="3"/>
  <c r="E523" i="3"/>
  <c r="E297" i="3"/>
  <c r="E59" i="3"/>
  <c r="E209" i="3"/>
  <c r="E149" i="3"/>
  <c r="E549" i="3"/>
  <c r="I3" i="6"/>
  <c r="E292" i="3"/>
  <c r="E60" i="3"/>
  <c r="E178" i="3"/>
  <c r="E48" i="3"/>
  <c r="E455" i="3"/>
  <c r="E190" i="3"/>
  <c r="E420" i="3"/>
  <c r="E233" i="3"/>
  <c r="L6" i="3"/>
  <c r="E429" i="3"/>
  <c r="E116" i="3"/>
  <c r="E372" i="3"/>
  <c r="E465" i="3"/>
  <c r="E154" i="3"/>
  <c r="E243" i="3"/>
  <c r="E561" i="3"/>
  <c r="E443" i="3"/>
  <c r="E194" i="3"/>
  <c r="E78" i="3"/>
  <c r="E390" i="3"/>
  <c r="E296" i="3"/>
  <c r="E187" i="3"/>
  <c r="E225" i="3"/>
  <c r="E199" i="3"/>
  <c r="E423" i="3"/>
  <c r="E435" i="3"/>
  <c r="E490" i="3"/>
  <c r="E218" i="3"/>
  <c r="E442" i="3"/>
  <c r="E110" i="3"/>
  <c r="E63" i="3"/>
  <c r="E174" i="3"/>
  <c r="E129" i="3"/>
  <c r="E98" i="3"/>
  <c r="E422" i="3"/>
  <c r="E398" i="3"/>
  <c r="E413" i="3"/>
  <c r="M6" i="3"/>
  <c r="E241" i="3"/>
  <c r="E69" i="3"/>
  <c r="E446" i="3"/>
  <c r="E152" i="3"/>
  <c r="E437" i="3"/>
  <c r="E46" i="3"/>
  <c r="E221" i="3"/>
  <c r="E457" i="3"/>
  <c r="E31" i="3"/>
  <c r="X6" i="3"/>
  <c r="AA6" i="3"/>
  <c r="E299" i="3"/>
  <c r="E327" i="3"/>
  <c r="E103" i="3"/>
  <c r="E200" i="3"/>
  <c r="E62" i="3"/>
  <c r="E389" i="3"/>
  <c r="E230" i="3"/>
  <c r="E143" i="3"/>
  <c r="E280" i="3"/>
  <c r="E157" i="3"/>
  <c r="E492" i="3"/>
  <c r="E89" i="3"/>
  <c r="E170" i="3"/>
  <c r="E32" i="3"/>
  <c r="E447" i="3"/>
  <c r="Q6" i="3"/>
  <c r="E500" i="3"/>
  <c r="AE6" i="3"/>
  <c r="E533" i="3"/>
  <c r="E37" i="3"/>
  <c r="E303" i="3"/>
  <c r="E203" i="3"/>
  <c r="E402" i="3"/>
  <c r="E172" i="3"/>
  <c r="E255" i="3"/>
  <c r="E417" i="3"/>
  <c r="E145" i="3"/>
  <c r="E279" i="3"/>
  <c r="E347" i="3"/>
  <c r="E535" i="3"/>
  <c r="E381" i="3"/>
  <c r="E427" i="3"/>
  <c r="E278" i="3"/>
  <c r="E94" i="3"/>
  <c r="E376" i="3"/>
  <c r="E294" i="3"/>
  <c r="E21" i="3"/>
  <c r="E64" i="3"/>
  <c r="E140" i="3"/>
  <c r="E343" i="3"/>
  <c r="E142" i="3"/>
  <c r="E410" i="3"/>
  <c r="E468" i="3"/>
  <c r="E109" i="3"/>
  <c r="E185" i="3"/>
  <c r="E148" i="3"/>
  <c r="E27" i="3"/>
  <c r="E412" i="3"/>
  <c r="E469" i="3"/>
  <c r="E86" i="3"/>
  <c r="E68" i="3"/>
  <c r="E135" i="3"/>
  <c r="E147" i="3"/>
  <c r="E22" i="3"/>
  <c r="E439" i="3"/>
  <c r="E459" i="3"/>
  <c r="E117" i="3"/>
  <c r="E231" i="3"/>
  <c r="E528" i="3"/>
  <c r="E470" i="3"/>
  <c r="E349" i="3"/>
  <c r="E186" i="3"/>
  <c r="E311" i="3"/>
  <c r="E263" i="3"/>
  <c r="E424" i="3"/>
  <c r="E82" i="3"/>
  <c r="E164" i="3"/>
  <c r="E99" i="3"/>
  <c r="E262" i="3"/>
  <c r="E101" i="3"/>
  <c r="E76" i="3"/>
  <c r="E24" i="3"/>
  <c r="E271" i="3"/>
  <c r="E508" i="3"/>
  <c r="E237" i="3"/>
  <c r="E317" i="3"/>
  <c r="E568" i="3"/>
  <c r="O6" i="3"/>
  <c r="E196" i="3"/>
  <c r="E416" i="3"/>
  <c r="E160" i="3"/>
  <c r="E133" i="3"/>
  <c r="E458" i="3"/>
  <c r="E256"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1" i="3"/>
  <c r="E36" i="3"/>
  <c r="E374" i="3"/>
  <c r="E478" i="3"/>
  <c r="AS6" i="3"/>
  <c r="E136" i="3"/>
  <c r="E332" i="3"/>
  <c r="E25" i="3"/>
  <c r="E479" i="3"/>
  <c r="E276" i="3"/>
  <c r="Y6" i="3"/>
  <c r="E466" i="3"/>
  <c r="E51" i="3"/>
  <c r="E198" i="3"/>
  <c r="E281" i="3"/>
  <c r="E290" i="3"/>
  <c r="AF6" i="3"/>
  <c r="E40" i="3"/>
  <c r="E559" i="3"/>
  <c r="E228" i="3"/>
  <c r="E324" i="3"/>
  <c r="E502" i="3"/>
  <c r="E334" i="3"/>
  <c r="E489" i="3"/>
  <c r="E325" i="3"/>
  <c r="E286" i="3"/>
  <c r="E396" i="3"/>
  <c r="E183" i="3"/>
  <c r="E216" i="3"/>
  <c r="E320" i="3"/>
  <c r="E392" i="3"/>
  <c r="E45" i="3"/>
  <c r="E373" i="3"/>
  <c r="E284" i="3"/>
  <c r="E360" i="3"/>
  <c r="E42" i="3"/>
  <c r="T6" i="3"/>
  <c r="E181" i="3"/>
  <c r="E144" i="3"/>
  <c r="E269" i="3"/>
  <c r="E219" i="3"/>
  <c r="E338" i="3"/>
  <c r="E506" i="3"/>
  <c r="E571" i="3"/>
  <c r="E497" i="3"/>
  <c r="E566" i="3"/>
  <c r="E553" i="3"/>
  <c r="E273" i="3"/>
  <c r="E563" i="3"/>
  <c r="E112" i="3"/>
  <c r="E268" i="3"/>
  <c r="E175" i="3"/>
  <c r="E565" i="3"/>
  <c r="E503" i="3"/>
  <c r="E541" i="3"/>
  <c r="E366" i="3"/>
  <c r="E330" i="3"/>
  <c r="E350" i="3"/>
  <c r="E496" i="3"/>
  <c r="E352" i="3"/>
  <c r="E138" i="3"/>
  <c r="E519" i="3"/>
  <c r="E252" i="3"/>
  <c r="E544" i="3"/>
  <c r="E557" i="3"/>
  <c r="E464" i="3"/>
  <c r="E450" i="3"/>
  <c r="E249" i="3"/>
  <c r="E460" i="3"/>
  <c r="E463" i="3"/>
  <c r="E426" i="3"/>
  <c r="E75" i="3"/>
  <c r="J6" i="3"/>
  <c r="E438" i="3"/>
  <c r="E293" i="3"/>
  <c r="E560" i="3"/>
  <c r="E111" i="3"/>
  <c r="E261" i="3"/>
  <c r="E467" i="3"/>
  <c r="E67" i="3"/>
  <c r="E214" i="3"/>
  <c r="E486" i="3"/>
  <c r="E543" i="3"/>
  <c r="E264" i="3"/>
  <c r="E369" i="3"/>
  <c r="E23" i="3"/>
  <c r="E265" i="3"/>
  <c r="AM6" i="3"/>
  <c r="E337" i="3"/>
  <c r="E158" i="3"/>
  <c r="E472" i="3"/>
  <c r="E253" i="3"/>
  <c r="E537" i="3"/>
  <c r="E54" i="3"/>
  <c r="E452" i="3"/>
  <c r="E213" i="3"/>
  <c r="E536" i="3"/>
  <c r="E397" i="3"/>
  <c r="E462" i="3"/>
  <c r="E47" i="3"/>
  <c r="E545" i="3"/>
  <c r="E184" i="3"/>
  <c r="E482" i="3"/>
  <c r="E473" i="3"/>
  <c r="N6" i="3"/>
  <c r="E232" i="3"/>
  <c r="AO6" i="3"/>
  <c r="E475" i="3"/>
  <c r="E421" i="3"/>
  <c r="E206" i="3"/>
  <c r="E132" i="3"/>
  <c r="E333" i="3"/>
  <c r="E91" i="3"/>
  <c r="E115" i="3"/>
  <c r="E359" i="3"/>
  <c r="E195" i="3"/>
  <c r="E391" i="3"/>
  <c r="E321" i="3"/>
  <c r="E127" i="3"/>
  <c r="E266" i="3"/>
  <c r="E215" i="3"/>
  <c r="I6" i="3"/>
  <c r="E548" i="3"/>
  <c r="Z6" i="3"/>
  <c r="E454" i="3"/>
  <c r="E520" i="3"/>
  <c r="AK6" i="3"/>
  <c r="E395" i="3"/>
  <c r="E270" i="3"/>
  <c r="E161" i="3"/>
  <c r="E295" i="3"/>
  <c r="E201" i="3"/>
  <c r="E274" i="3"/>
  <c r="E547" i="3"/>
  <c r="E33" i="3"/>
  <c r="E119" i="3"/>
  <c r="E97" i="3"/>
  <c r="E289" i="3"/>
  <c r="E189" i="3"/>
  <c r="E507" i="3"/>
  <c r="E275" i="3"/>
  <c r="E39" i="3"/>
  <c r="E107" i="3"/>
  <c r="E288" i="3"/>
  <c r="E393" i="3"/>
  <c r="E88" i="3"/>
  <c r="E480" i="3"/>
  <c r="E220" i="3"/>
  <c r="E283" i="3"/>
  <c r="E156" i="3"/>
  <c r="E49" i="3"/>
  <c r="E193" i="3"/>
  <c r="E534" i="3"/>
  <c r="R6" i="3"/>
  <c r="E84" i="3"/>
  <c r="E431" i="3"/>
  <c r="E38" i="3"/>
  <c r="E313" i="3"/>
  <c r="E405" i="3"/>
  <c r="E476" i="3"/>
  <c r="E114" i="3"/>
  <c r="E93" i="3"/>
  <c r="E55" i="3"/>
  <c r="E570" i="3"/>
  <c r="E409" i="3"/>
  <c r="E124" i="3"/>
  <c r="E388" i="3"/>
  <c r="E146" i="3"/>
  <c r="E434" i="3"/>
  <c r="E57" i="3"/>
  <c r="E104" i="3"/>
  <c r="E387" i="3"/>
  <c r="E125" i="3"/>
  <c r="P6" i="3"/>
  <c r="AP6" i="3"/>
  <c r="E70" i="3"/>
  <c r="E151" i="3"/>
  <c r="E53" i="3"/>
  <c r="W6" i="3"/>
  <c r="E192" i="3"/>
  <c r="E348" i="3"/>
  <c r="E394" i="3"/>
  <c r="E282" i="3"/>
  <c r="E375" i="3"/>
  <c r="E83" i="3"/>
  <c r="E222" i="3"/>
  <c r="E430" i="3"/>
  <c r="E77" i="3"/>
  <c r="E552" i="3"/>
  <c r="AH6" i="3"/>
  <c r="AN6" i="3"/>
  <c r="AD6" i="3"/>
  <c r="K6" i="3"/>
  <c r="AL6" i="3"/>
  <c r="E59" i="40"/>
  <c r="F59" i="40"/>
  <c r="E64" i="39"/>
  <c r="E16" i="6"/>
  <c r="E66" i="39"/>
  <c r="E61" i="40"/>
  <c r="F61" i="40"/>
  <c r="C16" i="15"/>
  <c r="B16" i="66"/>
  <c r="AC6" i="3"/>
  <c r="H6" i="3"/>
  <c r="K16" i="1"/>
  <c r="B15" i="66"/>
  <c r="E6" i="3"/>
  <c r="F33" i="12"/>
  <c r="C34" i="12"/>
  <c r="D33" i="12"/>
  <c r="F18" i="11"/>
  <c r="C18" i="11"/>
  <c r="C19" i="11"/>
  <c r="F24" i="43"/>
  <c r="C26" i="43"/>
  <c r="D24" i="43"/>
  <c r="O7" i="1"/>
  <c r="P7" i="1"/>
  <c r="M16" i="1"/>
  <c r="S6" i="1"/>
  <c r="M19" i="6"/>
  <c r="K27" i="6"/>
  <c r="O14" i="1"/>
  <c r="P14" i="1"/>
  <c r="D16" i="12"/>
  <c r="D16" i="43"/>
  <c r="C16" i="43"/>
  <c r="E6" i="6"/>
  <c r="C21" i="4"/>
  <c r="O5" i="54"/>
  <c r="B45" i="63"/>
  <c r="L38" i="9"/>
  <c r="B14" i="66"/>
  <c r="B1" i="66"/>
  <c r="D45" i="9"/>
  <c r="D46" i="9"/>
  <c r="D10" i="11"/>
  <c r="E68" i="39"/>
  <c r="J12" i="40"/>
  <c r="F12" i="39"/>
  <c r="F12" i="40"/>
  <c r="H12" i="39"/>
  <c r="H12" i="40"/>
  <c r="J12" i="39"/>
  <c r="S7" i="1"/>
  <c r="M20" i="6"/>
  <c r="I20" i="6"/>
  <c r="S20" i="6"/>
  <c r="AY382" i="3"/>
  <c r="AY19" i="3"/>
  <c r="AY508" i="3"/>
  <c r="AY189" i="3"/>
  <c r="AY30" i="3"/>
  <c r="AY425" i="3"/>
  <c r="D3" i="6"/>
  <c r="AY191" i="3"/>
  <c r="AY308" i="3"/>
  <c r="AY542" i="3"/>
  <c r="AY348" i="3"/>
  <c r="AY202" i="3"/>
  <c r="AY45" i="3"/>
  <c r="AY486" i="3"/>
  <c r="AY41" i="3"/>
  <c r="AY504" i="3"/>
  <c r="AY175" i="3"/>
  <c r="AY467" i="3"/>
  <c r="AY139" i="3"/>
  <c r="AY70" i="3"/>
  <c r="BK6" i="3"/>
  <c r="AY435" i="3"/>
  <c r="AY132" i="3"/>
  <c r="AY188"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83" i="3"/>
  <c r="AY449" i="3"/>
  <c r="AY241" i="3"/>
  <c r="AY384" i="3"/>
  <c r="AY82" i="3"/>
  <c r="AY182" i="3"/>
  <c r="AY479" i="3"/>
  <c r="AY238" i="3"/>
  <c r="AY230" i="3"/>
  <c r="AY157" i="3"/>
  <c r="AY21" i="3"/>
  <c r="AY411" i="3"/>
  <c r="AY200" i="3"/>
  <c r="AY85" i="3"/>
  <c r="AY314" i="3"/>
  <c r="AY510" i="3"/>
  <c r="AY368" i="3"/>
  <c r="AY471" i="3"/>
  <c r="AY367" i="3"/>
  <c r="BT6" i="3"/>
  <c r="AY456" i="3"/>
  <c r="AY247" i="3"/>
  <c r="AY78" i="3"/>
  <c r="AY375" i="3"/>
  <c r="AY506" i="3"/>
  <c r="AY475" i="3"/>
  <c r="AY133" i="3"/>
  <c r="AY68" i="3"/>
  <c r="AY17" i="3"/>
  <c r="AY484" i="3"/>
  <c r="AY390" i="3"/>
  <c r="BF6" i="3"/>
  <c r="AY325" i="3"/>
  <c r="AY519" i="3"/>
  <c r="AY527" i="3"/>
  <c r="AY552" i="3"/>
  <c r="AY498" i="3"/>
  <c r="AY303" i="3"/>
  <c r="AY562" i="3"/>
  <c r="AY162" i="3"/>
  <c r="AY283" i="3"/>
  <c r="BA6" i="3"/>
  <c r="AY371" i="3"/>
  <c r="AY148" i="3"/>
  <c r="AY569" i="3"/>
  <c r="AY219" i="3"/>
  <c r="AY46" i="3"/>
  <c r="AY443" i="3"/>
  <c r="AY290" i="3"/>
  <c r="AY158" i="3"/>
  <c r="AY515" i="3"/>
  <c r="AY64" i="3"/>
  <c r="AY494" i="3"/>
  <c r="AY273" i="3"/>
  <c r="AY24" i="3"/>
  <c r="AY493" i="3"/>
  <c r="AY544" i="3"/>
  <c r="AY437" i="3"/>
  <c r="AY282" i="3"/>
  <c r="AY359" i="3"/>
  <c r="AY394" i="3"/>
  <c r="AY254" i="3"/>
  <c r="BS6" i="3"/>
  <c r="AY257" i="3"/>
  <c r="AY172" i="3"/>
  <c r="AY311" i="3"/>
  <c r="AY280" i="3"/>
  <c r="AY28" i="3"/>
  <c r="AY432" i="3"/>
  <c r="AY216" i="3"/>
  <c r="AY150" i="3"/>
  <c r="AY204" i="3"/>
  <c r="AY103" i="3"/>
  <c r="AY481" i="3"/>
  <c r="AY99" i="3"/>
  <c r="AY501" i="3"/>
  <c r="AY43" i="3"/>
  <c r="AY429" i="3"/>
  <c r="AY305" i="3"/>
  <c r="AY101" i="3"/>
  <c r="AY161" i="3"/>
  <c r="AY346" i="3"/>
  <c r="AY50" i="3"/>
  <c r="AY350" i="3"/>
  <c r="AY265" i="3"/>
  <c r="AY65" i="3"/>
  <c r="AY343" i="3"/>
  <c r="AY181" i="3"/>
  <c r="AY402" i="3"/>
  <c r="AY317" i="3"/>
  <c r="AY234" i="3"/>
  <c r="AY31" i="3"/>
  <c r="AY47" i="3"/>
  <c r="AY105" i="3"/>
  <c r="AY159" i="3"/>
  <c r="AY6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BI6" i="3"/>
  <c r="AY470" i="3"/>
  <c r="AY210" i="3"/>
  <c r="AY520" i="3"/>
  <c r="AY231" i="3"/>
  <c r="AY468" i="3"/>
  <c r="AY322" i="3"/>
  <c r="AY531" i="3"/>
  <c r="AY480" i="3"/>
  <c r="AY145" i="3"/>
  <c r="AY378" i="3"/>
  <c r="AY206" i="3"/>
  <c r="AY143" i="3"/>
  <c r="AY276" i="3"/>
  <c r="AY451" i="3"/>
  <c r="AY72" i="3"/>
  <c r="AY421" i="3"/>
  <c r="AY284" i="3"/>
  <c r="AY474" i="3"/>
  <c r="AY345" i="3"/>
  <c r="AY300" i="3"/>
  <c r="AY177" i="3"/>
  <c r="AY377" i="3"/>
  <c r="AY490" i="3"/>
  <c r="AY395" i="3"/>
  <c r="AY440" i="3"/>
  <c r="AY244" i="3"/>
  <c r="AY233" i="3"/>
  <c r="AY120" i="3"/>
  <c r="AY203" i="3"/>
  <c r="AY248" i="3"/>
  <c r="AY223" i="3"/>
  <c r="AY156" i="3"/>
  <c r="AY478" i="3"/>
  <c r="AY205" i="3"/>
  <c r="AY488" i="3"/>
  <c r="AY79" i="3"/>
  <c r="AY373" i="3"/>
  <c r="AY441" i="3"/>
  <c r="AY482" i="3"/>
  <c r="AY173" i="3"/>
  <c r="AY23" i="3"/>
  <c r="AY215" i="3"/>
  <c r="AY507" i="3"/>
  <c r="AY499" i="3"/>
  <c r="AY514" i="3"/>
  <c r="AY298" i="3"/>
  <c r="AY502" i="3"/>
  <c r="AY455" i="3"/>
  <c r="AY433" i="3"/>
  <c r="AY545" i="3"/>
  <c r="AY267" i="3"/>
  <c r="AY401" i="3"/>
  <c r="AY71" i="3"/>
  <c r="AY174" i="3"/>
  <c r="AY485" i="3"/>
  <c r="AY453" i="3"/>
  <c r="AY472" i="3"/>
  <c r="AY193" i="3"/>
  <c r="AY227" i="3"/>
  <c r="AY91" i="3"/>
  <c r="AY37" i="3"/>
  <c r="AY424" i="3"/>
  <c r="AY329" i="3"/>
  <c r="BP6" i="3"/>
  <c r="AY235" i="3"/>
  <c r="AY192" i="3"/>
  <c r="AY160" i="3"/>
  <c r="AY344" i="3"/>
  <c r="AY410" i="3"/>
  <c r="AY125" i="3"/>
  <c r="AY252" i="3"/>
  <c r="AY228" i="3"/>
  <c r="AY568" i="3"/>
  <c r="AY312" i="3"/>
  <c r="AY134" i="3"/>
  <c r="BG6" i="3"/>
  <c r="AY165" i="3"/>
  <c r="AY255" i="3"/>
  <c r="AY354" i="3"/>
  <c r="AY121" i="3"/>
  <c r="AY13" i="3"/>
  <c r="AY289" i="3"/>
  <c r="AY564" i="3"/>
  <c r="AY462" i="3"/>
  <c r="AY558" i="3"/>
  <c r="AY565" i="3"/>
  <c r="AY557" i="3"/>
  <c r="AY93" i="3"/>
  <c r="AY270" i="3"/>
  <c r="AY554" i="3"/>
  <c r="AY212" i="3"/>
  <c r="AY353" i="3"/>
  <c r="AY522" i="3"/>
  <c r="AY33" i="3"/>
  <c r="AY551" i="3"/>
  <c r="AY167" i="3"/>
  <c r="AY180" i="3"/>
  <c r="AY292" i="3"/>
  <c r="AY27" i="3"/>
  <c r="AY538" i="3"/>
  <c r="AY130" i="3"/>
  <c r="AY509" i="3"/>
  <c r="BB6" i="3"/>
  <c r="AY533" i="3"/>
  <c r="AY102" i="3"/>
  <c r="AY51" i="3"/>
  <c r="AY511" i="3"/>
  <c r="AY517" i="3"/>
  <c r="AY523" i="3"/>
  <c r="AY169" i="3"/>
  <c r="AY275" i="3"/>
  <c r="AY555" i="3"/>
  <c r="AY398" i="3"/>
  <c r="AY95" i="3"/>
  <c r="AY128" i="3"/>
  <c r="AY264" i="3"/>
  <c r="AY364" i="3"/>
  <c r="AY115" i="3"/>
  <c r="AY420" i="3"/>
  <c r="AY124" i="3"/>
  <c r="AY293" i="3"/>
  <c r="AY271" i="3"/>
  <c r="AY111" i="3"/>
  <c r="AY229" i="3"/>
  <c r="AY268" i="3"/>
  <c r="AY75" i="3"/>
  <c r="AY171" i="3"/>
  <c r="AY316" i="3"/>
  <c r="AY413" i="3"/>
  <c r="AY370" i="3"/>
  <c r="AY112" i="3"/>
  <c r="AY20" i="3"/>
  <c r="AY153" i="3"/>
  <c r="AY559" i="3"/>
  <c r="AY240" i="3"/>
  <c r="AY84" i="3"/>
  <c r="AY357" i="3"/>
  <c r="AY563" i="3"/>
  <c r="AY505" i="3"/>
  <c r="AY540" i="3"/>
  <c r="AY222" i="3"/>
  <c r="AY186" i="3"/>
  <c r="AY66" i="3"/>
  <c r="AY461" i="3"/>
  <c r="AY140" i="3"/>
  <c r="AY407" i="3"/>
  <c r="AY127" i="3"/>
  <c r="AY406" i="3"/>
  <c r="AY22" i="3"/>
  <c r="AY561" i="3"/>
  <c r="AY147" i="3"/>
  <c r="AY318" i="3"/>
  <c r="AY288" i="3"/>
  <c r="AY44" i="3"/>
  <c r="AY356" i="3"/>
  <c r="AY176" i="3"/>
  <c r="AY392" i="3"/>
  <c r="AY309" i="3"/>
  <c r="AY218" i="3"/>
  <c r="AY34" i="3"/>
  <c r="AY42" i="3"/>
  <c r="AY526" i="3"/>
  <c r="AY428" i="3"/>
  <c r="AY431" i="3"/>
  <c r="AY86" i="3"/>
  <c r="BH6" i="3"/>
  <c r="AY465" i="3"/>
  <c r="AY321" i="3"/>
  <c r="AY76" i="3"/>
  <c r="AY197" i="3"/>
  <c r="AY341" i="3"/>
  <c r="AY25" i="3"/>
  <c r="AY337" i="3"/>
  <c r="AY183" i="3"/>
  <c r="AY123" i="3"/>
  <c r="AY374" i="3"/>
  <c r="AY117" i="3"/>
  <c r="AY408" i="3"/>
  <c r="AY333" i="3"/>
  <c r="AY246" i="3"/>
  <c r="AY36" i="3"/>
  <c r="AY52" i="3"/>
  <c r="AY516" i="3"/>
  <c r="AY236" i="3"/>
  <c r="AY528" i="3"/>
  <c r="AY572" i="3"/>
  <c r="AY442" i="3"/>
  <c r="AY405" i="3"/>
  <c r="AY272" i="3"/>
  <c r="AY340" i="3"/>
  <c r="AY400" i="3"/>
  <c r="AY226" i="3"/>
  <c r="AY459" i="3"/>
  <c r="AY310" i="3"/>
  <c r="AY141" i="3"/>
  <c r="AY560" i="3"/>
  <c r="AY250" i="3"/>
  <c r="AY55" i="3"/>
  <c r="AY416" i="3"/>
  <c r="AY209" i="3"/>
  <c r="AY118" i="3"/>
  <c r="AY126" i="3"/>
  <c r="AY100" i="3"/>
  <c r="AY179" i="3"/>
  <c r="AY58" i="3"/>
  <c r="AY8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199" i="3"/>
  <c r="AY263" i="3"/>
  <c r="AY40" i="3"/>
  <c r="AY347" i="3"/>
  <c r="AY469" i="3"/>
  <c r="BO6" i="3"/>
  <c r="AY63" i="3"/>
  <c r="AY14" i="3"/>
  <c r="BM6" i="3"/>
  <c r="AY304" i="3"/>
  <c r="AY387" i="3"/>
  <c r="AY419" i="3"/>
  <c r="AY249" i="3"/>
  <c r="AY56" i="3"/>
  <c r="AY301" i="3"/>
  <c r="AY567" i="3"/>
  <c r="AY18" i="3"/>
  <c r="AY426" i="3"/>
  <c r="AY119" i="3"/>
  <c r="AY513" i="3"/>
  <c r="AY524" i="3"/>
  <c r="AY164" i="3"/>
  <c r="AY297" i="3"/>
  <c r="AY393" i="3"/>
  <c r="AY281" i="3"/>
  <c r="AY351" i="3"/>
  <c r="AY184" i="3"/>
  <c r="BN6" i="3"/>
  <c r="AY274" i="3"/>
  <c r="AY38" i="3"/>
  <c r="AY137" i="3"/>
  <c r="AY113" i="3"/>
  <c r="AY553" i="3"/>
  <c r="AY313" i="3"/>
  <c r="AY423" i="3"/>
  <c r="AY460" i="3"/>
  <c r="AY243" i="3"/>
  <c r="AY466" i="3"/>
  <c r="AY496" i="3"/>
  <c r="AY491" i="3"/>
  <c r="AY237" i="3"/>
  <c r="AY61" i="3"/>
  <c r="AY48" i="3"/>
  <c r="AY391" i="3"/>
  <c r="AY454" i="3"/>
  <c r="AY403" i="3"/>
  <c r="AY110" i="3"/>
  <c r="AY213" i="3"/>
  <c r="AY547" i="3"/>
  <c r="AY339" i="3"/>
  <c r="AY363" i="3"/>
  <c r="AY495" i="3"/>
  <c r="AY195" i="3"/>
  <c r="AY328" i="3"/>
  <c r="AY399" i="3"/>
  <c r="AY151" i="3"/>
  <c r="AY131" i="3"/>
  <c r="BL6" i="3"/>
  <c r="AY266" i="3"/>
  <c r="AY414" i="3"/>
  <c r="AY286" i="3"/>
  <c r="AY556" i="3"/>
  <c r="BD6" i="3"/>
  <c r="BQ6" i="3"/>
  <c r="AY358" i="3"/>
  <c r="AY436" i="3"/>
  <c r="AY114" i="3"/>
  <c r="AY360" i="3"/>
  <c r="AY534" i="3"/>
  <c r="AY512" i="3"/>
  <c r="AY362" i="3"/>
  <c r="AY260" i="3"/>
  <c r="AY566" i="3"/>
  <c r="AY54" i="3"/>
  <c r="AY444" i="3"/>
  <c r="AY261" i="3"/>
  <c r="AY196" i="3"/>
  <c r="AY570" i="3"/>
  <c r="AY521" i="3"/>
  <c r="BE6" i="3"/>
  <c r="AY277" i="3"/>
  <c r="AY90" i="3"/>
  <c r="AY487" i="3"/>
  <c r="AY338" i="3"/>
  <c r="BJ6" i="3"/>
  <c r="AY96" i="3"/>
  <c r="AY190" i="3"/>
  <c r="AY434" i="3"/>
  <c r="AY334" i="3"/>
  <c r="AY571" i="3"/>
  <c r="AY532" i="3"/>
  <c r="AY251" i="3"/>
  <c r="AY59" i="3"/>
  <c r="AY306" i="3"/>
  <c r="AY473" i="3"/>
  <c r="AY541" i="3"/>
  <c r="AY439" i="3"/>
  <c r="AY477" i="3"/>
  <c r="AY452" i="3"/>
  <c r="AY225" i="3"/>
  <c r="AY418" i="3"/>
  <c r="AY331" i="3"/>
  <c r="AY539" i="3"/>
  <c r="AY296" i="3"/>
  <c r="AY89" i="3"/>
  <c r="AY332" i="3"/>
  <c r="AY94" i="3"/>
  <c r="AY536" i="3"/>
  <c r="AY535" i="3"/>
  <c r="C17" i="15"/>
  <c r="P16" i="1"/>
  <c r="C13" i="12"/>
  <c r="C14" i="12"/>
  <c r="C16" i="66"/>
  <c r="C15" i="66"/>
  <c r="E63" i="40"/>
  <c r="F63" i="40"/>
  <c r="B2" i="40"/>
  <c r="D19" i="6"/>
  <c r="D25" i="6"/>
  <c r="D13" i="6"/>
  <c r="H24" i="6"/>
  <c r="D23" i="6"/>
  <c r="D28" i="6"/>
  <c r="D8" i="6"/>
  <c r="E45" i="9"/>
  <c r="D26" i="6"/>
  <c r="D11" i="6"/>
  <c r="H20" i="6"/>
  <c r="D9" i="6"/>
  <c r="D29" i="6"/>
  <c r="D15" i="6"/>
  <c r="F46" i="9"/>
  <c r="C22" i="4"/>
  <c r="D21" i="6"/>
  <c r="D10" i="6"/>
  <c r="H21" i="6"/>
  <c r="D6" i="6"/>
  <c r="D14" i="6"/>
  <c r="D20" i="6"/>
  <c r="H23" i="6"/>
  <c r="F45" i="9"/>
  <c r="K38" i="9"/>
  <c r="C14" i="66"/>
  <c r="B2" i="66"/>
  <c r="D24" i="6"/>
  <c r="R24" i="6"/>
  <c r="D22" i="6"/>
  <c r="D12" i="6"/>
  <c r="H25" i="6"/>
  <c r="D5" i="6"/>
  <c r="H22" i="6"/>
  <c r="H26" i="6"/>
  <c r="E46" i="9"/>
  <c r="W12" i="39"/>
  <c r="AC12" i="39"/>
  <c r="V49" i="39"/>
  <c r="I49" i="39"/>
  <c r="AB12" i="39"/>
  <c r="T49" i="39"/>
  <c r="G49" i="39"/>
  <c r="U12" i="39"/>
  <c r="AA12" i="39"/>
  <c r="R49" i="39"/>
  <c r="S12" i="39"/>
  <c r="D22" i="12"/>
  <c r="C22" i="12"/>
  <c r="C20" i="12"/>
  <c r="D13" i="11"/>
  <c r="C13" i="11"/>
  <c r="C16" i="12"/>
  <c r="D19" i="12"/>
  <c r="C19" i="12"/>
  <c r="S16" i="1"/>
  <c r="T7" i="1"/>
  <c r="U12" i="40"/>
  <c r="AB12" i="40"/>
  <c r="S12" i="40"/>
  <c r="AA12" i="40"/>
  <c r="AC12" i="40"/>
  <c r="W12" i="40"/>
  <c r="C7" i="66"/>
  <c r="C8" i="66"/>
  <c r="M27" i="6"/>
  <c r="I19" i="6"/>
  <c r="H19" i="6"/>
  <c r="L16" i="1"/>
  <c r="N16" i="1"/>
  <c r="C29" i="43"/>
  <c r="C13" i="43"/>
  <c r="O16" i="1"/>
  <c r="C20" i="11"/>
  <c r="C21" i="11"/>
  <c r="C22" i="11"/>
  <c r="C23" i="11"/>
  <c r="B2" i="11"/>
  <c r="C14" i="15"/>
  <c r="C17" i="12"/>
  <c r="C18" i="12"/>
  <c r="C23" i="12"/>
  <c r="C35" i="12"/>
  <c r="C33" i="12"/>
  <c r="H27" i="6"/>
  <c r="R26" i="6"/>
  <c r="C18" i="15"/>
  <c r="C15" i="15"/>
  <c r="C14" i="43"/>
  <c r="C17" i="43"/>
  <c r="T13" i="1"/>
  <c r="T12" i="1"/>
  <c r="T9" i="1"/>
  <c r="T10" i="1"/>
  <c r="T11" i="1"/>
  <c r="T6" i="1"/>
  <c r="T8" i="1"/>
  <c r="E49" i="39"/>
  <c r="I54" i="39"/>
  <c r="J54" i="39"/>
  <c r="R50" i="39"/>
  <c r="G53" i="39"/>
  <c r="H53" i="39"/>
  <c r="G54" i="39"/>
  <c r="H54" i="39"/>
  <c r="R20" i="6"/>
  <c r="R7" i="1"/>
  <c r="A6" i="51"/>
  <c r="B7" i="63"/>
  <c r="A6" i="64"/>
  <c r="A20" i="51"/>
  <c r="B15" i="63"/>
  <c r="N5" i="54"/>
  <c r="B43" i="63"/>
  <c r="A20" i="64"/>
  <c r="D30" i="6"/>
  <c r="R25" i="6"/>
  <c r="B4" i="40"/>
  <c r="B5" i="40"/>
  <c r="B3" i="40"/>
  <c r="B4" i="11"/>
  <c r="B5" i="11"/>
  <c r="B3" i="11"/>
  <c r="I27" i="6"/>
  <c r="S19" i="6"/>
  <c r="S27" i="6"/>
  <c r="I53" i="39"/>
  <c r="J53" i="39"/>
  <c r="R22" i="6"/>
  <c r="D8" i="66"/>
  <c r="D7" i="66"/>
  <c r="R21" i="6"/>
  <c r="D16" i="6"/>
  <c r="R23" i="6"/>
  <c r="D27" i="6"/>
  <c r="R19" i="6"/>
  <c r="M21" i="15"/>
  <c r="F35" i="15"/>
  <c r="C16" i="44"/>
  <c r="C28" i="12"/>
  <c r="C26" i="12"/>
  <c r="C31" i="12"/>
  <c r="C30" i="12"/>
  <c r="C36" i="12"/>
  <c r="B2" i="12"/>
  <c r="C19" i="15"/>
  <c r="C20" i="15"/>
  <c r="C26" i="15"/>
  <c r="C18" i="43"/>
  <c r="C19" i="43"/>
  <c r="C25" i="43"/>
  <c r="C24" i="43"/>
  <c r="T16" i="1"/>
  <c r="C17" i="44"/>
  <c r="C20" i="44"/>
  <c r="C34" i="15"/>
  <c r="C31" i="15"/>
  <c r="F62" i="15"/>
  <c r="C61" i="15"/>
  <c r="C58" i="15"/>
  <c r="J20" i="15"/>
  <c r="D31" i="6"/>
  <c r="C49" i="39"/>
  <c r="C50" i="39"/>
  <c r="R6" i="1"/>
  <c r="R16" i="1"/>
  <c r="R27" i="6"/>
  <c r="E54" i="39"/>
  <c r="F54" i="39"/>
  <c r="E53" i="39"/>
  <c r="F53" i="39"/>
  <c r="C19" i="9"/>
  <c r="C23" i="15"/>
  <c r="C29" i="15"/>
  <c r="C21" i="44"/>
  <c r="C22" i="43"/>
  <c r="C21" i="43"/>
  <c r="C28" i="43"/>
  <c r="C30" i="43"/>
  <c r="C32" i="43"/>
  <c r="B2" i="43"/>
  <c r="B3" i="43"/>
  <c r="L43" i="9"/>
  <c r="B61" i="39"/>
  <c r="F61" i="39"/>
  <c r="B59" i="39"/>
  <c r="F59" i="39"/>
  <c r="B67" i="39"/>
  <c r="F67" i="39"/>
  <c r="B66" i="39"/>
  <c r="F66" i="39"/>
  <c r="B58" i="39"/>
  <c r="F58" i="39"/>
  <c r="B62" i="39"/>
  <c r="F62" i="39"/>
  <c r="B64" i="39"/>
  <c r="F64" i="39"/>
  <c r="B65" i="39"/>
  <c r="F65" i="39"/>
  <c r="B60" i="39"/>
  <c r="F60" i="39"/>
  <c r="B63" i="39"/>
  <c r="F63" i="39"/>
  <c r="I6" i="6"/>
  <c r="I5" i="6"/>
  <c r="B3" i="12"/>
  <c r="B4" i="12"/>
  <c r="B5" i="12"/>
  <c r="B4" i="43"/>
  <c r="C22" i="44"/>
  <c r="C28" i="44"/>
  <c r="C20" i="9"/>
  <c r="C21" i="9"/>
  <c r="B5" i="43"/>
  <c r="C25" i="44"/>
  <c r="C31" i="44"/>
  <c r="C36" i="15"/>
  <c r="Q50" i="15"/>
  <c r="J19" i="15"/>
  <c r="J17" i="15"/>
  <c r="C56" i="15"/>
  <c r="C63" i="15"/>
  <c r="C13" i="15"/>
  <c r="J14" i="15"/>
  <c r="F68" i="39"/>
  <c r="B2" i="39"/>
  <c r="D19" i="9"/>
  <c r="D18" i="66"/>
  <c r="L44" i="9"/>
  <c r="G19" i="9"/>
  <c r="D22" i="9"/>
  <c r="B3" i="39"/>
  <c r="B4" i="39"/>
  <c r="B5" i="39"/>
  <c r="C55" i="15"/>
  <c r="C64" i="15"/>
  <c r="Q71" i="15"/>
  <c r="J35" i="15"/>
  <c r="C37" i="15"/>
  <c r="C30" i="15"/>
  <c r="C39" i="15"/>
  <c r="J22" i="15"/>
  <c r="J13" i="15"/>
  <c r="J23" i="15"/>
  <c r="C57" i="15"/>
  <c r="C66" i="15"/>
  <c r="C67" i="15"/>
  <c r="J16" i="44"/>
  <c r="C35" i="44"/>
  <c r="C33" i="44"/>
  <c r="C38" i="44"/>
  <c r="Q51" i="44"/>
  <c r="J21" i="44"/>
  <c r="J19" i="44"/>
  <c r="C15" i="44"/>
  <c r="D21" i="9"/>
  <c r="D20" i="9"/>
  <c r="L51" i="15"/>
  <c r="E18" i="66"/>
  <c r="F18" i="66"/>
  <c r="J16" i="15"/>
  <c r="J25" i="15"/>
  <c r="J39" i="15"/>
  <c r="J40" i="15"/>
  <c r="Q68" i="15"/>
  <c r="G20" i="9"/>
  <c r="G21" i="9"/>
  <c r="J24" i="44"/>
  <c r="J15" i="44"/>
  <c r="J25" i="44"/>
  <c r="Q70" i="15"/>
  <c r="Q69" i="15"/>
  <c r="C40" i="15"/>
  <c r="C46" i="15"/>
  <c r="G22" i="9"/>
  <c r="N43" i="9"/>
  <c r="C32" i="9"/>
  <c r="A27" i="9"/>
  <c r="C39" i="44"/>
  <c r="C32" i="44"/>
  <c r="C42" i="44"/>
  <c r="Q72" i="44"/>
  <c r="C43" i="44"/>
  <c r="C70" i="15"/>
  <c r="D16" i="66"/>
  <c r="C42" i="9"/>
  <c r="O43" i="9"/>
  <c r="O38" i="9"/>
  <c r="C34" i="9"/>
  <c r="C35" i="9"/>
  <c r="F42" i="9"/>
  <c r="C33" i="9"/>
  <c r="J18" i="44"/>
  <c r="J27" i="44"/>
  <c r="C44" i="44"/>
  <c r="C45" i="44"/>
  <c r="B2" i="44"/>
  <c r="Q71" i="44"/>
  <c r="Q70" i="44"/>
  <c r="Q48" i="15"/>
  <c r="Q54" i="15"/>
  <c r="C43" i="15"/>
  <c r="Q66" i="15"/>
  <c r="Q76" i="15"/>
  <c r="Q57" i="15"/>
  <c r="Q63" i="15"/>
  <c r="B2" i="15"/>
  <c r="B3" i="15"/>
  <c r="J42" i="15"/>
  <c r="J43" i="15"/>
  <c r="F16" i="66"/>
  <c r="E16" i="66"/>
  <c r="D15" i="66"/>
  <c r="B4" i="44"/>
  <c r="B5" i="44"/>
  <c r="B3" i="44"/>
  <c r="N38" i="9"/>
  <c r="K28" i="9"/>
  <c r="D42" i="9"/>
  <c r="Q5" i="54"/>
  <c r="B47" i="63"/>
  <c r="E42" i="9"/>
  <c r="P5" i="54"/>
  <c r="B46" i="63"/>
  <c r="M38" i="9"/>
  <c r="K27" i="9"/>
  <c r="K25" i="9"/>
  <c r="K26" i="9"/>
  <c r="D14" i="66"/>
  <c r="C44" i="9"/>
  <c r="N68" i="9"/>
  <c r="D63" i="9"/>
  <c r="R5" i="54"/>
  <c r="B48" i="63"/>
  <c r="F15" i="66"/>
  <c r="E15" i="66"/>
  <c r="E14" i="66"/>
  <c r="U1" i="68"/>
  <c r="F14" i="66"/>
  <c r="D71" i="9"/>
  <c r="D66" i="9"/>
  <c r="N72" i="9"/>
  <c r="D77" i="9"/>
  <c r="N75" i="9"/>
  <c r="C82" i="9"/>
  <c r="C81" i="9"/>
  <c r="C85" i="9"/>
  <c r="C86" i="9"/>
  <c r="D72" i="9"/>
  <c r="D70" i="9"/>
  <c r="C90" i="9"/>
  <c r="C96" i="9"/>
  <c r="C91" i="9"/>
  <c r="C103" i="9"/>
  <c r="C111" i="9"/>
  <c r="C104" i="9"/>
  <c r="F44" i="9"/>
  <c r="N69" i="9"/>
  <c r="G14" i="66"/>
  <c r="B6" i="66"/>
  <c r="E44" i="9"/>
  <c r="D44" i="9"/>
  <c r="O39" i="9"/>
  <c r="D19" i="66"/>
  <c r="C113" i="9"/>
  <c r="C97" i="9"/>
  <c r="C6" i="66"/>
  <c r="D6" i="66"/>
  <c r="K29" i="9"/>
  <c r="K30" i="9"/>
  <c r="R6" i="54"/>
  <c r="B50" i="63"/>
  <c r="M83" i="9"/>
  <c r="N83" i="9"/>
  <c r="M84" i="9"/>
  <c r="N84" i="9"/>
  <c r="M86" i="9"/>
  <c r="N86" i="9"/>
  <c r="M85" i="9"/>
  <c r="N85" i="9"/>
  <c r="M88" i="9"/>
  <c r="N88" i="9"/>
  <c r="M87" i="9"/>
  <c r="N87" i="9"/>
  <c r="C114" i="9"/>
  <c r="E114" i="9"/>
  <c r="E115" i="9"/>
  <c r="C98" i="9"/>
  <c r="E98" i="9"/>
  <c r="E99" i="9"/>
  <c r="U2" i="68"/>
  <c r="U3" i="68"/>
  <c r="U5" i="68"/>
  <c r="E19" i="66"/>
  <c r="F19" i="66"/>
  <c r="O51" i="68"/>
  <c r="D17" i="66"/>
  <c r="C115" i="9"/>
  <c r="D76" i="9"/>
  <c r="D74" i="9"/>
  <c r="N74" i="9"/>
  <c r="O77" i="9"/>
  <c r="O78" i="9"/>
  <c r="C99" i="9"/>
  <c r="V2" i="68"/>
  <c r="N89" i="9"/>
  <c r="O89" i="9"/>
  <c r="P51" i="68"/>
  <c r="N51" i="68"/>
  <c r="Q77" i="9"/>
  <c r="O79" i="9"/>
  <c r="O81" i="9"/>
  <c r="E17" i="66"/>
  <c r="F17" i="66"/>
  <c r="B5" i="66"/>
  <c r="V3" i="68"/>
  <c r="U9" i="68"/>
  <c r="O80" i="9"/>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<sst xmlns="http://schemas.openxmlformats.org/spreadsheetml/2006/main" count="8032" uniqueCount="3490">
  <si>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</si>
  <si>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</si>
  <si>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</si>
  <si>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</si>
  <si>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</si>
  <si>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</si>
  <si>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</si>
  <si>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</si>
  <si>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</si>
  <si>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</si>
  <si>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</si>
  <si>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</si>
  <si>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</si>
  <si>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</si>
  <si>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</si>
  <si>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</si>
  <si>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</si>
  <si>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</si>
  <si>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</si>
  <si>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</si>
  <si>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</si>
  <si>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</si>
  <si>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</si>
  <si>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</si>
  <si>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</si>
  <si>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</si>
  <si>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</si>
  <si>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</si>
  <si>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</si>
  <si>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</si>
  <si>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</si>
  <si>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</si>
  <si>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</si>
  <si>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</si>
  <si>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</si>
  <si>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</si>
  <si>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</si>
  <si>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</si>
  <si>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</si>
  <si>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</si>
  <si>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</si>
  <si>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</si>
  <si>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</si>
  <si>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</si>
  <si>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</si>
  <si>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</si>
  <si>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</si>
  <si>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</si>
  <si>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</si>
  <si>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</si>
  <si>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</si>
  <si>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</si>
  <si>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</si>
  <si>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</si>
  <si>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</si>
  <si>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</si>
  <si>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</si>
  <si>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</si>
  <si>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</si>
  <si>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</si>
  <si>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</si>
  <si>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</si>
  <si>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</si>
  <si>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</si>
  <si>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</si>
  <si>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</si>
  <si>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</si>
  <si>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</si>
  <si>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</si>
  <si>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</si>
  <si>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</si>
  <si>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</si>
  <si>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</si>
  <si>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</si>
  <si>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</si>
  <si>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</si>
  <si>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</si>
  <si>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</si>
  <si>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</si>
  <si>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</si>
  <si>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</si>
  <si>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</si>
  <si>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</si>
  <si>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</si>
  <si>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</si>
  <si>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</si>
  <si>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</si>
  <si>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</si>
  <si>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</si>
  <si>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</si>
  <si>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</si>
  <si>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</si>
  <si>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</si>
  <si>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</si>
  <si>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</si>
  <si>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</si>
  <si>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</si>
  <si>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</si>
  <si>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</si>
  <si>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</si>
  <si>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</si>
  <si>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</si>
  <si>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</si>
  <si>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</si>
  <si>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</si>
  <si>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</si>
  <si>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</si>
  <si>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</si>
  <si>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</si>
  <si>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</si>
  <si>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</si>
  <si>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</si>
  <si>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</si>
  <si>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</si>
  <si>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</si>
  <si>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</si>
  <si>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</si>
  <si>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</si>
  <si>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</si>
  <si>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</si>
  <si>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</si>
  <si>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</si>
  <si>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</si>
  <si>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</si>
  <si>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</si>
  <si>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</si>
  <si>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</si>
  <si>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</si>
  <si>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</si>
  <si>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</si>
  <si>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</si>
  <si>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</si>
  <si>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</si>
  <si>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</si>
  <si>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</si>
  <si>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</si>
  <si>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</si>
  <si>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</si>
  <si>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</si>
  <si>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</si>
  <si>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</si>
  <si>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</si>
  <si>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</si>
  <si>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</si>
  <si>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</si>
  <si>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</si>
  <si>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</si>
  <si>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</si>
  <si>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</si>
  <si>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</si>
  <si>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</si>
  <si>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</si>
  <si>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</si>
  <si>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</si>
  <si>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</si>
  <si>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</si>
  <si>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</si>
  <si>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</si>
  <si>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</si>
  <si>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</si>
  <si>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</si>
  <si>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</si>
  <si>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</si>
  <si>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</si>
  <si>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</si>
  <si>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</si>
  <si>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</si>
  <si>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</si>
  <si>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</si>
  <si>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</si>
  <si>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</si>
  <si>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</si>
  <si>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</si>
  <si>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</si>
  <si>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</si>
  <si>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</si>
  <si>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</si>
  <si>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</si>
  <si>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</si>
  <si>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</si>
  <si>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</si>
  <si>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</si>
  <si>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</si>
  <si>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</si>
  <si>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</si>
  <si>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</si>
  <si>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</si>
  <si>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</si>
  <si>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</si>
  <si>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</si>
  <si>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</si>
  <si>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</si>
  <si>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</si>
  <si>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</si>
  <si>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</si>
  <si>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</si>
  <si>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</si>
  <si>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</si>
  <si>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</si>
  <si>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</si>
  <si>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</si>
  <si>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</si>
  <si>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</si>
  <si>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</si>
  <si>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</si>
  <si>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</si>
  <si>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</si>
  <si>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</si>
  <si>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</si>
  <si>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</si>
  <si>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</si>
  <si>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</si>
  <si>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</si>
  <si>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</si>
  <si>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</si>
  <si>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</si>
  <si>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</si>
  <si>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</si>
  <si>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</si>
  <si>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</si>
  <si>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</si>
  <si>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</si>
  <si>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</si>
  <si>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</si>
  <si>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</si>
  <si>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</si>
  <si>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</si>
  <si>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</si>
  <si>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</si>
  <si>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</si>
  <si>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</si>
  <si>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</si>
  <si>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</si>
  <si>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</si>
  <si>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</si>
  <si>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</si>
  <si>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</si>
  <si>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</si>
  <si>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</si>
  <si>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</si>
  <si>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</si>
  <si>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</si>
  <si>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</si>
  <si>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</si>
  <si>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</si>
  <si>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</si>
  <si>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</si>
  <si>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</si>
  <si>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</si>
  <si>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</si>
  <si>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</si>
  <si>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</si>
  <si>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</si>
  <si>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</si>
  <si>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</si>
  <si>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</si>
  <si>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</si>
  <si>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</si>
  <si>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</si>
  <si>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</si>
  <si>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</si>
  <si>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</si>
  <si>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</si>
  <si>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</si>
  <si>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</si>
  <si>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</si>
  <si>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</si>
  <si>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</si>
  <si>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</si>
  <si>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</si>
  <si>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</si>
  <si>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</si>
  <si>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</si>
  <si>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</si>
  <si>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</si>
  <si>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</si>
  <si>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</si>
  <si>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</si>
  <si>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</si>
  <si>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</si>
  <si>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</si>
  <si>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</si>
  <si>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</si>
  <si>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</si>
  <si>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</si>
  <si>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</si>
  <si>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</si>
  <si>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</si>
  <si>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</si>
  <si>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</si>
  <si>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</si>
  <si>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</si>
  <si>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</si>
  <si>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</si>
  <si>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</si>
  <si>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</si>
  <si>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</si>
  <si>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</si>
  <si>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</si>
  <si>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</si>
  <si>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</si>
  <si>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</si>
  <si>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</si>
  <si>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</si>
  <si>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</si>
  <si>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</si>
  <si>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</si>
  <si>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</si>
  <si>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</si>
  <si>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</si>
  <si>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</si>
  <si>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</si>
  <si>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</si>
  <si>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</si>
  <si>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</si>
  <si>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</si>
  <si>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</si>
  <si>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</si>
  <si>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</si>
  <si>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</si>
  <si>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</si>
  <si>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</si>
  <si>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</si>
  <si>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</si>
  <si>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</si>
  <si>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</si>
  <si>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</si>
  <si>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</si>
  <si>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</si>
  <si>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</si>
  <si>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</si>
  <si>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</si>
  <si>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</si>
  <si>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</si>
  <si>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</si>
  <si>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</si>
  <si>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</si>
  <si>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</si>
  <si>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</si>
  <si>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</si>
  <si>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</si>
  <si>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</si>
  <si>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</si>
  <si>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</si>
  <si>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</si>
  <si>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</si>
  <si>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</si>
  <si>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</si>
  <si>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</si>
  <si>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</si>
  <si>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</si>
  <si>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</si>
  <si>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</si>
  <si>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</si>
  <si>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</si>
  <si>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</si>
  <si>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</si>
  <si>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</si>
  <si>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</si>
  <si>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</si>
  <si>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</si>
  <si>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</si>
  <si>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</si>
  <si>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</si>
  <si>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</si>
  <si>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</si>
  <si>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</si>
  <si>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</si>
  <si>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</si>
  <si>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</si>
  <si>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</si>
  <si>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</si>
  <si>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</si>
  <si>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</si>
  <si>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</si>
  <si>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</si>
  <si>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</si>
  <si>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</si>
  <si>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</si>
  <si>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</si>
  <si>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</si>
  <si>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</si>
  <si>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</si>
  <si>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</si>
  <si>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</si>
  <si>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</si>
  <si>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</si>
  <si>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</si>
  <si>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</si>
  <si>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</si>
  <si>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</si>
  <si>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</si>
  <si>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</si>
  <si>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</si>
  <si>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</si>
  <si>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</si>
  <si>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</si>
  <si>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</si>
  <si>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</si>
  <si>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</si>
  <si>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</si>
  <si>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</si>
  <si>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</si>
  <si>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</si>
  <si>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</si>
  <si>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</si>
  <si>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</si>
  <si>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</si>
  <si>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</si>
  <si>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</si>
  <si>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</si>
  <si>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</si>
  <si>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</si>
  <si>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</si>
  <si>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</si>
  <si>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</si>
  <si>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</si>
  <si>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</si>
  <si>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</si>
  <si>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</si>
  <si>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</si>
  <si>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</si>
  <si>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</si>
  <si>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</si>
  <si>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</si>
  <si>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</si>
  <si>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</si>
  <si>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</si>
  <si>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</si>
  <si>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</si>
  <si>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</si>
  <si>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</si>
  <si>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</si>
  <si>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</si>
  <si>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</si>
  <si>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</si>
  <si>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</si>
  <si>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</si>
  <si>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</si>
  <si>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</si>
  <si>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</si>
  <si>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</si>
  <si>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</si>
  <si>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</si>
  <si>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</si>
  <si>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</si>
  <si>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</si>
  <si>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</si>
  <si>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</si>
  <si>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</si>
  <si>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</si>
  <si>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</si>
  <si>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</si>
  <si>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</si>
  <si>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</si>
  <si>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</si>
  <si>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</si>
  <si>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</si>
  <si>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</si>
  <si>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</si>
  <si>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</si>
  <si>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</si>
  <si>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</si>
  <si>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</si>
  <si>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</si>
  <si>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</si>
  <si>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</si>
  <si>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</si>
  <si>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</si>
  <si>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</si>
  <si>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</si>
  <si>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</si>
  <si>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</si>
  <si>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</si>
  <si>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</si>
  <si>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</si>
  <si>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</si>
  <si>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</si>
  <si>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</si>
  <si>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</si>
  <si>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</si>
  <si>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</si>
  <si>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</si>
  <si>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</si>
  <si>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</si>
  <si>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</si>
  <si>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</si>
  <si>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</si>
  <si>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</si>
  <si>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</si>
  <si>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</si>
  <si>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</si>
  <si>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</si>
  <si>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</si>
  <si>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</si>
  <si>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</si>
  <si>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</si>
  <si>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</si>
  <si>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</si>
  <si>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</si>
  <si>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</si>
  <si>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</si>
  <si>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</si>
  <si>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</si>
  <si>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</si>
  <si>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</si>
  <si>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</si>
  <si>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</si>
  <si>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</si>
  <si>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</si>
  <si>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</si>
  <si>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</si>
  <si>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</si>
  <si>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</si>
  <si>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</si>
  <si>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</si>
  <si>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</si>
  <si>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</si>
  <si>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</si>
  <si>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</si>
  <si>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</si>
  <si>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</si>
  <si>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</si>
  <si>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</si>
  <si>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</si>
  <si>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</si>
  <si>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</si>
  <si>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</si>
  <si>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</si>
  <si>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</si>
  <si>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</si>
  <si>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</si>
  <si>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</si>
  <si>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</si>
  <si>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</si>
  <si>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</si>
  <si>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</si>
  <si>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</si>
  <si>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</si>
  <si>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</si>
  <si>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</si>
  <si>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</si>
  <si>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</si>
  <si>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</si>
  <si>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</si>
  <si>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</si>
  <si>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</si>
  <si>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</si>
  <si>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</si>
  <si>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</si>
  <si>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</si>
  <si>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</si>
  <si>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</si>
  <si>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</si>
  <si>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</si>
  <si>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</si>
  <si>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</si>
  <si>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</si>
  <si>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</si>
  <si>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</si>
  <si>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</si>
  <si>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</si>
  <si>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</si>
  <si>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</si>
  <si>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</si>
  <si>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</si>
  <si>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</si>
  <si>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</si>
  <si>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</si>
  <si>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</si>
  <si>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</si>
  <si>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</si>
  <si>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</si>
  <si>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</si>
  <si>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</si>
  <si>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</si>
  <si>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</si>
  <si>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</si>
  <si>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</si>
  <si>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</si>
  <si>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</si>
  <si>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</si>
  <si>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</si>
  <si>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</si>
  <si>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</si>
  <si>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</si>
  <si>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</si>
  <si>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</si>
  <si>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</si>
  <si>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</si>
  <si>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</si>
  <si>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</si>
  <si>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</si>
  <si>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</si>
  <si>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</si>
  <si>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</si>
  <si>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</si>
  <si>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</si>
  <si>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</si>
  <si>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</si>
  <si>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</si>
  <si>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</si>
  <si>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</si>
  <si>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</si>
  <si>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</si>
  <si>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</si>
  <si>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</si>
  <si>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</si>
  <si>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</si>
  <si>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</si>
  <si>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</si>
  <si>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</si>
  <si>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</si>
  <si>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</si>
  <si>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</si>
  <si>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</si>
  <si>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</si>
  <si>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</si>
  <si>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</si>
  <si>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</si>
  <si>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</si>
  <si>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</si>
  <si>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</si>
  <si>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</si>
  <si>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</si>
  <si>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</si>
  <si>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</si>
  <si>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</si>
  <si>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</si>
  <si>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</si>
  <si>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</si>
  <si>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</si>
  <si>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</si>
  <si>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</si>
  <si>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</si>
  <si>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</si>
  <si>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</si>
  <si>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</si>
  <si>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</si>
  <si>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</si>
  <si>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</si>
  <si>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</si>
  <si>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</si>
  <si>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</si>
  <si>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</si>
  <si>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</si>
  <si>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</si>
  <si>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</si>
  <si>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</si>
  <si>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</si>
  <si>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</si>
  <si>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</si>
  <si>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</si>
  <si>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</si>
  <si>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</si>
  <si>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</si>
  <si>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</si>
  <si>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</si>
  <si>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</si>
  <si>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</si>
  <si>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</si>
  <si>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</si>
  <si>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</si>
  <si>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</si>
  <si>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</si>
  <si>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</si>
  <si>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</si>
  <si>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</si>
  <si>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</si>
  <si>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</si>
  <si>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</si>
  <si>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</si>
  <si>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</si>
  <si>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</si>
  <si>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</si>
  <si>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</si>
  <si>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</si>
  <si>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</si>
  <si>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</si>
  <si>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</si>
  <si>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</si>
  <si>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</si>
  <si>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</si>
  <si>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</si>
  <si>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</si>
  <si>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</si>
  <si>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</si>
  <si>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</si>
  <si>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</si>
  <si>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</si>
  <si>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</si>
  <si>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</si>
  <si>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</si>
  <si>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</si>
  <si>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</si>
  <si>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</si>
  <si>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</si>
  <si>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</si>
  <si>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</si>
  <si>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</si>
  <si>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</si>
  <si>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</si>
  <si>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</si>
  <si>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</si>
  <si>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</si>
  <si>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</si>
  <si>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</si>
  <si>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</si>
  <si>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</si>
  <si>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</si>
  <si>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</si>
  <si>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</si>
  <si>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</si>
  <si>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</si>
  <si>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</si>
  <si>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</si>
  <si>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</si>
  <si>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</si>
  <si>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</si>
  <si>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</si>
  <si>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</si>
  <si>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</si>
  <si>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</si>
  <si>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</si>
  <si>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</si>
  <si>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</si>
  <si>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</si>
  <si>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</si>
  <si>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</si>
  <si>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</si>
  <si>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</si>
  <si>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</si>
  <si>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</si>
  <si>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</si>
  <si>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</si>
  <si>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</si>
  <si>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</si>
  <si>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</si>
  <si>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</si>
  <si>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</si>
  <si>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</si>
  <si>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</si>
  <si>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</si>
  <si>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</si>
  <si>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</si>
  <si>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</si>
  <si>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</si>
  <si>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</si>
  <si>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</si>
  <si>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</si>
  <si>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</si>
  <si>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</si>
  <si>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</si>
  <si>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</si>
  <si>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</si>
  <si>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</si>
  <si>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</si>
  <si>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</si>
  <si>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</si>
  <si>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</si>
  <si>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</si>
  <si>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</si>
  <si>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</si>
  <si>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</si>
  <si>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</si>
  <si>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</si>
  <si>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</si>
  <si>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</si>
  <si>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</si>
  <si>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</si>
  <si>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</si>
  <si>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</si>
  <si>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</si>
  <si>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</si>
  <si>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</si>
  <si>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</si>
  <si>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</si>
  <si>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</si>
  <si>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</si>
  <si>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</si>
  <si>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</si>
  <si>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</si>
  <si>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</si>
  <si>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</si>
  <si>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</si>
  <si>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</si>
  <si>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</si>
  <si>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</si>
  <si>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</si>
  <si>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</si>
  <si>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</si>
  <si>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</si>
  <si>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</si>
  <si>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</si>
  <si>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</si>
  <si>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</si>
  <si>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</si>
  <si>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</si>
  <si>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</si>
  <si>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</si>
  <si>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</si>
  <si>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</si>
  <si>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</si>
  <si>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</si>
  <si>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</si>
  <si>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</si>
  <si>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</si>
  <si>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</si>
  <si>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</si>
  <si>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</si>
  <si>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</si>
  <si>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</si>
  <si>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</si>
  <si>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</si>
  <si>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</si>
  <si>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</si>
  <si>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</si>
  <si>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</si>
  <si>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</si>
  <si>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</si>
  <si>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</si>
  <si>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</si>
  <si>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</si>
  <si>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</si>
  <si>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</si>
  <si>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</si>
  <si>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</si>
  <si>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</si>
  <si>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</si>
  <si>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</si>
  <si>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</si>
  <si>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</si>
  <si>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</si>
  <si>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</si>
  <si>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</si>
  <si>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</si>
  <si>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</si>
  <si>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</si>
  <si>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</si>
  <si>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</si>
  <si>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</si>
  <si>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</si>
  <si>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</si>
  <si>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</si>
  <si>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</si>
  <si>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</si>
  <si>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</si>
  <si>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</si>
  <si>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</si>
  <si>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</si>
  <si>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</si>
  <si>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</si>
  <si>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</si>
  <si>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</si>
  <si>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</si>
  <si>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</si>
  <si>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</si>
  <si>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</si>
  <si>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</si>
  <si>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</si>
  <si>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</si>
  <si>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</si>
  <si>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</si>
  <si>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</si>
  <si>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</si>
  <si>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</si>
  <si>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</si>
  <si>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</si>
  <si>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</si>
  <si>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</si>
  <si>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</si>
  <si>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</si>
  <si>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</si>
  <si>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</si>
  <si>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</si>
  <si>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</si>
  <si>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</si>
  <si>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</si>
  <si>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</si>
  <si>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</si>
  <si>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</si>
  <si>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</si>
  <si>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</si>
  <si>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</si>
  <si>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</si>
  <si>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</si>
  <si>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</si>
  <si>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</si>
  <si>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</si>
  <si>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</si>
  <si>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</si>
  <si>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</si>
  <si>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</si>
  <si>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</si>
  <si>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</si>
  <si>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</si>
  <si>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</si>
  <si>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</si>
  <si>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</si>
  <si>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</si>
  <si>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</si>
  <si>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</si>
  <si>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</si>
  <si>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</si>
  <si>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</si>
  <si>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</si>
  <si>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</si>
  <si>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</si>
  <si>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</si>
  <si>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</si>
  <si>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</si>
  <si>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</si>
  <si>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</si>
  <si>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</si>
  <si>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</si>
  <si>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</si>
  <si>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</si>
  <si>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</si>
  <si>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</si>
  <si>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</si>
  <si>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</si>
  <si>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</si>
  <si>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</si>
  <si>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</si>
  <si>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</si>
  <si>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</si>
  <si>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</si>
  <si>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</si>
  <si>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</si>
  <si>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</si>
  <si>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</si>
  <si>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</si>
  <si>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</si>
  <si>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</si>
  <si>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</si>
  <si>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</si>
  <si>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</si>
  <si>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</si>
  <si>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</si>
  <si>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</si>
  <si>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</si>
  <si>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</si>
  <si>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</si>
  <si>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</si>
  <si>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</si>
  <si>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</si>
  <si>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</si>
  <si>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</si>
  <si>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</si>
  <si>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</si>
  <si>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</si>
  <si>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</si>
  <si>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</si>
  <si>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</si>
  <si>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</si>
  <si>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</si>
  <si>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</si>
  <si>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</si>
  <si>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</si>
  <si>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</si>
  <si>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</si>
  <si>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</si>
  <si>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</si>
  <si>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</si>
  <si>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</si>
  <si>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</si>
  <si>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</si>
  <si>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</si>
  <si>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</si>
  <si>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</si>
  <si>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</si>
  <si>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</si>
  <si>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</si>
  <si>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</si>
  <si>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</si>
  <si>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</si>
  <si>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</si>
  <si>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</si>
  <si>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</si>
  <si>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</si>
  <si>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</si>
  <si>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</si>
  <si>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</si>
  <si>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</si>
  <si>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</si>
  <si>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</si>
  <si>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</si>
  <si>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</si>
  <si>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</si>
  <si>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</si>
  <si>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</si>
  <si>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</si>
  <si>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</si>
  <si>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</si>
  <si>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</si>
  <si>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</si>
  <si>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</si>
  <si>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</si>
  <si>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</si>
  <si>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</si>
  <si>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</si>
  <si>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</si>
  <si>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</si>
  <si>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</si>
  <si>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</si>
  <si>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</si>
  <si>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</si>
  <si>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</si>
  <si>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</si>
  <si>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</si>
  <si>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</si>
  <si>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</si>
  <si>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</si>
  <si>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</si>
  <si>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</si>
  <si>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</si>
  <si>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</si>
  <si>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</si>
  <si>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</si>
  <si>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</si>
  <si>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</si>
  <si>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</si>
  <si>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</si>
  <si>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</si>
  <si>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</si>
  <si>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</si>
  <si>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</si>
  <si>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</si>
  <si>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</si>
  <si>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</si>
  <si>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</si>
  <si>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</si>
  <si>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</si>
  <si>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</si>
  <si>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</si>
  <si>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</si>
  <si>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</si>
  <si>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</si>
  <si>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</si>
  <si>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</si>
  <si>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</si>
  <si>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</si>
  <si>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</si>
  <si>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</si>
  <si>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</si>
  <si>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</si>
  <si>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</si>
  <si>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</si>
  <si>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</si>
  <si>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</si>
  <si>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</si>
  <si>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</si>
  <si>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</si>
  <si>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</si>
  <si>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</si>
  <si>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</si>
  <si>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</si>
  <si>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</si>
  <si>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</si>
  <si>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</si>
  <si>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</si>
  <si>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</si>
  <si>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</si>
  <si>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</si>
  <si>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</si>
  <si>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</si>
  <si>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</si>
  <si>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</si>
  <si>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</si>
  <si>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</si>
  <si>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</si>
  <si>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</si>
  <si>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</si>
  <si>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</si>
  <si>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</si>
  <si>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</si>
  <si>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</si>
  <si>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</si>
  <si>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</si>
  <si>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</si>
  <si>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</si>
  <si>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</si>
  <si>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</si>
  <si>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</si>
  <si>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</si>
  <si>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</si>
  <si>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</si>
  <si>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</si>
  <si>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</si>
  <si>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</si>
  <si>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</si>
  <si>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</si>
  <si>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</si>
  <si>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</si>
  <si>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</si>
  <si>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</si>
  <si>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</si>
  <si>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</si>
  <si>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</si>
  <si>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</si>
  <si>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</si>
  <si>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</si>
  <si>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</si>
  <si>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</si>
  <si>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</si>
  <si>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</si>
  <si>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</si>
  <si>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</si>
  <si>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</si>
  <si>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</si>
  <si>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</si>
  <si>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</si>
  <si>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</si>
  <si>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</si>
  <si>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</si>
  <si>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</si>
  <si>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</si>
  <si>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</si>
  <si>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</si>
  <si>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</si>
  <si>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</si>
  <si>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</si>
  <si>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</si>
  <si>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</si>
  <si>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</si>
  <si>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</si>
  <si>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</si>
  <si>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</si>
  <si>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</si>
  <si>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</si>
  <si>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</si>
  <si>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</si>
  <si>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</si>
  <si>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</si>
  <si>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</si>
  <si>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</si>
  <si>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</si>
  <si>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</si>
  <si>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</si>
  <si>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</si>
  <si>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</si>
  <si>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</si>
  <si>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</si>
  <si>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</si>
  <si>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</si>
  <si>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</si>
  <si>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</si>
  <si>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</si>
  <si>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</si>
  <si>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</si>
  <si>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</si>
  <si>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</si>
  <si>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</si>
  <si>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</si>
  <si>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</si>
  <si>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</si>
  <si>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</si>
  <si>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</si>
  <si>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</si>
  <si>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</si>
  <si>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</si>
  <si>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</si>
  <si>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</si>
  <si>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</si>
  <si>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</si>
  <si>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</si>
  <si>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</si>
  <si>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</si>
  <si>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</si>
  <si>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</si>
  <si>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</si>
  <si>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</si>
  <si>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</si>
  <si>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</si>
  <si>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</si>
  <si>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</si>
  <si>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</si>
  <si>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</si>
  <si>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</si>
  <si>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</si>
  <si>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</si>
  <si>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</si>
  <si>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</si>
  <si>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</si>
  <si>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</si>
  <si>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</si>
  <si>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</si>
  <si>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</si>
  <si>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</si>
  <si>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</si>
  <si>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</si>
  <si>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</si>
  <si>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</si>
  <si>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</si>
  <si>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</si>
  <si>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</si>
  <si>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</si>
  <si>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</si>
  <si>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</si>
  <si>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</si>
  <si>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</si>
  <si>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</si>
  <si>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</si>
  <si>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</si>
  <si>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</si>
  <si>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</si>
  <si>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</si>
  <si>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</si>
  <si>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</si>
  <si>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</si>
  <si>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</si>
  <si>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</si>
  <si>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</si>
  <si>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</si>
  <si>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</si>
  <si>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</si>
  <si>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</si>
  <si>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</si>
  <si>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</si>
  <si>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</si>
  <si>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</si>
  <si>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</si>
  <si>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</si>
  <si>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</si>
  <si>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</si>
  <si>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</si>
  <si>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</si>
  <si>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</si>
  <si>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</si>
  <si>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</si>
  <si>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</si>
  <si>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</si>
  <si>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</si>
  <si>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</si>
  <si>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</si>
  <si>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</si>
  <si>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</si>
  <si>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</si>
  <si>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</si>
  <si>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</si>
  <si>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</si>
  <si>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</si>
  <si>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</si>
  <si>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</si>
  <si>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</si>
  <si>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</si>
  <si>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</si>
  <si>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</si>
  <si>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</si>
  <si>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</si>
  <si>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</si>
  <si>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</si>
  <si>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</si>
  <si>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</si>
  <si>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</si>
  <si>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</si>
  <si>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</si>
  <si>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</si>
  <si>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</si>
  <si>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</si>
  <si>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</si>
  <si>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</si>
  <si>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</si>
  <si>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</si>
  <si>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</si>
  <si>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</si>
  <si>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</si>
  <si>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</si>
  <si>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</si>
  <si>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</si>
  <si>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</si>
  <si>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</si>
  <si>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</si>
  <si>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</si>
  <si>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</si>
  <si>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</si>
  <si>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</si>
  <si>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</si>
  <si>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</si>
  <si>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</si>
  <si>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</si>
  <si>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</si>
  <si>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</si>
  <si>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</si>
  <si>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</si>
  <si>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</si>
  <si>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</si>
  <si>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</si>
  <si>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</si>
  <si>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</si>
  <si>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</si>
  <si>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</si>
  <si>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</si>
  <si>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</si>
  <si>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</si>
  <si>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</si>
  <si>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</si>
  <si>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</si>
  <si>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</si>
  <si>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</si>
  <si>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</si>
  <si>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</si>
  <si>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</si>
  <si>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</si>
  <si>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</si>
  <si>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</si>
  <si>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</si>
  <si>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</si>
  <si>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</si>
  <si>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</si>
  <si>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</si>
  <si>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</si>
  <si>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</si>
  <si>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</si>
  <si>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</si>
  <si>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</si>
  <si>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</si>
  <si>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</si>
  <si>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</si>
  <si>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</si>
  <si>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</si>
  <si>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</si>
  <si>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</si>
  <si>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</si>
  <si>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</si>
  <si>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</si>
  <si>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</si>
  <si>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</si>
  <si>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</si>
  <si>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</si>
  <si>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</si>
  <si>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</si>
  <si>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</si>
  <si>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</si>
  <si>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</si>
  <si>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</si>
  <si>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</si>
  <si>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</si>
  <si>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</si>
  <si>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</si>
  <si>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</si>
  <si>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</si>
  <si>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</si>
  <si>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</si>
  <si>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</si>
  <si>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</si>
  <si>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</si>
  <si>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</si>
  <si>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</si>
  <si>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</si>
  <si>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</si>
  <si>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</si>
  <si>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</si>
  <si>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</si>
  <si>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</si>
  <si>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</si>
  <si>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</si>
  <si>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</si>
  <si>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</si>
  <si>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</si>
  <si>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</si>
  <si>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</si>
  <si>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</si>
  <si>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</si>
  <si>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</si>
  <si>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</si>
  <si>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</si>
  <si>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</si>
  <si>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</si>
  <si>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</si>
  <si>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</si>
  <si>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</si>
  <si>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</si>
  <si>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</si>
  <si>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</si>
  <si>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</si>
  <si>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</si>
  <si>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</si>
  <si>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</si>
  <si>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</si>
  <si>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</si>
  <si>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</si>
  <si>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</si>
  <si>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</si>
  <si>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</si>
  <si>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</si>
  <si>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</si>
  <si>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</si>
  <si>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</si>
  <si>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</si>
  <si>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</si>
  <si>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</si>
  <si>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</si>
  <si>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</si>
  <si>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</si>
  <si>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</si>
  <si>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</si>
  <si>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</si>
  <si>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</si>
  <si>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</si>
  <si>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</si>
  <si>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</si>
  <si>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</si>
  <si>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</si>
  <si>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</si>
  <si>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</si>
  <si>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</si>
  <si>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</si>
  <si>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</si>
  <si>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</si>
  <si>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</si>
  <si>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</si>
  <si>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</si>
  <si>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</si>
  <si>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</si>
  <si>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</si>
  <si>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</si>
  <si>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</si>
  <si>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</si>
  <si>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</si>
  <si>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</si>
  <si>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</si>
  <si>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</si>
  <si>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</si>
  <si>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</si>
  <si>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</si>
  <si>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</si>
  <si>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</si>
  <si>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</si>
  <si>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</si>
  <si>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</si>
  <si>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</si>
  <si>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</si>
  <si>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</si>
  <si>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</si>
  <si>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</si>
  <si>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</si>
  <si>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</si>
  <si>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</si>
  <si>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</si>
  <si>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</si>
  <si>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</si>
  <si>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</si>
  <si>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</si>
  <si>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</si>
  <si>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</si>
  <si>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</si>
  <si>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</si>
  <si>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</si>
  <si>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</si>
  <si>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</si>
  <si>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</si>
  <si>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</si>
  <si>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</si>
  <si>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</si>
  <si>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</si>
  <si>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</si>
  <si>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</si>
  <si>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</si>
  <si>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</si>
  <si>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</si>
  <si>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</si>
  <si>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</si>
  <si>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</si>
  <si>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</si>
  <si>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</si>
  <si>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</si>
  <si>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</si>
  <si>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</si>
  <si>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</si>
  <si>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</si>
  <si>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</si>
  <si>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</si>
  <si>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</si>
  <si>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</si>
  <si>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</si>
  <si>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</si>
  <si>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</si>
  <si>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</si>
  <si>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</si>
  <si>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</si>
  <si>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</si>
  <si>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</si>
  <si>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</si>
  <si>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</si>
  <si>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</si>
  <si>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</si>
  <si>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</si>
  <si>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</si>
  <si>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</si>
  <si>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</si>
  <si>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</si>
  <si>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</si>
  <si>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</si>
  <si>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</si>
  <si>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</si>
  <si>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</si>
  <si>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</si>
  <si>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</si>
  <si>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</si>
  <si>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</si>
  <si>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</si>
  <si>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</si>
  <si>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</si>
  <si>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</si>
  <si>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</si>
  <si>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</si>
  <si>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</si>
  <si>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</si>
  <si>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</si>
  <si>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</si>
  <si>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</si>
  <si>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</si>
  <si>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</si>
  <si>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</si>
  <si>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</si>
  <si>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</si>
  <si>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</si>
  <si>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</si>
  <si>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</si>
  <si>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</si>
  <si>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</si>
  <si>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</si>
  <si>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</si>
  <si>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</si>
  <si>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</si>
  <si>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</si>
  <si>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</si>
  <si>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</si>
  <si>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</si>
  <si>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</si>
  <si>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</si>
  <si>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</si>
  <si>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</si>
  <si>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</si>
  <si>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</si>
  <si>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</si>
  <si>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</si>
  <si>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</si>
  <si>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</si>
  <si>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</si>
  <si>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</si>
  <si>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</si>
  <si>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</si>
  <si>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</si>
  <si>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</si>
  <si>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</si>
  <si>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</si>
  <si>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</si>
  <si>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</si>
  <si>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</si>
  <si>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</si>
  <si>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</si>
  <si>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</si>
  <si>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</si>
  <si>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</si>
  <si>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</si>
  <si>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</si>
  <si>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</si>
  <si>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</si>
  <si>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</si>
  <si>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</si>
  <si>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</si>
  <si>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</si>
  <si>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</si>
  <si>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</si>
  <si>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</si>
  <si>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</si>
  <si>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</si>
  <si>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</si>
  <si>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</si>
  <si>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</si>
  <si>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</si>
  <si>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</si>
  <si>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</si>
  <si>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</si>
  <si>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</si>
  <si>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</si>
  <si>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</si>
  <si>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</si>
  <si>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</si>
  <si>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</si>
  <si>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</si>
  <si>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</si>
  <si>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</si>
  <si>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</si>
  <si>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</si>
  <si>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</si>
  <si>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</si>
  <si>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</si>
  <si>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</si>
  <si>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</si>
  <si>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</si>
  <si>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</si>
  <si>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</si>
  <si>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</si>
  <si>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</si>
  <si>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</si>
  <si>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</si>
  <si>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</si>
  <si>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</si>
  <si>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</si>
  <si>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</si>
  <si>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</si>
  <si>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</si>
  <si>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</si>
  <si>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</si>
  <si>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</si>
  <si>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</si>
  <si>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</si>
  <si>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</si>
  <si>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</si>
  <si>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</si>
  <si>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</si>
  <si>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</si>
  <si>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</si>
  <si>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</si>
  <si>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</si>
  <si>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</si>
  <si>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</si>
  <si>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</si>
  <si>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</si>
  <si>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</si>
  <si>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</si>
  <si>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</si>
  <si>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</si>
  <si>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</si>
  <si>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</si>
  <si>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</si>
  <si>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</si>
  <si>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</si>
  <si>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</si>
  <si>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</si>
  <si>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</si>
  <si>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</si>
  <si>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</si>
  <si>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</si>
  <si>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</si>
  <si>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</si>
  <si>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</si>
  <si>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</si>
  <si>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</si>
  <si>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</si>
  <si>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</si>
  <si>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</si>
  <si>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</si>
  <si>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</si>
  <si>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</si>
  <si>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</si>
  <si>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</si>
  <si>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</si>
  <si>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</si>
  <si>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</si>
  <si>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</si>
  <si>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</si>
  <si>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</si>
  <si>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</si>
  <si>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</si>
  <si>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</si>
  <si>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</si>
  <si>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</si>
  <si>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</si>
  <si>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</si>
  <si>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</si>
  <si>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</si>
  <si>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</si>
  <si>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</si>
  <si>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</si>
  <si>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</si>
  <si>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</si>
  <si>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</si>
  <si>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</si>
  <si>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</si>
  <si>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</si>
  <si>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</si>
  <si>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</si>
  <si>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</si>
  <si>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</si>
  <si>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</si>
  <si>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</si>
  <si>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</si>
  <si>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</si>
  <si>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</si>
  <si>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</si>
  <si>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</si>
  <si>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</si>
  <si>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</si>
  <si>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</si>
  <si>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</si>
  <si>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</si>
  <si>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</si>
  <si>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</si>
  <si>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</si>
  <si>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</si>
  <si>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</si>
  <si>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</si>
  <si>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</si>
  <si>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</si>
  <si>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</si>
  <si>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</si>
  <si>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</si>
  <si>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</si>
  <si>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</si>
  <si>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</si>
  <si>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</si>
  <si>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</si>
  <si>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</si>
  <si>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</si>
  <si>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</si>
  <si>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</si>
  <si>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</si>
  <si>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</si>
  <si>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</si>
  <si>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</si>
  <si>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</si>
  <si>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</si>
  <si>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</si>
  <si>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</si>
  <si>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</si>
  <si>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</si>
  <si>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</si>
  <si>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</si>
  <si>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</si>
  <si>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</si>
  <si>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</si>
  <si>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</si>
  <si>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</si>
  <si>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</si>
  <si>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</si>
  <si>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</si>
  <si>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</si>
  <si>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</si>
  <si>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</si>
  <si>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</si>
  <si>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</si>
  <si>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</si>
  <si>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</si>
  <si>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</si>
  <si>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</si>
  <si>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</si>
  <si>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</si>
  <si>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</si>
  <si>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</si>
  <si>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</si>
  <si>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</si>
  <si>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</si>
  <si>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</si>
  <si>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</si>
  <si>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</si>
  <si>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</si>
  <si>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</si>
  <si>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</si>
  <si>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</si>
  <si>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</si>
  <si>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</si>
  <si>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</si>
  <si>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</si>
  <si>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</si>
  <si>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</si>
  <si>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</si>
  <si>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</si>
  <si>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</si>
  <si>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</si>
  <si>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</si>
  <si>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</si>
  <si>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</si>
  <si>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</si>
  <si>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</si>
  <si>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</si>
  <si>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</si>
  <si>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</si>
  <si>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</si>
  <si>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</si>
  <si>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</si>
  <si>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</si>
  <si>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</si>
  <si>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</si>
  <si>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</si>
  <si>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</si>
  <si>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</si>
  <si>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</si>
  <si>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</si>
  <si>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</si>
  <si>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</si>
  <si>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</si>
  <si>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</si>
  <si>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</si>
  <si>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</si>
  <si>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</si>
  <si>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</si>
  <si>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</si>
  <si>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</si>
  <si>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</si>
  <si>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</si>
  <si>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</si>
  <si>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</si>
  <si>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</si>
  <si>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</si>
  <si>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</si>
  <si>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</si>
  <si>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</si>
  <si>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</si>
  <si>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</si>
  <si>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</si>
  <si>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</si>
  <si>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</si>
  <si>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</si>
  <si>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</si>
  <si>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</si>
  <si>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</si>
  <si>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</si>
  <si>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</si>
  <si>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</si>
  <si>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</si>
  <si>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</si>
  <si>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</si>
  <si>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</si>
  <si>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</si>
  <si>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</si>
  <si>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</si>
  <si>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</si>
  <si>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</si>
  <si>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</si>
  <si>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</si>
  <si>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</si>
  <si>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</si>
  <si>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</si>
  <si>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</si>
  <si>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</si>
  <si>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</si>
  <si>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</si>
  <si>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</si>
  <si>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</si>
  <si>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</si>
  <si>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</si>
  <si>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</si>
  <si>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</si>
  <si>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</si>
  <si>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</si>
  <si>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</si>
  <si>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</si>
  <si>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</si>
  <si>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</si>
  <si>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</si>
  <si>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</si>
  <si>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</si>
  <si>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</si>
  <si>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</si>
  <si>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</si>
  <si>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</si>
  <si>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</si>
  <si>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</si>
  <si>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</si>
  <si>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</si>
  <si>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</si>
  <si>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</si>
  <si>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</si>
  <si>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</si>
  <si>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</si>
  <si>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</si>
  <si>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</si>
  <si>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</si>
  <si>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</si>
  <si>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</si>
  <si>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</si>
  <si>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</si>
  <si>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</si>
  <si>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</si>
  <si>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</si>
  <si>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</si>
  <si>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</si>
  <si>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</si>
  <si>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</si>
  <si>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</si>
  <si>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</si>
  <si>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</si>
  <si>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</si>
  <si>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</si>
  <si>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</si>
  <si>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</si>
  <si>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</si>
  <si>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</si>
  <si>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</si>
  <si>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</si>
  <si>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</si>
  <si>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</si>
  <si>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</si>
  <si>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</si>
  <si>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</si>
  <si>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</si>
  <si>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</si>
  <si>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</si>
  <si>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</si>
  <si>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</si>
  <si>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</si>
  <si>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</si>
  <si>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</si>
  <si>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</si>
  <si>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</si>
  <si>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</si>
  <si>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</si>
  <si>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</si>
  <si>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</si>
  <si>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</si>
  <si>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</si>
  <si>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</si>
  <si>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</si>
  <si>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</si>
  <si>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</si>
  <si>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</si>
  <si>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</si>
  <si>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</si>
  <si>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</si>
  <si>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</si>
  <si>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</si>
  <si>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</si>
  <si>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</si>
  <si>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</si>
  <si>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</si>
  <si>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</si>
  <si>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</si>
  <si>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</si>
  <si>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</si>
  <si>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</si>
  <si>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</si>
  <si>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</si>
  <si>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</si>
  <si>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</si>
  <si>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</si>
  <si>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</si>
  <si>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</si>
  <si>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</si>
  <si>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</si>
  <si>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</si>
  <si>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</si>
  <si>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</si>
  <si>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</si>
  <si>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</si>
  <si>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</si>
  <si>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</si>
  <si>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</si>
  <si>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</si>
  <si>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</si>
  <si>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</si>
  <si>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</si>
  <si>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</si>
  <si>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</si>
  <si>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</si>
  <si>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</si>
  <si>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</si>
  <si>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</si>
  <si>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</si>
  <si>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</si>
  <si>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</si>
  <si>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</si>
  <si>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</si>
  <si>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</si>
  <si>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</si>
  <si>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</si>
  <si>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</si>
  <si>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</si>
  <si>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</si>
  <si>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</si>
  <si>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</si>
  <si>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</si>
  <si>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</si>
  <si>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</si>
  <si>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</si>
  <si>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</si>
  <si>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</si>
  <si>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</si>
  <si>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</si>
  <si>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</si>
  <si>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</si>
  <si>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</si>
  <si>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</si>
  <si>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</si>
  <si>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</si>
  <si>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</si>
  <si>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</si>
  <si>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</si>
  <si>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</si>
  <si>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</si>
  <si>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</si>
  <si>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</si>
  <si>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</si>
  <si>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</si>
  <si>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</si>
  <si>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</si>
  <si>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</si>
  <si>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</si>
  <si>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</si>
  <si>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</si>
  <si>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</si>
  <si>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</si>
  <si>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</si>
  <si>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</si>
  <si>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</si>
  <si>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</si>
  <si>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</si>
  <si>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</si>
  <si>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</si>
  <si>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</si>
  <si>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</si>
  <si>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</si>
  <si>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</si>
  <si>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</si>
  <si>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</si>
  <si>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</si>
  <si>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</si>
  <si>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</si>
  <si>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</si>
  <si>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</si>
  <si>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</si>
  <si>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</si>
  <si>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</si>
  <si>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</si>
  <si>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</si>
  <si>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</si>
  <si>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</si>
  <si>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</si>
  <si>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</si>
  <si>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</si>
  <si>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</si>
  <si>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</si>
  <si>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</si>
  <si>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</si>
  <si>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</si>
  <si>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</si>
  <si>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</si>
  <si>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</si>
  <si>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</si>
  <si>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</si>
  <si>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</si>
  <si>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</si>
  <si>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</si>
  <si>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</si>
  <si>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</si>
  <si>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</si>
  <si>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</si>
  <si>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</si>
  <si>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</si>
  <si>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</si>
  <si>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</si>
  <si>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</si>
  <si>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</si>
  <si>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</si>
  <si>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</si>
  <si>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</si>
  <si>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</si>
  <si>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</si>
  <si>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</si>
  <si>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</si>
  <si>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</si>
  <si>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</si>
  <si>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</si>
  <si>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</si>
  <si>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</si>
  <si>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</si>
  <si>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</si>
  <si>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</si>
  <si>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</si>
  <si>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</si>
  <si>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</si>
  <si>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</si>
  <si>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</si>
  <si>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</si>
  <si>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</si>
  <si>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</si>
  <si>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</si>
  <si>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</si>
  <si>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</si>
  <si>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</si>
  <si>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</si>
  <si>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</si>
  <si>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</si>
  <si>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</si>
  <si>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</si>
  <si>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</si>
  <si>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</si>
  <si>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</si>
  <si>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</si>
  <si>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</si>
  <si>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</si>
  <si>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</si>
  <si>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</si>
  <si>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</si>
  <si>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</si>
  <si>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</si>
  <si>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</si>
  <si>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</si>
  <si>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</si>
  <si>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</si>
  <si>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</si>
  <si>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</si>
  <si>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</si>
  <si>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</si>
  <si>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</si>
  <si>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</si>
  <si>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</si>
  <si>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</si>
  <si>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</si>
  <si>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</si>
  <si>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</si>
  <si>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</si>
  <si>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</si>
  <si>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</si>
  <si>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</si>
  <si>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</si>
  <si>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</si>
  <si>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</si>
  <si>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</si>
  <si>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</si>
  <si>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</si>
  <si>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</si>
  <si>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</si>
  <si>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</si>
  <si>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</si>
  <si>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</si>
  <si>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</si>
  <si>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</si>
  <si>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</si>
  <si>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</si>
  <si>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</si>
  <si>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</si>
  <si>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</si>
  <si>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</si>
  <si>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</si>
  <si>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</si>
  <si>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</si>
  <si>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</si>
  <si>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</si>
  <si>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</si>
  <si>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</si>
  <si>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</si>
  <si>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</si>
  <si>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</si>
  <si>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</si>
  <si>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</si>
  <si>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</si>
  <si>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</si>
  <si>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</si>
  <si>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</si>
  <si>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</si>
  <si>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</si>
  <si>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</si>
  <si>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</si>
  <si>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</si>
  <si>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</si>
  <si>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</si>
  <si>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</si>
  <si>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</si>
  <si>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</si>
  <si>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</si>
  <si>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</si>
  <si>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</si>
  <si>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</si>
  <si>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</si>
  <si>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</si>
  <si>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</si>
  <si>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</si>
  <si>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</si>
  <si>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</si>
  <si>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</si>
  <si>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</si>
  <si>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</si>
  <si>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</si>
  <si>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</si>
  <si>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</si>
  <si>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</si>
  <si>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</si>
  <si>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</si>
  <si>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</si>
  <si>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</si>
  <si>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</si>
  <si>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</si>
  <si>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</si>
  <si>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</si>
  <si>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</si>
  <si>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</si>
  <si>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</si>
  <si>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</si>
  <si>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</si>
  <si>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</si>
  <si>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</si>
  <si>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</si>
  <si>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</si>
  <si>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</si>
  <si>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</si>
  <si>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</si>
  <si>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</si>
  <si>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</si>
  <si>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</si>
  <si>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</si>
  <si>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</si>
  <si>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</si>
  <si>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</si>
  <si>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</si>
  <si>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</si>
  <si>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</si>
  <si>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</si>
  <si>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</si>
  <si>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</si>
  <si>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</si>
  <si>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</si>
  <si>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</si>
  <si>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</si>
  <si>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</si>
  <si>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</si>
  <si>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</si>
  <si>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</si>
  <si>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</si>
  <si>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</si>
  <si>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</si>
  <si>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</si>
  <si>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</si>
  <si>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</si>
  <si>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</si>
  <si>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</si>
  <si>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</si>
  <si>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</si>
  <si>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</si>
  <si>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</si>
  <si>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</si>
  <si>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</si>
  <si>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</si>
  <si>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</si>
  <si>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</si>
  <si>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</si>
  <si>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</si>
  <si>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</si>
  <si>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</si>
  <si>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</si>
  <si>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</si>
  <si>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</si>
  <si>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</si>
  <si>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</si>
  <si>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</si>
  <si>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</si>
  <si>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</si>
  <si>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</si>
  <si>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</si>
  <si>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</si>
  <si>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</si>
  <si>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</si>
  <si>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</si>
  <si>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</si>
  <si>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</si>
  <si>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</si>
  <si>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</si>
  <si>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</si>
  <si>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</si>
  <si>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</si>
  <si>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</si>
  <si>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</si>
  <si>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</si>
  <si>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</si>
  <si>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</si>
  <si>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</si>
  <si>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</si>
  <si>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</si>
  <si>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</si>
  <si>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</si>
  <si>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</si>
  <si>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</si>
  <si>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</si>
  <si>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</si>
  <si>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</si>
  <si>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</si>
  <si>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</si>
  <si>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</si>
  <si>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</si>
  <si>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</si>
  <si>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</si>
  <si>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</si>
  <si>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</si>
  <si>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</si>
  <si>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</si>
  <si>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</si>
  <si>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</si>
  <si>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</si>
  <si>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</si>
  <si>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</si>
  <si>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</si>
  <si>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</si>
  <si>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</si>
  <si>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</si>
  <si>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</si>
  <si>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</si>
  <si>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</si>
  <si>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</si>
  <si>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</si>
  <si>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</si>
  <si>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</si>
  <si>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</si>
  <si>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</si>
  <si>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</si>
  <si>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</si>
  <si>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</si>
  <si>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</si>
  <si>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</si>
  <si>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</si>
  <si>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</si>
  <si>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</si>
  <si>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</si>
  <si>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</si>
  <si>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</si>
  <si>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</si>
  <si>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</si>
  <si>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</si>
  <si>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</si>
  <si>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</si>
  <si>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</si>
  <si>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</si>
  <si>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</si>
  <si>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</si>
  <si>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</si>
  <si>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</si>
  <si>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</si>
  <si>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</si>
  <si>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</si>
  <si>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</si>
  <si>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</si>
  <si>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</si>
  <si>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</si>
  <si>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</si>
  <si>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</si>
  <si>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</si>
  <si>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</si>
  <si>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</si>
  <si>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</si>
  <si>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</si>
  <si>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</si>
  <si>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</si>
  <si>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</si>
  <si>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</si>
  <si>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</si>
  <si>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</si>
  <si>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</si>
  <si>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</si>
  <si>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</si>
  <si>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</si>
  <si>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</si>
  <si>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</si>
  <si>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</si>
  <si>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</si>
  <si>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</si>
  <si>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</si>
  <si>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</si>
  <si>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</si>
  <si>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</si>
  <si>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</si>
  <si>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</si>
  <si>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</si>
  <si>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</si>
  <si>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</si>
  <si>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</si>
  <si>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</si>
  <si>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</si>
  <si>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</si>
  <si>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</si>
  <si>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</si>
  <si>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</si>
  <si>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</si>
  <si>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</si>
  <si>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</si>
  <si>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</si>
  <si>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</si>
  <si>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</si>
  <si>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</si>
  <si>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</si>
  <si>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</si>
  <si>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</si>
  <si>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</si>
  <si>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</si>
  <si>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</si>
  <si>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</si>
  <si>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</si>
  <si>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</si>
  <si>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</si>
  <si>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</si>
  <si>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</si>
  <si>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</si>
  <si>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</si>
  <si>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</si>
  <si>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</si>
  <si>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</si>
  <si>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</si>
  <si>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</si>
  <si>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</si>
  <si>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</si>
  <si>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</si>
  <si>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</si>
  <si>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</si>
  <si>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</si>
  <si>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</si>
  <si>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</si>
  <si>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</si>
  <si>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</si>
  <si>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</si>
  <si>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</si>
  <si>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</si>
  <si>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</si>
  <si>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</si>
  <si>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</si>
  <si>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</si>
  <si>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</si>
  <si>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</si>
  <si>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</si>
  <si>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</si>
  <si>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</si>
  <si>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</si>
  <si>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</si>
  <si>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</si>
  <si>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</si>
  <si>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</si>
  <si>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</si>
  <si>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</si>
  <si>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</si>
  <si>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</si>
  <si>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</si>
  <si>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</si>
  <si>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</si>
  <si>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</si>
  <si>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</si>
  <si>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</si>
  <si>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</si>
  <si>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</si>
  <si>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</si>
  <si>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</si>
  <si>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</si>
  <si>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</si>
  <si>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</si>
  <si>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</si>
  <si>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</si>
  <si>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</si>
  <si>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</si>
  <si>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</si>
  <si>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</si>
  <si>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</si>
  <si>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</si>
  <si>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</si>
  <si>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</si>
  <si>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</si>
  <si>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</si>
  <si>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</si>
  <si>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</si>
  <si>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</si>
  <si>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</si>
  <si>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</si>
  <si>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</si>
  <si>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</si>
  <si>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</si>
  <si>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</si>
  <si>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</si>
  <si>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</si>
  <si>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</si>
  <si>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</si>
  <si>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</si>
  <si>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</si>
  <si>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</si>
  <si>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</si>
  <si>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</si>
  <si>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</si>
  <si>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</si>
  <si>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</si>
  <si>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</si>
  <si>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</si>
  <si>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</si>
  <si>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</si>
  <si>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</si>
  <si>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</si>
  <si>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</si>
  <si>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</si>
  <si>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</si>
  <si>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</si>
  <si>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</si>
  <si>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</si>
  <si>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</si>
  <si>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</si>
  <si>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</si>
  <si>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</si>
  <si>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</si>
  <si>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</si>
  <si>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</si>
  <si>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</si>
  <si>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</si>
  <si>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</si>
  <si>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</si>
  <si>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</si>
  <si>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</si>
  <si>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</si>
  <si>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</si>
  <si>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</si>
  <si>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</si>
  <si>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</si>
  <si>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</si>
  <si>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</si>
  <si>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</si>
  <si>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</si>
  <si>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</si>
  <si>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</si>
  <si>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</si>
  <si>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</si>
  <si>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</si>
  <si>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</si>
  <si>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</si>
  <si>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</si>
  <si>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</si>
  <si>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</si>
  <si>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</si>
  <si>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</si>
  <si>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</si>
  <si>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</si>
  <si>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</si>
  <si>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</si>
  <si>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</si>
  <si>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</si>
  <si>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</si>
  <si>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</si>
  <si>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</si>
  <si>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</si>
  <si>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</si>
  <si>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</si>
  <si>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</si>
  <si>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</si>
  <si>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</si>
  <si>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</si>
  <si>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</si>
  <si>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</si>
  <si>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</si>
  <si>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</si>
  <si>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</si>
  <si>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</si>
  <si>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</si>
  <si>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</si>
  <si>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</si>
  <si>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</si>
  <si>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</si>
  <si>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</si>
  <si>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</si>
  <si>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</si>
  <si>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</si>
  <si>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</si>
  <si>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</si>
  <si>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</si>
  <si>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</si>
  <si>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</si>
  <si>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</si>
  <si>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</si>
  <si>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</si>
  <si>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</si>
  <si>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</si>
  <si>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</si>
  <si>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</si>
  <si>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</si>
  <si>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</si>
  <si>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</si>
  <si>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</si>
  <si>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</si>
  <si>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</si>
  <si>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</si>
  <si>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</si>
  <si>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</si>
  <si>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</si>
  <si>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</si>
  <si>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</si>
  <si>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</si>
  <si>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</si>
  <si>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</si>
  <si>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</si>
  <si>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</si>
  <si>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</si>
  <si>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</si>
  <si>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</si>
  <si>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</si>
  <si>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</si>
  <si>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</si>
  <si>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</si>
  <si>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</si>
  <si>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</si>
  <si>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</si>
  <si>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</si>
  <si>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</si>
  <si>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</si>
  <si>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</si>
  <si>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</si>
  <si>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</si>
  <si>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</si>
  <si>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</si>
  <si>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</si>
  <si>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</si>
  <si>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</si>
  <si>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</si>
  <si>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</si>
  <si>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</si>
  <si>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</si>
  <si>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</si>
  <si>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</si>
  <si>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</si>
  <si>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</si>
  <si>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</si>
  <si>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</si>
  <si>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</si>
  <si>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</si>
  <si>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</si>
  <si>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</si>
  <si>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</si>
  <si>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</si>
  <si>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</si>
  <si>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</si>
  <si>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</si>
  <si>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</si>
  <si>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</si>
  <si>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</si>
  <si>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</si>
  <si>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</si>
  <si>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</si>
  <si>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</si>
  <si>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</si>
  <si>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</si>
  <si>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</si>
  <si>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</si>
  <si>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</si>
  <si>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</si>
  <si>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</si>
  <si>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</si>
  <si>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</si>
  <si>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</si>
  <si>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</si>
  <si>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</si>
  <si>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</si>
  <si>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</si>
  <si>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</si>
  <si>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</si>
  <si>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</si>
  <si>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</si>
  <si>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</si>
  <si>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</si>
  <si>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</si>
  <si>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</si>
  <si>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</si>
  <si>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</si>
  <si>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</si>
  <si>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</si>
  <si>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</si>
  <si>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</si>
  <si>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</si>
  <si>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</si>
  <si>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</si>
  <si>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</si>
  <si>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</si>
  <si>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</si>
  <si>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</si>
  <si>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</si>
  <si>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</si>
  <si>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</si>
  <si>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</si>
  <si>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</si>
  <si>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</si>
  <si>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</si>
  <si>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</si>
  <si>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</si>
  <si>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</si>
  <si>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</si>
  <si>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</si>
  <si>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</si>
  <si>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</si>
  <si>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</si>
  <si>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</si>
  <si>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</si>
  <si>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</si>
  <si>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</si>
  <si>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</si>
  <si>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</si>
  <si>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</si>
  <si>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</si>
  <si>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</si>
  <si>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</si>
  <si>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</si>
  <si>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</si>
  <si>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</si>
  <si>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</si>
  <si>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</si>
  <si>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</si>
  <si>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</si>
  <si>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</si>
  <si>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</si>
  <si>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</si>
  <si>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</si>
  <si>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</si>
  <si>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</si>
  <si>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</si>
  <si>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</si>
  <si>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</si>
  <si>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</si>
  <si>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</si>
  <si>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</si>
  <si>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</si>
  <si>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</si>
  <si>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</si>
  <si>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</si>
  <si>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</si>
  <si>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</si>
  <si>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</si>
  <si>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</si>
  <si>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</si>
  <si>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</si>
  <si>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</si>
  <si>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</si>
  <si>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</si>
  <si>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</si>
  <si>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</si>
  <si>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</si>
  <si>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</si>
  <si>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</si>
  <si>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</si>
  <si>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</si>
  <si>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</si>
  <si>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</si>
  <si>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</si>
  <si>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</si>
  <si>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</si>
  <si>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</si>
  <si>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</si>
  <si>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</si>
  <si>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</si>
  <si>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</si>
  <si>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</si>
  <si>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</si>
  <si>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</si>
  <si>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</si>
  <si>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</si>
  <si>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</si>
  <si>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</si>
  <si>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</si>
  <si>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</si>
  <si>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</si>
  <si>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</si>
  <si>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</si>
  <si>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</si>
  <si>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</si>
  <si>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</si>
  <si>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</si>
  <si>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</si>
  <si>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</si>
  <si>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</si>
  <si>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</si>
  <si>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</si>
  <si>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</si>
  <si>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</si>
  <si>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</si>
  <si>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</si>
  <si>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</si>
  <si>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</si>
  <si>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</si>
  <si>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</si>
  <si>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</si>
  <si>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</si>
  <si>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</si>
  <si>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</si>
  <si>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</si>
  <si>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</si>
  <si>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</si>
  <si>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</si>
  <si>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</si>
  <si>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</si>
  <si>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</si>
  <si>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</si>
  <si>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</si>
  <si>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</si>
  <si>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</si>
  <si>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</si>
  <si>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</si>
  <si>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</si>
  <si>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</si>
  <si>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</si>
  <si>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</si>
  <si>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</si>
  <si>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</si>
  <si>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</si>
  <si>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</si>
  <si>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</si>
  <si>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</si>
  <si>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</si>
  <si>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</si>
  <si>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</si>
  <si>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</si>
  <si>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</si>
  <si>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</si>
  <si>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</si>
  <si>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</si>
  <si>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</si>
  <si>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</si>
  <si>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</si>
  <si>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</si>
  <si>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</si>
  <si>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</si>
  <si>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</si>
  <si>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</si>
  <si>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</si>
  <si>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</si>
  <si>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</si>
  <si>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</si>
  <si>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</si>
  <si>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</si>
  <si>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</si>
  <si>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</si>
  <si>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</si>
  <si>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</si>
  <si>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</si>
  <si>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</si>
  <si>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</si>
  <si>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</si>
  <si>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</si>
  <si>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</si>
  <si>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</si>
  <si>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</si>
  <si>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</si>
  <si>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</si>
  <si>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</si>
  <si>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</si>
  <si>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</si>
  <si>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</si>
  <si>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</si>
  <si>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</si>
  <si>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</si>
  <si>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</si>
  <si>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</si>
  <si>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</si>
  <si>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</si>
  <si>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</si>
  <si>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</si>
  <si>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</si>
  <si>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</si>
  <si>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</si>
  <si>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</si>
  <si>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</si>
  <si>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</si>
  <si>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</si>
  <si>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</si>
  <si>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</si>
  <si>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</si>
  <si>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</si>
  <si>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</si>
  <si>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</si>
  <si>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</si>
  <si>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</si>
  <si>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</si>
  <si>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</si>
  <si>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</si>
  <si>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</si>
  <si>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</si>
  <si>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</si>
  <si>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</si>
  <si>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</si>
  <si>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</si>
  <si>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</si>
  <si>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</si>
  <si>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</si>
  <si>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</si>
  <si>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</si>
  <si>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</si>
  <si>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</si>
  <si>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</si>
  <si>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</si>
  <si>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</si>
  <si>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</si>
  <si>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</si>
  <si>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</si>
  <si>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</si>
  <si>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</si>
  <si>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</si>
  <si>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</si>
  <si>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</si>
  <si>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</si>
  <si>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</si>
  <si>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</si>
  <si>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</si>
  <si>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</si>
  <si>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</si>
  <si>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</si>
  <si>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</si>
  <si>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</si>
  <si>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</si>
  <si>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</si>
  <si>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</si>
  <si>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</si>
  <si>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</si>
  <si>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</si>
  <si>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</si>
  <si>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</si>
  <si>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</si>
  <si>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</si>
  <si>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</si>
  <si>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</si>
  <si>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</si>
  <si>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</si>
  <si>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</si>
  <si>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</si>
  <si>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</si>
  <si>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</si>
  <si>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</si>
  <si>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</si>
  <si>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</si>
  <si>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</si>
  <si>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</si>
  <si>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</si>
  <si>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</si>
  <si>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</si>
  <si>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</si>
  <si>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</si>
  <si>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</si>
  <si>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</si>
  <si>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</si>
  <si>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</si>
  <si>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</si>
  <si>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</si>
  <si>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</si>
  <si>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</si>
  <si>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</si>
  <si>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</si>
  <si>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</si>
  <si>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</si>
  <si>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</si>
  <si>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</si>
  <si>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</si>
  <si>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</si>
  <si>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</si>
  <si>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</si>
  <si>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</si>
  <si>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</si>
  <si>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</si>
  <si>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</si>
  <si>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</si>
  <si>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</si>
  <si>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</si>
  <si>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</si>
  <si>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</si>
  <si>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</si>
  <si>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</si>
  <si>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</si>
  <si>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</si>
  <si>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</si>
  <si>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</si>
  <si>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</si>
  <si>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</si>
  <si>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</si>
  <si>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</si>
  <si>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</si>
  <si>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</si>
  <si>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</si>
  <si>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</si>
  <si>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</si>
  <si>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</si>
  <si>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</si>
  <si>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</si>
  <si>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</si>
  <si>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</si>
  <si>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</si>
  <si>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</si>
  <si>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</si>
  <si>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</si>
  <si>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</si>
  <si>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</si>
  <si>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</si>
  <si>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</si>
  <si>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</si>
  <si>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</si>
  <si>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</si>
  <si>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</si>
  <si>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</si>
  <si>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</si>
  <si>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</si>
  <si>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</si>
  <si>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</si>
  <si>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</si>
  <si>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</si>
  <si>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</si>
  <si>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</si>
  <si>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</si>
  <si>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</si>
  <si>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</si>
  <si>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</si>
  <si>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</si>
  <si>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</si>
  <si>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</si>
  <si>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</si>
  <si>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</si>
  <si>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</si>
  <si>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</si>
  <si>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</si>
  <si>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</si>
  <si>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</si>
  <si>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</si>
  <si>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</si>
  <si>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</si>
  <si>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</si>
  <si>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</si>
  <si>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</si>
  <si>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</si>
  <si>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</si>
  <si>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</si>
  <si>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</si>
  <si>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</si>
  <si>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</si>
  <si>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</si>
  <si>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</si>
  <si>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</si>
  <si>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</si>
  <si>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</si>
  <si>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</si>
  <si>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</si>
  <si>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</si>
  <si>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</si>
  <si>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</si>
  <si>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</si>
  <si>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</si>
  <si>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</si>
  <si>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</si>
  <si>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</si>
  <si>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</si>
  <si>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</si>
  <si>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</si>
  <si>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</si>
  <si>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</si>
  <si>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</si>
  <si>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</si>
  <si>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</si>
  <si>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</si>
  <si>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</si>
  <si>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</si>
  <si>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</si>
  <si>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</si>
  <si>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</si>
  <si>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</si>
  <si>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</si>
  <si>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</si>
  <si>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</si>
  <si>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</si>
  <si>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</si>
  <si>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</si>
  <si>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</si>
  <si>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</si>
  <si>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</si>
  <si>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</si>
  <si>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</si>
  <si>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</si>
  <si>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</si>
  <si>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</si>
  <si>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</si>
  <si>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</si>
  <si>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</si>
  <si>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</si>
  <si>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</si>
  <si>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</si>
  <si>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</si>
  <si>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</si>
  <si>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</si>
  <si>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</si>
  <si>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</si>
  <si>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</si>
  <si>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</si>
  <si>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</si>
  <si>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</si>
  <si>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</si>
  <si>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</si>
  <si>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</si>
  <si>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</si>
  <si>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</si>
  <si>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</si>
  <si>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</si>
  <si>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</si>
  <si>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</si>
  <si>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</si>
  <si>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</si>
  <si>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</si>
  <si>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</si>
  <si>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</si>
  <si>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</si>
  <si>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</si>
  <si>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</si>
  <si>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</si>
  <si>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</si>
  <si>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</si>
  <si>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</si>
  <si>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</si>
  <si>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</si>
  <si>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</si>
  <si>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</si>
  <si>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</si>
  <si>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</si>
  <si>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</si>
  <si>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</si>
  <si>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</si>
  <si>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</si>
  <si>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</si>
  <si>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</si>
  <si>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</si>
  <si>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</si>
  <si>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</si>
  <si>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</si>
  <si>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</si>
  <si>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</si>
  <si>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</si>
  <si>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</si>
  <si>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</si>
  <si>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</si>
  <si>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</si>
  <si>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</si>
  <si>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</si>
  <si>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</si>
  <si>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</si>
  <si>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</si>
  <si>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</si>
  <si>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</si>
  <si>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</si>
  <si>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</si>
  <si>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</si>
  <si>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</si>
  <si>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</si>
  <si>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</si>
  <si>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</si>
  <si>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</si>
  <si>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</si>
  <si>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</si>
  <si>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</si>
  <si>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</si>
  <si>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</si>
  <si>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</si>
  <si>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</si>
  <si>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</si>
  <si>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</si>
  <si>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</si>
  <si>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</si>
  <si>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</si>
  <si>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</si>
  <si>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</si>
  <si>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</si>
  <si>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</si>
  <si>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</si>
  <si>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</si>
  <si>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</si>
  <si>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</si>
  <si>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</si>
  <si>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</si>
  <si>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</si>
  <si>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</si>
  <si>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</si>
  <si>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</si>
  <si>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</si>
  <si>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</si>
  <si>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</si>
  <si>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</si>
  <si>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</si>
  <si>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</si>
  <si>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</si>
  <si>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</si>
  <si>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</si>
  <si>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</si>
  <si>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</si>
  <si>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</si>
  <si>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</si>
  <si>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</si>
  <si>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</si>
  <si>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</si>
  <si>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</si>
  <si>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</si>
  <si>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</si>
  <si>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</si>
  <si>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</si>
  <si>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</si>
  <si>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</si>
  <si>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</si>
  <si>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</si>
  <si>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</si>
  <si>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</si>
  <si>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</si>
  <si>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</si>
  <si>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</si>
  <si>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</si>
  <si>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</si>
  <si>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</si>
  <si>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</si>
  <si>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</si>
  <si>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</si>
  <si>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</si>
  <si>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</si>
  <si>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</si>
  <si>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</si>
  <si>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</si>
  <si>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</si>
  <si>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</si>
  <si>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</si>
  <si>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</si>
  <si>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</si>
  <si>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</si>
  <si>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</si>
  <si>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</si>
  <si>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</si>
  <si>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</si>
  <si>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</si>
  <si>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</si>
  <si>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</si>
  <si>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</si>
  <si>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</si>
  <si>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</si>
  <si>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</si>
  <si>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</si>
  <si>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</si>
  <si>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</si>
  <si>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</si>
  <si>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</si>
  <si>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</si>
  <si>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</si>
  <si>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</si>
  <si>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</si>
  <si>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</si>
  <si>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</si>
  <si>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</si>
  <si>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</si>
  <si>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</si>
  <si>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</si>
  <si>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</si>
  <si>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</si>
  <si>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</si>
  <si>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</si>
  <si>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</si>
  <si>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</si>
  <si>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</si>
  <si>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</si>
  <si>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</si>
  <si>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</si>
  <si>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</si>
  <si>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</si>
  <si>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</si>
  <si>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</si>
  <si>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</si>
  <si>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</si>
  <si>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</si>
  <si>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</si>
  <si>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</si>
  <si>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</si>
  <si>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</si>
  <si>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</si>
  <si>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</si>
  <si>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</si>
  <si>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</si>
  <si>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</si>
  <si>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</si>
  <si>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</si>
  <si>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</si>
  <si>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</si>
  <si>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</si>
  <si>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</si>
  <si>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</si>
  <si>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</si>
  <si>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</si>
  <si>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</si>
  <si>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</si>
  <si>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</si>
  <si>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</si>
  <si>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</si>
  <si>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</si>
  <si>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</si>
  <si>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</si>
  <si>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</si>
  <si>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</si>
  <si>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</si>
  <si>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</si>
  <si>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</si>
  <si>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</si>
  <si>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</si>
  <si>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</si>
  <si>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</si>
  <si>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</si>
  <si>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</si>
  <si>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</si>
  <si>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</si>
  <si>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</si>
  <si>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</si>
  <si>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</si>
  <si>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</si>
  <si>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</si>
  <si>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</si>
  <si>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</si>
  <si>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</si>
  <si>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</si>
  <si>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</si>
  <si>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</si>
  <si>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</si>
  <si>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</si>
  <si>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</si>
  <si>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</si>
  <si>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</si>
  <si>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</si>
  <si>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</si>
  <si>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</si>
  <si>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</si>
  <si>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</si>
  <si>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</si>
  <si>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</si>
  <si>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</si>
  <si>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</si>
  <si>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</si>
  <si>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</si>
  <si>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</si>
  <si>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</si>
  <si>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</si>
  <si>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</si>
  <si>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</si>
  <si>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</si>
  <si>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</si>
  <si>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</si>
  <si>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</si>
  <si>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</si>
  <si>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</si>
  <si>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</si>
  <si>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</si>
  <si>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</si>
  <si>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</si>
  <si>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</si>
  <si>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</si>
  <si>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</si>
  <si>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</si>
  <si>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</si>
  <si>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</si>
  <si>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</si>
  <si>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</si>
  <si>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</si>
  <si>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</si>
  <si>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</si>
  <si>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</si>
  <si>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</si>
  <si>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</si>
  <si>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</si>
  <si>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</si>
  <si>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</si>
  <si>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</si>
  <si>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</si>
  <si>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</si>
  <si>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</si>
  <si>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</si>
  <si>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</si>
  <si>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</si>
  <si>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</si>
  <si>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</si>
  <si>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</si>
  <si>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</si>
  <si>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</si>
  <si>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</si>
  <si>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</si>
  <si>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</si>
  <si>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</si>
  <si>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</si>
  <si>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</si>
  <si>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</si>
  <si>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</si>
  <si>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</si>
  <si>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</si>
  <si>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</si>
  <si>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</si>
  <si>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</si>
  <si>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</si>
  <si>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</si>
  <si>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</si>
  <si>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</si>
  <si>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</si>
  <si>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</si>
  <si>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</si>
  <si>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</si>
  <si>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</si>
  <si>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</si>
  <si>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</si>
  <si>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</si>
  <si>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</si>
  <si>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</si>
  <si>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</si>
  <si>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</si>
  <si>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</si>
  <si>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</si>
  <si>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</si>
  <si>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</si>
  <si>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</si>
  <si>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</si>
  <si>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</si>
  <si>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</si>
  <si>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</si>
  <si>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</si>
  <si>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</si>
  <si>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</si>
  <si>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</si>
  <si>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</si>
  <si>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</si>
  <si>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</si>
  <si>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</si>
  <si>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</si>
  <si>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</si>
  <si>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</si>
  <si>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</si>
  <si>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</si>
  <si>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</si>
  <si>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</si>
  <si>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</si>
  <si>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</si>
  <si>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</si>
  <si>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</si>
  <si>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</si>
  <si>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</si>
  <si>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</si>
  <si>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</si>
  <si>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</si>
  <si>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</si>
  <si>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</si>
  <si>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</si>
  <si>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</si>
  <si>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</si>
  <si>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</si>
  <si>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</si>
  <si>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</si>
  <si>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</si>
  <si>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</si>
  <si>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</si>
  <si>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</si>
  <si>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</si>
  <si>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</si>
  <si>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</si>
  <si>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</si>
  <si>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</si>
  <si>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</si>
  <si>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</si>
  <si>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</si>
  <si>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</si>
  <si>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</si>
  <si>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</si>
  <si>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</si>
  <si>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</si>
  <si>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</si>
  <si>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</si>
  <si>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</si>
  <si>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</si>
  <si>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</si>
  <si>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</si>
  <si>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</si>
  <si>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</si>
  <si>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</si>
  <si>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</si>
  <si>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</si>
  <si>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</si>
  <si>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</si>
  <si>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</si>
  <si>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</si>
  <si>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</si>
  <si>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</si>
  <si>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</si>
  <si>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</si>
  <si>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</si>
  <si>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</si>
  <si>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</si>
  <si>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</si>
  <si>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</si>
  <si>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</si>
  <si>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</si>
  <si>
    <t>中信信托有限责任公司</t>
    <phoneticPr fontId="6" type="noConversion"/>
  </si>
  <si>
    <t>重庆阳光壹佰房地产开发有限公司</t>
    <phoneticPr fontId="6" type="noConversion"/>
  </si>
  <si>
    <t>中国华融资产管理股份有限公司北京市分公司</t>
    <phoneticPr fontId="6" type="noConversion"/>
  </si>
  <si>
    <t>商业项目</t>
  </si>
  <si>
    <t>通下水</t>
  </si>
  <si>
    <r>
      <rPr>
        <sz val="10"/>
        <color theme="1"/>
        <rFont val="宋体"/>
        <family val="3"/>
        <charset val="134"/>
      </rPr>
      <t>渝（</t>
    </r>
    <r>
      <rPr>
        <sz val="10"/>
        <color theme="1"/>
        <rFont val="Arial"/>
        <family val="2"/>
      </rPr>
      <t>2019</t>
    </r>
    <r>
      <rPr>
        <sz val="10"/>
        <color theme="1"/>
        <rFont val="宋体"/>
        <family val="3"/>
        <charset val="134"/>
      </rPr>
      <t>）南岸区不动产权第</t>
    </r>
    <r>
      <rPr>
        <sz val="10"/>
        <color theme="1"/>
        <rFont val="Arial"/>
        <family val="2"/>
      </rPr>
      <t>000556144</t>
    </r>
    <r>
      <rPr>
        <sz val="10"/>
        <color theme="1"/>
        <rFont val="宋体"/>
        <family val="3"/>
        <charset val="134"/>
      </rPr>
      <t>、</t>
    </r>
    <r>
      <rPr>
        <sz val="10"/>
        <color theme="1"/>
        <rFont val="Arial"/>
        <family val="2"/>
      </rPr>
      <t>000556807</t>
    </r>
    <r>
      <rPr>
        <sz val="10"/>
        <color theme="1"/>
        <rFont val="宋体"/>
        <family val="3"/>
        <charset val="134"/>
      </rPr>
      <t>号</t>
    </r>
    <phoneticPr fontId="228" type="noConversion"/>
  </si>
  <si>
    <t>住宅</t>
    <phoneticPr fontId="228" type="noConversion"/>
  </si>
  <si>
    <t>公共配套</t>
    <phoneticPr fontId="228" type="noConversion"/>
  </si>
  <si>
    <t>物业用房</t>
    <phoneticPr fontId="228" type="noConversion"/>
  </si>
  <si>
    <t>设备</t>
    <phoneticPr fontId="228" type="noConversion"/>
  </si>
  <si>
    <t>小计</t>
    <phoneticPr fontId="228" type="noConversion"/>
  </si>
  <si>
    <t>地上</t>
    <phoneticPr fontId="228" type="noConversion"/>
  </si>
  <si>
    <t>地下</t>
    <phoneticPr fontId="228" type="noConversion"/>
  </si>
  <si>
    <t>车库</t>
    <phoneticPr fontId="228" type="noConversion"/>
  </si>
  <si>
    <t>合计</t>
    <phoneticPr fontId="228" type="noConversion"/>
  </si>
  <si>
    <t>住宅总计</t>
    <phoneticPr fontId="228" type="noConversion"/>
  </si>
  <si>
    <t>公共配套总计</t>
    <phoneticPr fontId="228" type="noConversion"/>
  </si>
  <si>
    <t>物业用房总计</t>
    <phoneticPr fontId="228" type="noConversion"/>
  </si>
  <si>
    <t>设备用房总计</t>
    <phoneticPr fontId="228" type="noConversion"/>
  </si>
  <si>
    <t>车库总计</t>
    <phoneticPr fontId="228" type="noConversion"/>
  </si>
  <si>
    <t>设备总计</t>
    <phoneticPr fontId="228" type="noConversion"/>
  </si>
  <si>
    <t>楼面单价</t>
    <phoneticPr fontId="228" type="noConversion"/>
  </si>
  <si>
    <t>总价</t>
    <phoneticPr fontId="228" type="noConversion"/>
  </si>
  <si>
    <t>地面单价</t>
    <phoneticPr fontId="228" type="noConversion"/>
  </si>
  <si>
    <t>楼面单价</t>
    <phoneticPr fontId="228" type="noConversion"/>
  </si>
  <si>
    <t>地面单价</t>
    <phoneticPr fontId="228" type="noConversion"/>
  </si>
  <si>
    <t>渝（2017）南岸区不动产权第000794174号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</si>
</sst>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79" fontId="146" fillId="0" borderId="2" xfId="0" applyNumberFormat="1" applyFont="1" applyBorder="1" applyAlignment="1"/>
    <xf numFmtId="0" fontId="0" fillId="0" borderId="2" xfId="0" applyBorder="1" applyAlignment="1"/>
    <xf numFmtId="179"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79"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7" fontId="278" fillId="0" borderId="2" xfId="2" applyNumberFormat="1" applyFont="1" applyBorder="1" applyAlignment="1">
      <alignment horizontal="center" vertical="center" wrapText="1"/>
    </xf>
    <xf numFmtId="179" fontId="280" fillId="0" borderId="0" xfId="2" applyNumberFormat="1" applyFont="1">
      <alignment vertical="center"/>
    </xf>
    <xf numFmtId="0" fontId="283" fillId="0" borderId="2" xfId="2" applyFont="1" applyBorder="1" applyAlignment="1">
      <alignment horizontal="center" vertical="center" wrapText="1"/>
    </xf>
    <xf numFmtId="179"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79"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79"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79"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7"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79"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6" fontId="278" fillId="0" borderId="2" xfId="2" applyNumberFormat="1" applyFont="1" applyFill="1" applyBorder="1" applyAlignment="1">
      <alignment horizontal="center" vertical="center" wrapText="1"/>
    </xf>
    <xf numFmtId="184" fontId="278" fillId="0" borderId="2" xfId="2" applyNumberFormat="1" applyFont="1" applyBorder="1" applyAlignment="1">
      <alignment horizontal="center" vertical="center" wrapText="1"/>
    </xf>
    <xf numFmtId="176"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7"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7"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3" fontId="78" fillId="17" borderId="2" xfId="0" applyNumberFormat="1" applyFont="1" applyFill="1" applyBorder="1" applyAlignment="1" applyProtection="1">
      <alignment horizontal="center" vertical="center" shrinkToFit="1"/>
      <protection locked="0"/>
    </xf>
    <xf numFmtId="177"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7"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0" xfId="0" applyFont="1" applyAlignment="1">
      <alignment horizontal="left" vertical="center" wrapText="1"/>
    </xf>
    <xf numFmtId="0" fontId="200" fillId="0" borderId="2" xfId="0" applyFont="1" applyBorder="1" applyAlignment="1">
      <alignment horizontal="lef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274"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10"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230" fillId="0" borderId="2" xfId="0" applyFont="1" applyBorder="1" applyAlignment="1">
      <alignment horizontal="left" vertical="center" wrapText="1"/>
    </xf>
    <xf numFmtId="0" fontId="200" fillId="0" borderId="2"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6" fillId="0" borderId="5" xfId="0" applyFont="1" applyBorder="1" applyAlignment="1">
      <alignment horizontal="right"/>
    </xf>
    <xf numFmtId="0" fontId="146" fillId="0" borderId="9" xfId="0" applyFont="1" applyBorder="1" applyAlignment="1">
      <alignment horizontal="right"/>
    </xf>
    <xf numFmtId="179" fontId="0" fillId="0" borderId="10" xfId="0" applyNumberFormat="1" applyBorder="1" applyAlignment="1">
      <alignment horizontal="center" vertical="center" wrapText="1"/>
    </xf>
    <xf numFmtId="179" fontId="0" fillId="0" borderId="21" xfId="0" applyNumberFormat="1" applyBorder="1" applyAlignment="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2" xfId="2" applyFont="1" applyBorder="1" applyAlignment="1">
      <alignment horizontal="left"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78" fillId="0" borderId="11"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2" xfId="16" applyFont="1" applyBorder="1" applyAlignment="1">
      <alignment horizontal="center" vertical="center" wrapText="1"/>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xf numFmtId="0" fontId="288" fillId="0" borderId="0" xfId="6" applyFont="1" applyFill="1"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66675</xdr:colOff>
      <xdr:row>18</xdr:row>
      <xdr:rowOff>104775</xdr:rowOff>
    </xdr:from>
    <xdr:to>
      <xdr:col>12</xdr:col>
      <xdr:colOff>714375</xdr:colOff>
      <xdr:row>39</xdr:row>
      <xdr:rowOff>136040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190875"/>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21651.51</v>
          </cell>
          <cell r="C14">
            <v>6862</v>
          </cell>
          <cell r="D14">
            <v>26928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34685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29984.600000000002</v>
          </cell>
          <cell r="C14">
            <v>9503</v>
          </cell>
          <cell r="D14">
            <v>37173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11683.42</v>
          </cell>
          <cell r="C14">
            <v>6822</v>
          </cell>
          <cell r="D14">
            <v>12774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48248.6</v>
          </cell>
          <cell r="C14">
            <v>7667</v>
          </cell>
          <cell r="D14">
            <v>40092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397482.02</v>
          </cell>
          <cell r="C14">
            <v>56779</v>
          </cell>
          <cell r="D14">
            <v>396528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17516</v>
          </cell>
          <cell r="C14">
            <v>8758</v>
          </cell>
          <cell r="D14">
            <v>13747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5" thickBot="1">
      <c r="A5" s="2853" t="s">
        <v>2659</v>
      </c>
      <c r="B5" s="2854" t="str">
        <f>'预评函-封皮'!B49</f>
        <v>康正预评字2019-1-0343-P01DYGJ2号</v>
      </c>
    </row>
    <row r="6" spans="1:55" s="2855" customFormat="1" ht="15"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2019年7月4日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根据委托估价方介绍及评估专业人员现场勘查，本次评估估价对象实际土地开发程度为红线外市政基础设施达“七通”（即通路、通电、通上水、通下水、、、）、宗地红线内场地平整。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根据《重庆市房地产权证》[106D房地证2015字第00466号]，估价对象（分摊）出让国有建设用地使用权面积为30008平方米。根据《阳光100指标》及委托估价方介绍，估价对象规划建筑面积为129023.22平方米。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估价期日：2019年7月4日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30008</v>
      </c>
    </row>
    <row r="44" spans="1:2">
      <c r="A44" s="2831" t="s">
        <v>2736</v>
      </c>
      <c r="B44" s="2832" t="str">
        <f>'预评函-2'!O3</f>
        <v>规划建筑面积/㎡</v>
      </c>
    </row>
    <row r="45" spans="1:2">
      <c r="A45" s="2831" t="s">
        <v>2718</v>
      </c>
      <c r="B45" s="2832">
        <f>'预评函-2'!O5</f>
        <v>129023.22</v>
      </c>
    </row>
    <row r="46" spans="1:2">
      <c r="A46" s="2831" t="s">
        <v>2719</v>
      </c>
      <c r="B46" s="2832">
        <f ca="1">'预评函-2'!P5</f>
        <v>29971</v>
      </c>
    </row>
    <row r="47" spans="1:2">
      <c r="A47" s="2831" t="s">
        <v>2720</v>
      </c>
      <c r="B47" s="2832">
        <f ca="1">'预评函-2'!Q5</f>
        <v>6971</v>
      </c>
    </row>
    <row r="48" spans="1:2">
      <c r="A48" s="2831" t="s">
        <v>2721</v>
      </c>
      <c r="B48" s="2832">
        <f ca="1">'预评函-2'!R5</f>
        <v>89938</v>
      </c>
    </row>
    <row r="49" spans="1:2">
      <c r="A49" s="2831" t="s">
        <v>2737</v>
      </c>
      <c r="B49" s="2832" t="str">
        <f>'预评函-2'!A6</f>
        <v>抵押价格</v>
      </c>
    </row>
    <row r="50" spans="1:2">
      <c r="A50" s="2831" t="s">
        <v>2722</v>
      </c>
      <c r="B50" s="2832">
        <f ca="1">'预评函-2'!R6</f>
        <v>89938</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8" sqref="H8"/>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32" t="str">
        <f>IF(B10="北京市","北京市",C10)&amp;F10&amp;B16&amp;"国有建设用地使用权"&amp;B9&amp;"预评估"</f>
        <v>重庆市南岸区涂山镇石溪路出让国有建设用地使用权抵押价格预评估</v>
      </c>
      <c r="C1" s="3333"/>
      <c r="D1" s="3333"/>
      <c r="E1" s="3333"/>
      <c r="F1" s="3333"/>
      <c r="G1" s="3333"/>
      <c r="H1" s="3333"/>
      <c r="I1" s="3334"/>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3393</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v>43650</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3463</v>
      </c>
      <c r="C5" s="1650"/>
      <c r="D5" s="1651"/>
      <c r="E5" s="1677"/>
      <c r="F5" s="1677"/>
      <c r="G5" s="1677"/>
      <c r="H5" s="1644"/>
      <c r="I5" s="1678"/>
      <c r="J5" s="1677"/>
      <c r="K5" s="1756"/>
      <c r="L5" s="1706"/>
      <c r="M5" s="1706"/>
      <c r="N5" s="1677"/>
      <c r="O5" s="1678"/>
      <c r="P5" s="1677"/>
      <c r="Q5" s="1677"/>
      <c r="R5" s="1677"/>
      <c r="S5" s="1677"/>
      <c r="T5" s="1677"/>
      <c r="U5" s="1677"/>
    </row>
    <row r="6" spans="1:21" ht="26.25">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3464</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2988</v>
      </c>
      <c r="C8" s="1655"/>
      <c r="D8" s="3338" t="s">
        <v>1944</v>
      </c>
      <c r="E8" s="1826" t="s">
        <v>2989</v>
      </c>
      <c r="F8" s="1656"/>
      <c r="G8" s="1644"/>
      <c r="H8" s="1644"/>
      <c r="I8" s="1690"/>
      <c r="J8" s="1677"/>
      <c r="K8" s="1756"/>
      <c r="L8" s="1706"/>
      <c r="M8" s="1706"/>
      <c r="N8" s="1677"/>
      <c r="O8" s="1678"/>
      <c r="P8" s="1677"/>
      <c r="Q8" s="1677"/>
      <c r="R8" s="1677"/>
      <c r="S8" s="1677"/>
      <c r="T8" s="1677"/>
      <c r="U8" s="1677"/>
    </row>
    <row r="9" spans="1:21" ht="15" thickBot="1">
      <c r="A9" s="1657" t="s">
        <v>1943</v>
      </c>
      <c r="B9" s="1658" t="s">
        <v>2989</v>
      </c>
      <c r="C9" s="1659"/>
      <c r="D9" s="3339"/>
      <c r="E9" s="1658" t="s">
        <v>952</v>
      </c>
      <c r="F9" s="1730"/>
      <c r="G9" s="1725"/>
      <c r="H9" s="1725"/>
      <c r="I9" s="1726"/>
      <c r="J9" s="1677"/>
      <c r="K9" s="1756"/>
      <c r="L9" s="1706"/>
      <c r="M9" s="1706"/>
      <c r="N9" s="1677"/>
      <c r="O9" s="1678"/>
      <c r="P9" s="1677"/>
      <c r="Q9" s="1677"/>
      <c r="R9" s="1677"/>
      <c r="S9" s="1677"/>
      <c r="T9" s="1677"/>
      <c r="U9" s="1677"/>
    </row>
    <row r="10" spans="1:21" ht="15" thickTop="1">
      <c r="A10" s="1727" t="s">
        <v>1996</v>
      </c>
      <c r="B10" s="1702" t="s">
        <v>2990</v>
      </c>
      <c r="C10" s="1660" t="s">
        <v>2991</v>
      </c>
      <c r="D10" s="1651"/>
      <c r="E10" s="1661" t="s">
        <v>1946</v>
      </c>
      <c r="F10" s="1662" t="s">
        <v>2992</v>
      </c>
      <c r="G10" s="1728"/>
      <c r="H10" s="1729"/>
      <c r="I10" s="1651"/>
      <c r="J10" s="1677"/>
      <c r="K10" s="1756"/>
      <c r="L10" s="1706"/>
      <c r="M10" s="1706"/>
      <c r="N10" s="1677"/>
      <c r="O10" s="1678"/>
      <c r="P10" s="1677"/>
      <c r="Q10" s="1677"/>
      <c r="R10" s="1677"/>
      <c r="S10" s="1677"/>
      <c r="T10" s="1677"/>
      <c r="U10" s="1677"/>
    </row>
    <row r="11" spans="1:21">
      <c r="A11" s="1680" t="s">
        <v>1997</v>
      </c>
      <c r="B11" s="1681" t="s">
        <v>2993</v>
      </c>
      <c r="C11" s="3184" t="s">
        <v>2987</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35" t="s">
        <v>2994</v>
      </c>
      <c r="C12" s="3336"/>
      <c r="D12" s="3337"/>
      <c r="E12" s="1682" t="s">
        <v>2058</v>
      </c>
      <c r="F12" s="3356" t="s">
        <v>2997</v>
      </c>
      <c r="G12" s="3357"/>
      <c r="H12" s="3357"/>
      <c r="I12" s="3358"/>
      <c r="J12" s="1677"/>
      <c r="K12" s="1756"/>
      <c r="L12" s="1706"/>
      <c r="M12" s="1706"/>
      <c r="N12" s="1677"/>
      <c r="O12" s="1678"/>
      <c r="P12" s="1677"/>
      <c r="Q12" s="1677"/>
      <c r="R12" s="1677"/>
      <c r="S12" s="1677"/>
      <c r="T12" s="1677"/>
      <c r="U12" s="1677"/>
    </row>
    <row r="13" spans="1:21">
      <c r="A13" s="1670" t="s">
        <v>2056</v>
      </c>
      <c r="B13" s="3335" t="s">
        <v>2995</v>
      </c>
      <c r="C13" s="3336"/>
      <c r="D13" s="3337"/>
      <c r="E13" s="1682" t="s">
        <v>2058</v>
      </c>
      <c r="F13" s="3359" t="s">
        <v>3390</v>
      </c>
      <c r="G13" s="3360"/>
      <c r="H13" s="3360"/>
      <c r="I13" s="3361"/>
      <c r="J13" s="1677"/>
      <c r="K13" s="1756"/>
      <c r="L13" s="1706"/>
      <c r="M13" s="1706"/>
      <c r="N13" s="1677"/>
      <c r="O13" s="1678"/>
      <c r="P13" s="1677"/>
      <c r="Q13" s="1677"/>
      <c r="R13" s="1677"/>
      <c r="S13" s="1677"/>
      <c r="T13" s="1677"/>
      <c r="U13" s="1677"/>
    </row>
    <row r="14" spans="1:21">
      <c r="A14" s="1645" t="s">
        <v>2059</v>
      </c>
      <c r="B14" s="1682"/>
      <c r="C14" s="1827" t="s">
        <v>2996</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2980</v>
      </c>
      <c r="C16" s="1682" t="s">
        <v>1948</v>
      </c>
      <c r="D16" s="2608" t="s">
        <v>1949</v>
      </c>
      <c r="E16" s="1705" t="s">
        <v>3298</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33.78</v>
      </c>
      <c r="E19" s="1668">
        <f>IF(B16="出让",IF(E17="","",ROUNDDOWN(MIN((E17-$D$3)/365,E18),2)),E18)</f>
        <v>23.77</v>
      </c>
      <c r="F19" s="1668" t="str">
        <f>IF(B16="出让",IF(F17="","",ROUNDDOWN(MIN((F17-$D$3)/365,F18),2)),F18)</f>
        <v/>
      </c>
      <c r="G19" s="1668">
        <f>IF(B16="出让",IF(G17="","",ROUNDDOWN(MIN((G17-$D$3)/365,G18),2)),G18)</f>
        <v>23.77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53" t="s">
        <v>3391</v>
      </c>
      <c r="E20" s="3354"/>
      <c r="F20" s="3354"/>
      <c r="G20" s="3354"/>
      <c r="H20" s="3354"/>
      <c r="I20" s="3355"/>
      <c r="J20" s="1677"/>
      <c r="K20" s="1756"/>
      <c r="L20" s="1706"/>
      <c r="M20" s="1706"/>
      <c r="N20" s="1677"/>
      <c r="O20" s="1678"/>
      <c r="P20" s="1677"/>
      <c r="Q20" s="1677"/>
      <c r="R20" s="1677"/>
      <c r="S20" s="1677"/>
      <c r="T20" s="1677"/>
      <c r="U20" s="1677"/>
    </row>
    <row r="21" spans="1:21">
      <c r="A21" s="1745" t="s">
        <v>1958</v>
      </c>
      <c r="B21" s="1746" t="s">
        <v>1959</v>
      </c>
      <c r="C21" s="1742">
        <f>'数据-汇总表'!E3</f>
        <v>129023.22</v>
      </c>
      <c r="D21" s="1743" t="s">
        <v>1960</v>
      </c>
      <c r="E21" s="3340" t="s">
        <v>3392</v>
      </c>
      <c r="F21" s="3341"/>
      <c r="G21" s="3341"/>
      <c r="H21" s="3341"/>
      <c r="I21" s="3342"/>
      <c r="J21" s="1677"/>
      <c r="K21" s="1756"/>
      <c r="L21" s="1706"/>
      <c r="M21" s="1706"/>
      <c r="N21" s="1677"/>
      <c r="O21" s="1678"/>
      <c r="P21" s="1677"/>
      <c r="Q21" s="1677"/>
      <c r="R21" s="1677"/>
      <c r="S21" s="1677"/>
      <c r="T21" s="1677"/>
      <c r="U21" s="1677"/>
    </row>
    <row r="22" spans="1:21">
      <c r="A22" s="3092" t="s">
        <v>952</v>
      </c>
      <c r="B22" s="1645" t="s">
        <v>1961</v>
      </c>
      <c r="C22" s="1669">
        <f>'数据-汇总表'!D3</f>
        <v>30008</v>
      </c>
      <c r="D22" s="1670" t="s">
        <v>1960</v>
      </c>
      <c r="E22" s="3343" t="s">
        <v>2998</v>
      </c>
      <c r="F22" s="3344"/>
      <c r="G22" s="3344"/>
      <c r="H22" s="3344"/>
      <c r="I22" s="3345"/>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2999</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46" t="s">
        <v>1966</v>
      </c>
      <c r="C24" s="3347"/>
      <c r="D24" s="3348" t="s">
        <v>1967</v>
      </c>
      <c r="E24" s="3349"/>
      <c r="F24" s="1691" t="s">
        <v>1968</v>
      </c>
      <c r="G24" s="1677"/>
      <c r="H24" s="1677"/>
      <c r="I24" s="1690"/>
      <c r="J24" s="1677"/>
      <c r="K24" s="3331"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33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33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3" t="s">
        <v>1971</v>
      </c>
      <c r="E27" s="1697"/>
      <c r="F27" s="1671"/>
      <c r="G27" s="1677"/>
      <c r="H27" s="1677"/>
      <c r="I27" s="1690"/>
      <c r="J27" s="1677"/>
      <c r="K27" s="1756"/>
      <c r="L27" s="1706"/>
      <c r="M27" s="1706"/>
      <c r="N27" s="1677"/>
      <c r="O27" s="1678"/>
      <c r="P27" s="1677"/>
      <c r="Q27" s="1677"/>
      <c r="R27" s="1677"/>
      <c r="S27" s="1677"/>
      <c r="T27" s="1677"/>
      <c r="U27" s="1677"/>
    </row>
    <row r="28" spans="1:21" ht="57">
      <c r="A28" s="1739"/>
      <c r="B28" s="1736" t="s">
        <v>1972</v>
      </c>
      <c r="C28" s="1698" t="s">
        <v>3465</v>
      </c>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v>39531.230000000003</v>
      </c>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v>40000</v>
      </c>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17" t="s">
        <v>1998</v>
      </c>
      <c r="B31" s="1746" t="s">
        <v>1999</v>
      </c>
      <c r="C31" s="3362" t="s">
        <v>3466</v>
      </c>
      <c r="D31" s="3363"/>
      <c r="E31" s="1677"/>
      <c r="F31" s="1677"/>
      <c r="G31" s="1677"/>
      <c r="H31" s="1677"/>
      <c r="I31" s="1690"/>
      <c r="J31" s="1677"/>
      <c r="K31" s="2420"/>
      <c r="L31" s="1677"/>
      <c r="M31" s="1677"/>
      <c r="N31" s="1677"/>
      <c r="O31" s="1677"/>
      <c r="P31" s="1677"/>
      <c r="Q31" s="1677"/>
      <c r="R31" s="1677"/>
      <c r="S31" s="1677"/>
      <c r="T31" s="1677"/>
      <c r="U31" s="1677"/>
    </row>
    <row r="32" spans="1:21">
      <c r="A32" s="3317"/>
      <c r="B32" s="1645" t="s">
        <v>2000</v>
      </c>
      <c r="C32" s="1702" t="s">
        <v>3000</v>
      </c>
      <c r="D32" s="1703"/>
      <c r="E32" s="1677"/>
      <c r="F32" s="1677"/>
      <c r="G32" s="1677"/>
      <c r="H32" s="1677"/>
      <c r="I32" s="1690"/>
      <c r="J32" s="1677"/>
      <c r="K32" s="2420"/>
      <c r="L32" s="1677"/>
      <c r="M32" s="1677"/>
      <c r="N32" s="1677"/>
      <c r="O32" s="1677"/>
      <c r="P32" s="1677"/>
      <c r="Q32" s="1677"/>
      <c r="R32" s="1677"/>
      <c r="S32" s="1677"/>
      <c r="T32" s="1677"/>
      <c r="U32" s="1677"/>
    </row>
    <row r="33" spans="1:21">
      <c r="A33" s="3317"/>
      <c r="B33" s="1645" t="s">
        <v>2001</v>
      </c>
      <c r="C33" s="1704" t="s">
        <v>2999</v>
      </c>
      <c r="D33" s="1820"/>
      <c r="E33" s="1677"/>
      <c r="F33" s="1677"/>
      <c r="G33" s="1677"/>
      <c r="H33" s="1677"/>
      <c r="I33" s="1690"/>
      <c r="J33" s="1677"/>
      <c r="K33" s="2420"/>
      <c r="L33" s="1677"/>
      <c r="M33" s="1677"/>
      <c r="N33" s="1677"/>
      <c r="O33" s="1677"/>
      <c r="P33" s="1677"/>
      <c r="Q33" s="1677"/>
      <c r="R33" s="1677"/>
      <c r="S33" s="1677"/>
      <c r="T33" s="1677"/>
      <c r="U33" s="1677"/>
    </row>
    <row r="34" spans="1:21">
      <c r="A34" s="3318"/>
      <c r="B34" s="1645" t="s">
        <v>2002</v>
      </c>
      <c r="C34" s="3319"/>
      <c r="D34" s="3320"/>
      <c r="E34" s="1677"/>
      <c r="F34" s="1677"/>
      <c r="G34" s="1677"/>
      <c r="H34" s="1677"/>
      <c r="I34" s="1690"/>
      <c r="J34" s="1677"/>
      <c r="K34" s="2420"/>
      <c r="L34" s="1677"/>
      <c r="M34" s="1677"/>
      <c r="N34" s="1677"/>
      <c r="O34" s="1677"/>
      <c r="P34" s="1677"/>
      <c r="Q34" s="1677"/>
      <c r="R34" s="1677"/>
      <c r="S34" s="1677"/>
      <c r="T34" s="1677"/>
      <c r="U34" s="1677"/>
    </row>
    <row r="35" spans="1:21">
      <c r="A35" s="3321" t="s">
        <v>847</v>
      </c>
      <c r="B35" s="1705" t="s">
        <v>3001</v>
      </c>
      <c r="C35" s="1758" t="str">
        <f>IF(B35="场地平整","——","具体情况：")</f>
        <v>——</v>
      </c>
      <c r="D35" s="3323"/>
      <c r="E35" s="3324"/>
      <c r="F35" s="3324"/>
      <c r="G35" s="3324"/>
      <c r="H35" s="3324"/>
      <c r="I35" s="3325"/>
      <c r="J35" s="1677"/>
      <c r="K35" s="1757"/>
      <c r="L35" s="1706"/>
      <c r="M35" s="1706"/>
      <c r="N35" s="1677"/>
      <c r="O35" s="1678"/>
      <c r="P35" s="1677"/>
      <c r="Q35" s="1677"/>
      <c r="R35" s="1677"/>
      <c r="S35" s="1677"/>
      <c r="T35" s="1677"/>
      <c r="U35" s="1677"/>
    </row>
    <row r="36" spans="1:21">
      <c r="A36" s="3317"/>
      <c r="B36" s="3326" t="s">
        <v>2051</v>
      </c>
      <c r="C36" s="3327"/>
      <c r="D36" s="1774" t="s">
        <v>3002</v>
      </c>
      <c r="E36" s="3328"/>
      <c r="F36" s="3328"/>
      <c r="G36" s="1670" t="str">
        <f>IF(B35="场地未平整","估价结果处理","")</f>
        <v/>
      </c>
      <c r="H36" s="3329"/>
      <c r="I36" s="3329"/>
      <c r="J36" s="1677"/>
      <c r="K36" s="1757"/>
      <c r="L36" s="1706"/>
      <c r="M36" s="1706"/>
      <c r="N36" s="1677"/>
      <c r="O36" s="1678"/>
      <c r="P36" s="1677"/>
      <c r="Q36" s="1677"/>
      <c r="R36" s="1677"/>
      <c r="S36" s="1677"/>
      <c r="T36" s="1677"/>
      <c r="U36" s="1677"/>
    </row>
    <row r="37" spans="1:21" ht="28.5">
      <c r="A37" s="3317"/>
      <c r="B37" s="3350"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17"/>
      <c r="B38" s="3351"/>
      <c r="C38" s="1653" t="s">
        <v>850</v>
      </c>
      <c r="D38" s="1773">
        <f>ROUNDDOWN(MIN(('数据-取费表'!$B$2-D37)/365,D34),1)</f>
        <v>119.5</v>
      </c>
      <c r="E38" s="1710" t="s">
        <v>851</v>
      </c>
      <c r="F38" s="1677"/>
      <c r="G38" s="1677"/>
      <c r="H38" s="1677"/>
      <c r="I38" s="1690"/>
      <c r="J38" s="1677"/>
      <c r="K38" s="1757"/>
      <c r="L38" s="1677"/>
      <c r="M38" s="1677"/>
      <c r="N38" s="1677"/>
      <c r="O38" s="1677"/>
      <c r="P38" s="1677"/>
      <c r="Q38" s="1677"/>
      <c r="R38" s="1677"/>
      <c r="S38" s="1677"/>
      <c r="T38" s="1677"/>
      <c r="U38" s="1677"/>
    </row>
    <row r="39" spans="1:21">
      <c r="A39" s="3318"/>
      <c r="B39" s="335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3003</v>
      </c>
      <c r="C40" s="1673" t="s">
        <v>3004</v>
      </c>
      <c r="D40" s="1673" t="s">
        <v>3005</v>
      </c>
      <c r="E40" s="1673" t="s">
        <v>3467</v>
      </c>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30" t="s">
        <v>1983</v>
      </c>
      <c r="T40" s="1714" t="str">
        <f>NUMBERSTRING(7-K40,1)&amp;"通"</f>
        <v>七通</v>
      </c>
      <c r="U40" s="1677"/>
    </row>
    <row r="41" spans="1:21">
      <c r="A41" s="1647"/>
      <c r="B41" s="3322" t="s">
        <v>1721</v>
      </c>
      <c r="C41" s="3322"/>
      <c r="D41" s="3322"/>
      <c r="E41" s="3322"/>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v>
      </c>
      <c r="Q41" s="1717" t="str">
        <f>B40&amp;"、"&amp;C40&amp;"、"&amp;D40&amp;"、"&amp;E40&amp;"、"&amp;F40&amp;"、"&amp;G40</f>
        <v>通路、通电、通上水、通下水、、</v>
      </c>
      <c r="R41" s="1717" t="str">
        <f>B40&amp;"、"&amp;C40&amp;"、"&amp;D40&amp;"、"&amp;E40&amp;"、"&amp;F40&amp;"、"&amp;G40&amp;"、"&amp;H40</f>
        <v>通路、通电、通上水、通下水、、、</v>
      </c>
      <c r="S41" s="3330"/>
      <c r="T41" s="1716" t="str">
        <f>IF(T40="一通",L41,IF(T40="二通",M41,IF(T40="三通",N41,IF(T40="四通",O41,IF(T40="五通",P41,IF(T40="六通",Q41,R41))))))</f>
        <v>通路、通电、通上水、通下水、、、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面积表!D2</f>
        <v>30008</v>
      </c>
      <c r="B3" s="22">
        <f>IF(C3="否",G5-AT5,G5)</f>
        <v>129023.22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129023.22</v>
      </c>
      <c r="H5" s="27">
        <f t="shared" ref="H5:AT5" si="0">SUM(H13:H641)</f>
        <v>93464.4</v>
      </c>
      <c r="I5" s="27">
        <f t="shared" si="0"/>
        <v>46653.79</v>
      </c>
      <c r="J5" s="27">
        <f t="shared" si="0"/>
        <v>0</v>
      </c>
      <c r="K5" s="27">
        <f t="shared" si="0"/>
        <v>46810.61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35558.82</v>
      </c>
      <c r="AD5" s="27">
        <f t="shared" si="0"/>
        <v>2705.14</v>
      </c>
      <c r="AE5" s="27">
        <f t="shared" si="0"/>
        <v>0</v>
      </c>
      <c r="AF5" s="27">
        <f t="shared" si="0"/>
        <v>0</v>
      </c>
      <c r="AG5" s="27">
        <f t="shared" si="0"/>
        <v>0</v>
      </c>
      <c r="AH5" s="27">
        <f t="shared" si="0"/>
        <v>235.23</v>
      </c>
      <c r="AI5" s="27">
        <f t="shared" si="0"/>
        <v>0</v>
      </c>
      <c r="AJ5" s="27">
        <f t="shared" si="0"/>
        <v>0</v>
      </c>
      <c r="AK5" s="27">
        <f t="shared" si="0"/>
        <v>0</v>
      </c>
      <c r="AL5" s="27">
        <f t="shared" si="0"/>
        <v>1019.33</v>
      </c>
      <c r="AM5" s="27">
        <f t="shared" si="0"/>
        <v>0</v>
      </c>
      <c r="AN5" s="27">
        <f t="shared" si="0"/>
        <v>31599.119999999999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129023.22</v>
      </c>
      <c r="BA5" s="29">
        <f t="shared" si="1"/>
        <v>93464.4</v>
      </c>
      <c r="BB5" s="29">
        <f t="shared" si="1"/>
        <v>46653.79</v>
      </c>
      <c r="BC5" s="29">
        <f t="shared" si="1"/>
        <v>46810.61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35558.82</v>
      </c>
      <c r="BM5" s="29">
        <f t="shared" si="1"/>
        <v>2705.14</v>
      </c>
      <c r="BN5" s="29">
        <f t="shared" si="1"/>
        <v>0</v>
      </c>
      <c r="BO5" s="29">
        <f t="shared" si="1"/>
        <v>235.23</v>
      </c>
      <c r="BP5" s="29">
        <f t="shared" si="1"/>
        <v>0</v>
      </c>
      <c r="BQ5" s="29">
        <f t="shared" si="1"/>
        <v>1019.33</v>
      </c>
      <c r="BR5" s="29">
        <f t="shared" si="1"/>
        <v>31599.119999999999</v>
      </c>
      <c r="BS5" s="29">
        <f t="shared" si="1"/>
        <v>0</v>
      </c>
      <c r="BT5" s="30">
        <f t="shared" si="1"/>
        <v>0</v>
      </c>
    </row>
    <row r="6" spans="1:72" s="37" customFormat="1" ht="12.75">
      <c r="A6" s="26" t="s">
        <v>169</v>
      </c>
      <c r="B6" s="31"/>
      <c r="C6" s="31"/>
      <c r="D6" s="32"/>
      <c r="E6" s="27">
        <f>H6+AC6+AT6</f>
        <v>30008</v>
      </c>
      <c r="F6" s="27" t="s">
        <v>1</v>
      </c>
      <c r="G6" s="27" t="s">
        <v>2</v>
      </c>
      <c r="H6" s="33">
        <f>SUMIF(I$12:AB$12,"总值",I6:AB6)</f>
        <v>21737.79</v>
      </c>
      <c r="I6" s="27">
        <f t="shared" ref="I6:AB6" si="2">ROUND($A$3*I5/$B$3,2)</f>
        <v>10850.66</v>
      </c>
      <c r="J6" s="27">
        <f t="shared" si="2"/>
        <v>0</v>
      </c>
      <c r="K6" s="27">
        <f t="shared" si="2"/>
        <v>10887.13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8270.2100000000009</v>
      </c>
      <c r="AD6" s="27">
        <f t="shared" ref="AD6:AS6" si="3">ROUND($A$3*AD5/$B$3,2)</f>
        <v>629.16</v>
      </c>
      <c r="AE6" s="27">
        <f t="shared" si="3"/>
        <v>0</v>
      </c>
      <c r="AF6" s="27">
        <f t="shared" si="3"/>
        <v>0</v>
      </c>
      <c r="AG6" s="27">
        <f t="shared" si="3"/>
        <v>0</v>
      </c>
      <c r="AH6" s="27">
        <f t="shared" si="3"/>
        <v>54.71</v>
      </c>
      <c r="AI6" s="27">
        <f t="shared" si="3"/>
        <v>0</v>
      </c>
      <c r="AJ6" s="27">
        <f t="shared" si="3"/>
        <v>0</v>
      </c>
      <c r="AK6" s="27">
        <f t="shared" si="3"/>
        <v>0</v>
      </c>
      <c r="AL6" s="27">
        <f t="shared" si="3"/>
        <v>237.07</v>
      </c>
      <c r="AM6" s="27">
        <f t="shared" si="3"/>
        <v>0</v>
      </c>
      <c r="AN6" s="27">
        <f t="shared" si="3"/>
        <v>7349.27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30008</v>
      </c>
      <c r="AZ6" s="27" t="s">
        <v>3</v>
      </c>
      <c r="BA6" s="27">
        <f>ROUND($AY$6*BA5/$AZ$5,2)</f>
        <v>21737.79</v>
      </c>
      <c r="BB6" s="27">
        <f>ROUND($AY$6*BB5/$AZ$5,2)</f>
        <v>10850.66</v>
      </c>
      <c r="BC6" s="27">
        <f t="shared" ref="BC6:BH6" si="4">ROUND($AY$6*BC5/$AZ$5,2)</f>
        <v>10887.13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8270.2099999999991</v>
      </c>
      <c r="BM6" s="27">
        <f t="shared" si="5"/>
        <v>629.16</v>
      </c>
      <c r="BN6" s="27">
        <f t="shared" si="5"/>
        <v>0</v>
      </c>
      <c r="BO6" s="27">
        <f t="shared" si="5"/>
        <v>54.71</v>
      </c>
      <c r="BP6" s="27">
        <f t="shared" si="5"/>
        <v>0</v>
      </c>
      <c r="BQ6" s="27">
        <f t="shared" si="5"/>
        <v>237.07</v>
      </c>
      <c r="BR6" s="27">
        <f t="shared" si="5"/>
        <v>7349.27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3268</v>
      </c>
      <c r="J9" s="51"/>
      <c r="K9" s="2969" t="s">
        <v>3269</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3270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30008</v>
      </c>
      <c r="F13" s="81"/>
      <c r="G13" s="82">
        <f t="shared" ref="G13:G20" si="7">H13+AC13+AT13</f>
        <v>129023.22</v>
      </c>
      <c r="H13" s="33">
        <f t="shared" ref="H13:H20" si="8">SUMIF(I$12:AB$12,"总值",I13:AB13)</f>
        <v>93464.4</v>
      </c>
      <c r="I13" s="2968">
        <f>面积表!K2</f>
        <v>46653.79</v>
      </c>
      <c r="J13" s="2968"/>
      <c r="K13" s="2968">
        <f>面积表!K7</f>
        <v>46810.61</v>
      </c>
      <c r="L13" s="2968"/>
      <c r="M13" s="2968"/>
      <c r="N13" s="83"/>
      <c r="O13" s="83"/>
      <c r="P13" s="83"/>
      <c r="Q13" s="83"/>
      <c r="R13" s="83"/>
      <c r="S13" s="83"/>
      <c r="T13" s="83"/>
      <c r="U13" s="83"/>
      <c r="V13" s="83"/>
      <c r="W13" s="83"/>
      <c r="X13" s="83"/>
      <c r="Y13" s="83"/>
      <c r="Z13" s="83"/>
      <c r="AA13" s="83"/>
      <c r="AB13" s="83"/>
      <c r="AC13" s="27">
        <f t="shared" ref="AC13:AC20" si="9">SUMIF(AD$12:AS$12,"总值",AD13:AS13)</f>
        <v>35558.82</v>
      </c>
      <c r="AD13" s="2972">
        <f>面积表!K3</f>
        <v>2705.14</v>
      </c>
      <c r="AE13" s="2972"/>
      <c r="AF13" s="2972"/>
      <c r="AG13" s="2972"/>
      <c r="AH13" s="2972">
        <f>面积表!K4</f>
        <v>235.23</v>
      </c>
      <c r="AI13" s="2972"/>
      <c r="AJ13" s="2972"/>
      <c r="AK13" s="2972"/>
      <c r="AL13" s="2972">
        <f>面积表!K5</f>
        <v>1019.33</v>
      </c>
      <c r="AM13" s="2972"/>
      <c r="AN13" s="2972">
        <f>面积表!K8</f>
        <v>31599.119999999999</v>
      </c>
      <c r="AO13" s="2972"/>
      <c r="AP13" s="2972"/>
      <c r="AQ13" s="2972"/>
      <c r="AR13" s="2972"/>
      <c r="AS13" s="2972"/>
      <c r="AT13" s="2973"/>
      <c r="AU13" s="2974"/>
      <c r="AV13" s="17">
        <f t="shared" ref="AV13:AX20" si="10">A13</f>
        <v>0</v>
      </c>
      <c r="AW13" s="17">
        <f t="shared" si="10"/>
        <v>0</v>
      </c>
      <c r="AX13" s="17">
        <f t="shared" si="10"/>
        <v>0</v>
      </c>
      <c r="AY13" s="996">
        <f t="shared" ref="AY13:AY20" si="11">ROUND($AY$6*AZ13/$AZ$5,2)</f>
        <v>30008</v>
      </c>
      <c r="AZ13" s="27">
        <f t="shared" ref="AZ13:AZ20" si="12">BA13+BL13</f>
        <v>129023.22</v>
      </c>
      <c r="BA13" s="27">
        <f t="shared" ref="BA13:BA20" si="13">SUM(BB13:BK13)</f>
        <v>93464.4</v>
      </c>
      <c r="BB13" s="27">
        <f t="shared" ref="BB13:BB20" si="14">IF($D13="是",I13-J13,0)</f>
        <v>46653.79</v>
      </c>
      <c r="BC13" s="27">
        <f t="shared" ref="BC13:BC20" si="15">IF($D13="是",K13-L13,0)</f>
        <v>46810.61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35558.82</v>
      </c>
      <c r="BM13" s="27">
        <f t="shared" ref="BM13:BM20" si="25">IF($D13="是",AD13-AE13,0)</f>
        <v>2705.14</v>
      </c>
      <c r="BN13" s="27">
        <f t="shared" ref="BN13:BN20" si="26">IF($D13="是",AF13-AG13,0)</f>
        <v>0</v>
      </c>
      <c r="BO13" s="27">
        <f t="shared" ref="BO13:BO20" si="27">IF($D13="是",AH13-AI13,0)</f>
        <v>235.23</v>
      </c>
      <c r="BP13" s="27">
        <f t="shared" ref="BP13:BP20" si="28">IF($D13="是",AJ13-AK13,0)</f>
        <v>0</v>
      </c>
      <c r="BQ13" s="27">
        <f t="shared" ref="BQ13:BQ20" si="29">IF($D13="是",AL13-AM13,0)</f>
        <v>1019.33</v>
      </c>
      <c r="BR13" s="27">
        <f t="shared" ref="BR13:BR20" si="30">IF($D13="是",AN13-AO13,0)</f>
        <v>31599.119999999999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4" t="s">
        <v>0</v>
      </c>
      <c r="B1" s="3364" t="s">
        <v>4</v>
      </c>
      <c r="C1" s="3364" t="s">
        <v>5</v>
      </c>
      <c r="D1" s="3365" t="s">
        <v>40</v>
      </c>
      <c r="E1" s="3365" t="s">
        <v>41</v>
      </c>
      <c r="F1" s="3365"/>
      <c r="G1" s="3365"/>
      <c r="H1" s="3365"/>
      <c r="I1" s="3365"/>
      <c r="J1" s="3365"/>
      <c r="K1" s="3365"/>
      <c r="L1" s="3365"/>
      <c r="M1" s="3365"/>
    </row>
    <row r="2" spans="1:13" ht="27" customHeight="1">
      <c r="A2" s="3364"/>
      <c r="B2" s="3364"/>
      <c r="C2" s="3364"/>
      <c r="D2" s="3365"/>
      <c r="E2" s="3365" t="s">
        <v>24</v>
      </c>
      <c r="F2" s="3365" t="s">
        <v>25</v>
      </c>
      <c r="G2" s="3365"/>
      <c r="H2" s="3365"/>
      <c r="I2" s="3365"/>
      <c r="J2" s="3365" t="s">
        <v>26</v>
      </c>
      <c r="K2" s="3365"/>
      <c r="L2" s="3365"/>
      <c r="M2" s="3365"/>
    </row>
    <row r="3" spans="1:13" ht="28.5">
      <c r="A3" s="3364"/>
      <c r="B3" s="3364"/>
      <c r="C3" s="3364"/>
      <c r="D3" s="3365"/>
      <c r="E3" s="33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5" t="s">
        <v>42</v>
      </c>
      <c r="B9" s="3365"/>
      <c r="C9" s="33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abSelected="1" topLeftCell="D1" workbookViewId="0">
      <selection activeCell="P18" sqref="P18"/>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8.5" style="3180" customWidth="1"/>
    <col min="12" max="14" width="9" style="3180"/>
    <col min="15" max="16" width="10.875" style="3180" bestFit="1" customWidth="1"/>
    <col min="17" max="20" width="9" style="3180"/>
    <col min="21" max="21" width="9.875" style="3180" bestFit="1" customWidth="1"/>
    <col min="22" max="22" width="10.875" style="3180" bestFit="1" customWidth="1"/>
    <col min="23" max="16384" width="9" style="3180"/>
  </cols>
  <sheetData>
    <row r="1" spans="1:22" ht="25.5" customHeight="1">
      <c r="A1" s="3267" t="s">
        <v>3396</v>
      </c>
      <c r="B1" s="3267" t="s">
        <v>3399</v>
      </c>
      <c r="C1" s="3267" t="s">
        <v>3400</v>
      </c>
      <c r="D1" s="3267" t="s">
        <v>3401</v>
      </c>
      <c r="E1" s="3267" t="s">
        <v>3402</v>
      </c>
      <c r="F1" s="3374" t="s">
        <v>3403</v>
      </c>
      <c r="G1" s="3375"/>
      <c r="H1" s="3376"/>
      <c r="I1" s="3374" t="s">
        <v>3404</v>
      </c>
      <c r="J1" s="3375"/>
      <c r="K1" s="3376"/>
      <c r="N1" s="3378" t="s">
        <v>3474</v>
      </c>
      <c r="O1" s="3288" t="s">
        <v>3469</v>
      </c>
      <c r="P1" s="3286">
        <f>ROUND($M$2/$C$2*H2,2)</f>
        <v>8443.64</v>
      </c>
      <c r="Q1" s="3287" t="s">
        <v>3478</v>
      </c>
      <c r="R1" s="3180">
        <f>P1+P10</f>
        <v>46653.79</v>
      </c>
      <c r="T1" s="3287" t="s">
        <v>3484</v>
      </c>
      <c r="U1" s="3180">
        <f ca="1">系统读取表!E14</f>
        <v>6971</v>
      </c>
      <c r="V1" s="3287" t="s">
        <v>3486</v>
      </c>
    </row>
    <row r="2" spans="1:22" ht="27" customHeight="1">
      <c r="A2" s="3371" t="s">
        <v>3468</v>
      </c>
      <c r="B2" s="3371" t="s">
        <v>3205</v>
      </c>
      <c r="C2" s="3371">
        <f>地块分布情况!C10</f>
        <v>38270.76</v>
      </c>
      <c r="D2" s="3371">
        <f>5431+24577</f>
        <v>30008</v>
      </c>
      <c r="E2" s="3371">
        <v>1.65</v>
      </c>
      <c r="F2" s="3371" t="s">
        <v>3405</v>
      </c>
      <c r="G2" s="3267" t="s">
        <v>3406</v>
      </c>
      <c r="H2" s="3267">
        <f>A3总规划!F12</f>
        <v>59500</v>
      </c>
      <c r="I2" s="3371" t="s">
        <v>3405</v>
      </c>
      <c r="J2" s="3267" t="s">
        <v>3406</v>
      </c>
      <c r="K2" s="3267">
        <f>ROUND($D$2/$C$2*H2,2)</f>
        <v>46653.79</v>
      </c>
      <c r="M2" s="3180">
        <v>5431</v>
      </c>
      <c r="N2" s="3378"/>
      <c r="O2" s="3288" t="s">
        <v>3470</v>
      </c>
      <c r="P2" s="3286">
        <f>ROUND($M$2/$C$2*H3,2)</f>
        <v>489.59</v>
      </c>
      <c r="Q2" s="3287" t="s">
        <v>3479</v>
      </c>
      <c r="R2" s="3180">
        <f>P2+P11</f>
        <v>2705.1400000000003</v>
      </c>
      <c r="T2" s="3287" t="s">
        <v>3485</v>
      </c>
      <c r="U2" s="3180">
        <f ca="1">ROUND(U1*P9/10000,0)</f>
        <v>16278</v>
      </c>
      <c r="V2" s="3180">
        <f ca="1">U2*10000/M2</f>
        <v>29972.380777020808</v>
      </c>
    </row>
    <row r="3" spans="1:22" ht="24" customHeight="1">
      <c r="A3" s="3369"/>
      <c r="B3" s="3369"/>
      <c r="C3" s="3369"/>
      <c r="D3" s="3369"/>
      <c r="E3" s="3369"/>
      <c r="F3" s="3369"/>
      <c r="G3" s="3267" t="s">
        <v>3407</v>
      </c>
      <c r="H3" s="3267">
        <f>A3总规划!F14</f>
        <v>3450</v>
      </c>
      <c r="I3" s="3369"/>
      <c r="J3" s="3267" t="s">
        <v>3407</v>
      </c>
      <c r="K3" s="3267">
        <f>ROUND($D$2/$C$2*H3,2)</f>
        <v>2705.14</v>
      </c>
      <c r="N3" s="3378"/>
      <c r="O3" s="3288" t="s">
        <v>3471</v>
      </c>
      <c r="P3" s="3286">
        <f>ROUND($M$2/$C$2*H4,2)</f>
        <v>42.57</v>
      </c>
      <c r="Q3" s="3287" t="s">
        <v>3480</v>
      </c>
      <c r="R3" s="3180">
        <f>P3+P12</f>
        <v>235.23</v>
      </c>
      <c r="U3" s="3180">
        <f ca="1">系统读取表!D14-面积表!U2</f>
        <v>73660</v>
      </c>
      <c r="V3" s="3180">
        <f ca="1">U3*10000/M11</f>
        <v>29971.111201529886</v>
      </c>
    </row>
    <row r="4" spans="1:22" ht="24.75" customHeight="1">
      <c r="A4" s="3369"/>
      <c r="B4" s="3369"/>
      <c r="C4" s="3369"/>
      <c r="D4" s="3369"/>
      <c r="E4" s="3369"/>
      <c r="F4" s="3369"/>
      <c r="G4" s="3267" t="s">
        <v>3408</v>
      </c>
      <c r="H4" s="3267">
        <f>A3总规划!F17</f>
        <v>300</v>
      </c>
      <c r="I4" s="3369"/>
      <c r="J4" s="3267" t="s">
        <v>3408</v>
      </c>
      <c r="K4" s="3267">
        <f>ROUND($D$2/$C$2*H4,2)</f>
        <v>235.23</v>
      </c>
      <c r="N4" s="3378"/>
      <c r="O4" s="3288" t="s">
        <v>3472</v>
      </c>
      <c r="P4" s="3286">
        <f>ROUND($M$2/$C$2*H5,2)</f>
        <v>184.48</v>
      </c>
      <c r="Q4" s="3287" t="s">
        <v>3481</v>
      </c>
      <c r="R4" s="3180">
        <f>P4+P13</f>
        <v>1019.32</v>
      </c>
    </row>
    <row r="5" spans="1:22" ht="20.25" customHeight="1">
      <c r="A5" s="3369"/>
      <c r="B5" s="3369"/>
      <c r="C5" s="3369"/>
      <c r="D5" s="3369"/>
      <c r="E5" s="3369"/>
      <c r="F5" s="3370"/>
      <c r="G5" s="3267" t="s">
        <v>3397</v>
      </c>
      <c r="H5" s="3267">
        <f>A3总规划!F18+A3总规划!F27</f>
        <v>1300</v>
      </c>
      <c r="I5" s="3370"/>
      <c r="J5" s="3267" t="s">
        <v>3397</v>
      </c>
      <c r="K5" s="3267">
        <f>ROUND($D$2/$C$2*H5,2)</f>
        <v>1019.33</v>
      </c>
      <c r="N5" s="3377" t="s">
        <v>3473</v>
      </c>
      <c r="O5" s="3377"/>
      <c r="P5" s="3285">
        <f>P1+P2+P3+P4</f>
        <v>9160.2799999999988</v>
      </c>
      <c r="Q5" s="3287" t="s">
        <v>3482</v>
      </c>
      <c r="R5" s="3180">
        <f>P6+P15</f>
        <v>46810.61</v>
      </c>
      <c r="U5" s="3180">
        <f ca="1">ROUND(U1*P18/10000,0)</f>
        <v>73664</v>
      </c>
    </row>
    <row r="6" spans="1:22">
      <c r="A6" s="3369"/>
      <c r="B6" s="3369"/>
      <c r="C6" s="3369"/>
      <c r="D6" s="3369"/>
      <c r="E6" s="3369"/>
      <c r="F6" s="3366" t="s">
        <v>3409</v>
      </c>
      <c r="G6" s="3367"/>
      <c r="H6" s="3230">
        <f>H2+H3+H4+H5</f>
        <v>64550</v>
      </c>
      <c r="I6" s="3366" t="s">
        <v>3409</v>
      </c>
      <c r="J6" s="3367"/>
      <c r="K6" s="3230">
        <f>K2+K3+K4+K5</f>
        <v>50613.490000000005</v>
      </c>
      <c r="N6" s="3378" t="s">
        <v>3475</v>
      </c>
      <c r="O6" s="3288" t="s">
        <v>3476</v>
      </c>
      <c r="P6" s="3286">
        <f>ROUND($M$2/$C$2*H7,2)</f>
        <v>8472.02</v>
      </c>
      <c r="Q6" s="3287" t="s">
        <v>3483</v>
      </c>
      <c r="R6" s="3180">
        <f>P7+P16</f>
        <v>31599.120000000003</v>
      </c>
    </row>
    <row r="7" spans="1:22" ht="14.25">
      <c r="A7" s="3369"/>
      <c r="B7" s="3369"/>
      <c r="C7" s="3369"/>
      <c r="D7" s="3369"/>
      <c r="E7" s="3369"/>
      <c r="F7" s="3371" t="s">
        <v>3410</v>
      </c>
      <c r="G7" s="3267" t="s">
        <v>3398</v>
      </c>
      <c r="H7" s="3267">
        <f>A3总规划!F25</f>
        <v>59700</v>
      </c>
      <c r="I7" s="3371" t="s">
        <v>3410</v>
      </c>
      <c r="J7" s="3267" t="s">
        <v>3398</v>
      </c>
      <c r="K7" s="3267">
        <f>ROUND($D$2/$C$2*H7,2)</f>
        <v>46810.61</v>
      </c>
      <c r="N7" s="3378"/>
      <c r="O7" s="3288" t="s">
        <v>3472</v>
      </c>
      <c r="P7" s="3286">
        <f>ROUND($M$2/$C$2*H8,2)</f>
        <v>5718.97</v>
      </c>
      <c r="R7" s="3180">
        <f>R1+R2+R3+R4+R5+R6</f>
        <v>129023.20999999999</v>
      </c>
    </row>
    <row r="8" spans="1:22" ht="14.25">
      <c r="A8" s="3369"/>
      <c r="B8" s="3369"/>
      <c r="C8" s="3369"/>
      <c r="D8" s="3369"/>
      <c r="E8" s="3369"/>
      <c r="F8" s="3370"/>
      <c r="G8" s="3267" t="s">
        <v>3397</v>
      </c>
      <c r="H8" s="3267">
        <f>A3总规划!F26+A3总规划!F28</f>
        <v>40300</v>
      </c>
      <c r="I8" s="3370"/>
      <c r="J8" s="3267" t="s">
        <v>3397</v>
      </c>
      <c r="K8" s="3267">
        <f>ROUND($D$2/$C$2*H8,2)</f>
        <v>31599.119999999999</v>
      </c>
      <c r="N8" s="3377" t="s">
        <v>3473</v>
      </c>
      <c r="O8" s="3377"/>
      <c r="P8" s="3285">
        <f>P6+P7</f>
        <v>14190.990000000002</v>
      </c>
    </row>
    <row r="9" spans="1:22" ht="13.5" customHeight="1">
      <c r="A9" s="3369"/>
      <c r="B9" s="3369"/>
      <c r="C9" s="3369"/>
      <c r="D9" s="3369"/>
      <c r="E9" s="3369"/>
      <c r="F9" s="3366" t="s">
        <v>3409</v>
      </c>
      <c r="G9" s="3367"/>
      <c r="H9" s="3230">
        <f>H7+H8</f>
        <v>100000</v>
      </c>
      <c r="I9" s="3366" t="s">
        <v>3409</v>
      </c>
      <c r="J9" s="3367"/>
      <c r="K9" s="3230">
        <f>K7+K8</f>
        <v>78409.73</v>
      </c>
      <c r="N9" s="3377" t="s">
        <v>3477</v>
      </c>
      <c r="O9" s="3377"/>
      <c r="P9" s="3285">
        <f>P5+P8</f>
        <v>23351.27</v>
      </c>
      <c r="U9" s="3180">
        <f ca="1">U3*10000/P18</f>
        <v>6970.6300461598412</v>
      </c>
    </row>
    <row r="10" spans="1:22">
      <c r="A10" s="3370"/>
      <c r="B10" s="3370"/>
      <c r="C10" s="3370"/>
      <c r="D10" s="3370"/>
      <c r="E10" s="3370"/>
      <c r="F10" s="3366" t="s">
        <v>3411</v>
      </c>
      <c r="G10" s="3367"/>
      <c r="H10" s="3230">
        <f>H6+H9</f>
        <v>164550</v>
      </c>
      <c r="I10" s="3366" t="s">
        <v>3411</v>
      </c>
      <c r="J10" s="3367"/>
      <c r="K10" s="3230">
        <f>K6+K9</f>
        <v>129023.22</v>
      </c>
      <c r="N10" s="3378" t="s">
        <v>3474</v>
      </c>
      <c r="O10" s="3288" t="s">
        <v>3469</v>
      </c>
      <c r="P10" s="3286">
        <f>ROUND($M$11/$C$2*H2,2)</f>
        <v>38210.15</v>
      </c>
    </row>
    <row r="11" spans="1:22" ht="29.25" customHeight="1">
      <c r="A11" s="3373" t="s">
        <v>3421</v>
      </c>
      <c r="B11" s="3373" t="s">
        <v>3278</v>
      </c>
      <c r="C11" s="3373">
        <f>地块分布情况!C12</f>
        <v>23925</v>
      </c>
      <c r="D11" s="3373">
        <v>6862</v>
      </c>
      <c r="E11" s="3373">
        <v>2.68</v>
      </c>
      <c r="F11" s="3373" t="s">
        <v>3405</v>
      </c>
      <c r="G11" s="3267" t="s">
        <v>3406</v>
      </c>
      <c r="H11" s="3267">
        <f>F总规划!F12</f>
        <v>51750</v>
      </c>
      <c r="I11" s="3373" t="s">
        <v>3405</v>
      </c>
      <c r="J11" s="3267" t="s">
        <v>3406</v>
      </c>
      <c r="K11" s="3267">
        <f>ROUND($D$11/$C$11*H11,2)</f>
        <v>14842.57</v>
      </c>
      <c r="M11" s="3180">
        <v>24577</v>
      </c>
      <c r="N11" s="3378"/>
      <c r="O11" s="3288" t="s">
        <v>3470</v>
      </c>
      <c r="P11" s="3286">
        <f>ROUND($M$11/$C$2*H3,2)</f>
        <v>2215.5500000000002</v>
      </c>
    </row>
    <row r="12" spans="1:22" ht="14.25">
      <c r="A12" s="3373"/>
      <c r="B12" s="3373"/>
      <c r="C12" s="3373"/>
      <c r="D12" s="3373"/>
      <c r="E12" s="3373"/>
      <c r="F12" s="3373"/>
      <c r="G12" s="3267" t="s">
        <v>3412</v>
      </c>
      <c r="H12" s="3267">
        <f>F总规划!F24</f>
        <v>580</v>
      </c>
      <c r="I12" s="3373"/>
      <c r="J12" s="3267" t="s">
        <v>3412</v>
      </c>
      <c r="K12" s="3267">
        <f t="shared" ref="K12:K15" si="0">ROUND($D$11/$C$11*H12,2)</f>
        <v>166.35</v>
      </c>
      <c r="N12" s="3378"/>
      <c r="O12" s="3288" t="s">
        <v>3471</v>
      </c>
      <c r="P12" s="3286">
        <f>ROUND($M$11/$C$2*H4,2)</f>
        <v>192.66</v>
      </c>
    </row>
    <row r="13" spans="1:22" ht="14.25">
      <c r="A13" s="3373"/>
      <c r="B13" s="3373"/>
      <c r="C13" s="3373"/>
      <c r="D13" s="3373"/>
      <c r="E13" s="3373"/>
      <c r="F13" s="3373"/>
      <c r="G13" s="3267" t="s">
        <v>3407</v>
      </c>
      <c r="H13" s="3267">
        <f>F总规划!F16</f>
        <v>500</v>
      </c>
      <c r="I13" s="3373"/>
      <c r="J13" s="3267" t="s">
        <v>3407</v>
      </c>
      <c r="K13" s="3267">
        <f t="shared" si="0"/>
        <v>143.41</v>
      </c>
      <c r="N13" s="3378"/>
      <c r="O13" s="3288" t="s">
        <v>3472</v>
      </c>
      <c r="P13" s="3286">
        <f>ROUND($M$11/$C$2*H5,2)</f>
        <v>834.84</v>
      </c>
    </row>
    <row r="14" spans="1:22" ht="14.25">
      <c r="A14" s="3373"/>
      <c r="B14" s="3373"/>
      <c r="C14" s="3373"/>
      <c r="D14" s="3373"/>
      <c r="E14" s="3373"/>
      <c r="F14" s="3373"/>
      <c r="G14" s="3267" t="s">
        <v>3397</v>
      </c>
      <c r="H14" s="3267">
        <f>F总规划!F18+F总规划!F19+F总规划!F27</f>
        <v>2390</v>
      </c>
      <c r="I14" s="3373"/>
      <c r="J14" s="3267" t="s">
        <v>3397</v>
      </c>
      <c r="K14" s="3267">
        <f t="shared" si="0"/>
        <v>685.48</v>
      </c>
      <c r="N14" s="3377" t="s">
        <v>3473</v>
      </c>
      <c r="O14" s="3377"/>
      <c r="P14" s="3285">
        <f>P10+P11+P12+P13</f>
        <v>41453.200000000004</v>
      </c>
    </row>
    <row r="15" spans="1:22" ht="14.25">
      <c r="A15" s="3373"/>
      <c r="B15" s="3373"/>
      <c r="C15" s="3373"/>
      <c r="D15" s="3373"/>
      <c r="E15" s="3373"/>
      <c r="F15" s="3373"/>
      <c r="G15" s="3267" t="s">
        <v>3408</v>
      </c>
      <c r="H15" s="3267">
        <f>F总规划!F17</f>
        <v>270</v>
      </c>
      <c r="I15" s="3373"/>
      <c r="J15" s="3267" t="s">
        <v>3408</v>
      </c>
      <c r="K15" s="3267">
        <f t="shared" si="0"/>
        <v>77.44</v>
      </c>
      <c r="N15" s="3378" t="s">
        <v>3475</v>
      </c>
      <c r="O15" s="3288" t="s">
        <v>3476</v>
      </c>
      <c r="P15" s="3286">
        <f>ROUND($M$11/$C$2*H7,2)</f>
        <v>38338.589999999997</v>
      </c>
    </row>
    <row r="16" spans="1:22" ht="14.25">
      <c r="A16" s="3373"/>
      <c r="B16" s="3373"/>
      <c r="C16" s="3373"/>
      <c r="D16" s="3373"/>
      <c r="E16" s="3373"/>
      <c r="F16" s="3268" t="s">
        <v>3409</v>
      </c>
      <c r="G16" s="3269"/>
      <c r="H16" s="3266">
        <f>H11+H12+H13+H14+H15</f>
        <v>55490</v>
      </c>
      <c r="I16" s="3372" t="s">
        <v>3409</v>
      </c>
      <c r="J16" s="3372"/>
      <c r="K16" s="3230">
        <f>K11+K12+K13+K14+K15</f>
        <v>15915.25</v>
      </c>
      <c r="N16" s="3378"/>
      <c r="O16" s="3288" t="s">
        <v>3472</v>
      </c>
      <c r="P16" s="3286">
        <f>ROUND($M$11/$C$2*H8,2)</f>
        <v>25880.15</v>
      </c>
    </row>
    <row r="17" spans="1:16" ht="14.25">
      <c r="A17" s="3373"/>
      <c r="B17" s="3373"/>
      <c r="C17" s="3373"/>
      <c r="D17" s="3373"/>
      <c r="E17" s="3373"/>
      <c r="F17" s="3373" t="s">
        <v>3410</v>
      </c>
      <c r="G17" s="3267" t="s">
        <v>3398</v>
      </c>
      <c r="H17" s="3267">
        <f>F总规划!F25</f>
        <v>19600</v>
      </c>
      <c r="I17" s="3373" t="s">
        <v>3410</v>
      </c>
      <c r="J17" s="3267" t="s">
        <v>3398</v>
      </c>
      <c r="K17" s="3267">
        <f>ROUND($D$11/$C$11*H17,2)</f>
        <v>5621.53</v>
      </c>
      <c r="N17" s="3377" t="s">
        <v>3473</v>
      </c>
      <c r="O17" s="3377"/>
      <c r="P17" s="3285">
        <f>P15+P16</f>
        <v>64218.74</v>
      </c>
    </row>
    <row r="18" spans="1:16" ht="14.25">
      <c r="A18" s="3373"/>
      <c r="B18" s="3373"/>
      <c r="C18" s="3373"/>
      <c r="D18" s="3373"/>
      <c r="E18" s="3373"/>
      <c r="F18" s="3373"/>
      <c r="G18" s="3267" t="s">
        <v>3397</v>
      </c>
      <c r="H18" s="3267">
        <f>F总规划!F26</f>
        <v>400</v>
      </c>
      <c r="I18" s="3373"/>
      <c r="J18" s="3267" t="s">
        <v>3397</v>
      </c>
      <c r="K18" s="3267">
        <f>ROUND($D$11/$C$11*H18,2)</f>
        <v>114.73</v>
      </c>
      <c r="N18" s="3377" t="s">
        <v>3477</v>
      </c>
      <c r="O18" s="3377"/>
      <c r="P18" s="3285">
        <f>P14+P17</f>
        <v>105671.94</v>
      </c>
    </row>
    <row r="19" spans="1:16" ht="14.25">
      <c r="A19" s="3373"/>
      <c r="B19" s="3373"/>
      <c r="C19" s="3373"/>
      <c r="D19" s="3373"/>
      <c r="E19" s="3373"/>
      <c r="F19" s="3268" t="s">
        <v>3409</v>
      </c>
      <c r="G19" s="3269"/>
      <c r="H19" s="3266">
        <f>H17+H18</f>
        <v>20000</v>
      </c>
      <c r="I19" s="3372" t="s">
        <v>3409</v>
      </c>
      <c r="J19" s="3372"/>
      <c r="K19" s="3230">
        <f>K17+K18</f>
        <v>5736.2599999999993</v>
      </c>
    </row>
    <row r="20" spans="1:16">
      <c r="A20" s="3373"/>
      <c r="B20" s="3373"/>
      <c r="C20" s="3373"/>
      <c r="D20" s="3373"/>
      <c r="E20" s="3373"/>
      <c r="F20" s="3372" t="s">
        <v>3411</v>
      </c>
      <c r="G20" s="3372"/>
      <c r="H20" s="3230">
        <f>H16+H19</f>
        <v>75490</v>
      </c>
      <c r="I20" s="3372" t="s">
        <v>3411</v>
      </c>
      <c r="J20" s="3372"/>
      <c r="K20" s="3230">
        <f>K16+K19</f>
        <v>21651.51</v>
      </c>
    </row>
    <row r="21" spans="1:16" ht="25.5" customHeight="1">
      <c r="A21" s="3373" t="s">
        <v>3422</v>
      </c>
      <c r="B21" s="3373"/>
      <c r="C21" s="3373"/>
      <c r="D21" s="3373">
        <v>9503</v>
      </c>
      <c r="E21" s="3373"/>
      <c r="F21" s="3267"/>
      <c r="G21" s="3267"/>
      <c r="H21" s="3267"/>
      <c r="I21" s="3373" t="s">
        <v>3405</v>
      </c>
      <c r="J21" s="3267" t="s">
        <v>3406</v>
      </c>
      <c r="K21" s="3267">
        <f>ROUND($D$21/$C$11*H11,2)</f>
        <v>20555.080000000002</v>
      </c>
    </row>
    <row r="22" spans="1:16" ht="14.25">
      <c r="A22" s="3373"/>
      <c r="B22" s="3373"/>
      <c r="C22" s="3373"/>
      <c r="D22" s="3373"/>
      <c r="E22" s="3373"/>
      <c r="F22" s="3267"/>
      <c r="G22" s="3267"/>
      <c r="H22" s="3267"/>
      <c r="I22" s="3373"/>
      <c r="J22" s="3267" t="s">
        <v>3412</v>
      </c>
      <c r="K22" s="3267">
        <f t="shared" ref="K22:K25" si="1">ROUND($D$21/$C$11*H12,2)</f>
        <v>230.38</v>
      </c>
    </row>
    <row r="23" spans="1:16" ht="14.25">
      <c r="A23" s="3373"/>
      <c r="B23" s="3373"/>
      <c r="C23" s="3373"/>
      <c r="D23" s="3373"/>
      <c r="E23" s="3373"/>
      <c r="F23" s="3267"/>
      <c r="G23" s="3267"/>
      <c r="H23" s="3267"/>
      <c r="I23" s="3373"/>
      <c r="J23" s="3267" t="s">
        <v>3407</v>
      </c>
      <c r="K23" s="3267">
        <f t="shared" si="1"/>
        <v>198.6</v>
      </c>
    </row>
    <row r="24" spans="1:16" ht="14.25">
      <c r="A24" s="3373"/>
      <c r="B24" s="3373"/>
      <c r="C24" s="3373"/>
      <c r="D24" s="3373"/>
      <c r="E24" s="3373"/>
      <c r="F24" s="3238"/>
      <c r="G24" s="3238"/>
      <c r="H24" s="3238"/>
      <c r="I24" s="3373"/>
      <c r="J24" s="3267" t="s">
        <v>3397</v>
      </c>
      <c r="K24" s="3267">
        <f t="shared" si="1"/>
        <v>949.31</v>
      </c>
    </row>
    <row r="25" spans="1:16" ht="14.25">
      <c r="A25" s="3373"/>
      <c r="B25" s="3373"/>
      <c r="C25" s="3373"/>
      <c r="D25" s="3373"/>
      <c r="E25" s="3373"/>
      <c r="F25" s="3238"/>
      <c r="G25" s="3238"/>
      <c r="H25" s="3238"/>
      <c r="I25" s="3373"/>
      <c r="J25" s="3267" t="s">
        <v>3408</v>
      </c>
      <c r="K25" s="3267">
        <f t="shared" si="1"/>
        <v>107.24</v>
      </c>
    </row>
    <row r="26" spans="1:16">
      <c r="A26" s="3373"/>
      <c r="B26" s="3373"/>
      <c r="C26" s="3373"/>
      <c r="D26" s="3373"/>
      <c r="E26" s="3373"/>
      <c r="F26" s="3238"/>
      <c r="G26" s="3238"/>
      <c r="H26" s="3238"/>
      <c r="I26" s="3372" t="s">
        <v>3409</v>
      </c>
      <c r="J26" s="3372"/>
      <c r="K26" s="3230">
        <f>K21+K22+K23+K24+K25</f>
        <v>22040.610000000004</v>
      </c>
    </row>
    <row r="27" spans="1:16" ht="14.25">
      <c r="A27" s="3373"/>
      <c r="B27" s="3373"/>
      <c r="C27" s="3373"/>
      <c r="D27" s="3373"/>
      <c r="E27" s="3373"/>
      <c r="F27" s="3238"/>
      <c r="G27" s="3238"/>
      <c r="H27" s="3238"/>
      <c r="I27" s="3373" t="s">
        <v>3410</v>
      </c>
      <c r="J27" s="3267" t="s">
        <v>3398</v>
      </c>
      <c r="K27" s="3267">
        <f>ROUND($D$21/$C$11*H17,2)</f>
        <v>7785.11</v>
      </c>
    </row>
    <row r="28" spans="1:16" ht="12.75" customHeight="1">
      <c r="A28" s="3373"/>
      <c r="B28" s="3373"/>
      <c r="C28" s="3373"/>
      <c r="D28" s="3373"/>
      <c r="E28" s="3373"/>
      <c r="F28" s="3238"/>
      <c r="G28" s="3238"/>
      <c r="H28" s="3238"/>
      <c r="I28" s="3373"/>
      <c r="J28" s="3267" t="s">
        <v>3397</v>
      </c>
      <c r="K28" s="3267">
        <f>ROUND($D$21/$C$11*H18,2)</f>
        <v>158.88</v>
      </c>
    </row>
    <row r="29" spans="1:16">
      <c r="A29" s="3373"/>
      <c r="B29" s="3373"/>
      <c r="C29" s="3373"/>
      <c r="D29" s="3373"/>
      <c r="E29" s="3373"/>
      <c r="F29" s="3238"/>
      <c r="G29" s="3238"/>
      <c r="H29" s="3238"/>
      <c r="I29" s="3372" t="s">
        <v>3409</v>
      </c>
      <c r="J29" s="3372"/>
      <c r="K29" s="3230">
        <f>K27+K28</f>
        <v>7943.99</v>
      </c>
    </row>
    <row r="30" spans="1:16">
      <c r="A30" s="3373"/>
      <c r="B30" s="3373"/>
      <c r="C30" s="3373"/>
      <c r="D30" s="3373"/>
      <c r="E30" s="3373"/>
      <c r="F30" s="3267"/>
      <c r="G30" s="3267"/>
      <c r="H30" s="3267"/>
      <c r="I30" s="3372" t="s">
        <v>3411</v>
      </c>
      <c r="J30" s="3372"/>
      <c r="K30" s="3230">
        <f>K26+K29</f>
        <v>29984.600000000006</v>
      </c>
    </row>
    <row r="31" spans="1:16" ht="25.5" customHeight="1">
      <c r="A31" s="3371" t="s">
        <v>3423</v>
      </c>
      <c r="B31" s="3371" t="s">
        <v>3299</v>
      </c>
      <c r="C31" s="3371">
        <f>地块分布情况!C16</f>
        <v>9367</v>
      </c>
      <c r="D31" s="3371">
        <v>6822</v>
      </c>
      <c r="E31" s="3371">
        <v>1.04</v>
      </c>
      <c r="F31" s="3371" t="s">
        <v>3405</v>
      </c>
      <c r="G31" s="3267" t="s">
        <v>3406</v>
      </c>
      <c r="H31" s="3267">
        <f>C总规划!F12</f>
        <v>6512</v>
      </c>
      <c r="I31" s="3267" t="s">
        <v>3405</v>
      </c>
      <c r="J31" s="3267" t="s">
        <v>3406</v>
      </c>
      <c r="K31" s="3267">
        <f>ROUND($D$31/$C$31*H31,2)</f>
        <v>4742.7</v>
      </c>
    </row>
    <row r="32" spans="1:16" ht="14.25">
      <c r="A32" s="3369"/>
      <c r="B32" s="3369"/>
      <c r="C32" s="3369"/>
      <c r="D32" s="3369"/>
      <c r="E32" s="3369"/>
      <c r="F32" s="3369"/>
      <c r="G32" s="3267" t="s">
        <v>3413</v>
      </c>
      <c r="H32" s="3267">
        <f>C总规划!F24</f>
        <v>3160</v>
      </c>
      <c r="I32" s="3267"/>
      <c r="J32" s="3267" t="s">
        <v>3413</v>
      </c>
      <c r="K32" s="3267">
        <f t="shared" ref="K32:K34" si="2">ROUND($D$31/$C$31*H32,2)</f>
        <v>2301.4299999999998</v>
      </c>
    </row>
    <row r="33" spans="1:16" ht="14.25">
      <c r="A33" s="3369"/>
      <c r="B33" s="3369"/>
      <c r="C33" s="3369"/>
      <c r="D33" s="3369"/>
      <c r="E33" s="3369"/>
      <c r="F33" s="3369"/>
      <c r="G33" s="3267" t="s">
        <v>3274</v>
      </c>
      <c r="H33" s="3267">
        <f>C总规划!F17</f>
        <v>50</v>
      </c>
      <c r="I33" s="3267"/>
      <c r="J33" s="3267" t="s">
        <v>3274</v>
      </c>
      <c r="K33" s="3267">
        <f t="shared" si="2"/>
        <v>36.42</v>
      </c>
    </row>
    <row r="34" spans="1:16" ht="14.25">
      <c r="A34" s="3369"/>
      <c r="B34" s="3369"/>
      <c r="C34" s="3369"/>
      <c r="D34" s="3369"/>
      <c r="E34" s="3369"/>
      <c r="F34" s="3370"/>
      <c r="G34" s="3267" t="s">
        <v>3275</v>
      </c>
      <c r="H34" s="3267">
        <f>C总规划!F18</f>
        <v>20</v>
      </c>
      <c r="I34" s="3267"/>
      <c r="J34" s="3267" t="s">
        <v>3275</v>
      </c>
      <c r="K34" s="3267">
        <f t="shared" si="2"/>
        <v>14.57</v>
      </c>
    </row>
    <row r="35" spans="1:16" ht="14.25">
      <c r="A35" s="3369"/>
      <c r="B35" s="3369"/>
      <c r="C35" s="3369"/>
      <c r="D35" s="3369"/>
      <c r="E35" s="3369"/>
      <c r="F35" s="3366" t="s">
        <v>3310</v>
      </c>
      <c r="G35" s="3367"/>
      <c r="H35" s="3230">
        <f>H31+H32+H33+H34</f>
        <v>9742</v>
      </c>
      <c r="I35" s="3267" t="s">
        <v>3414</v>
      </c>
      <c r="J35" s="3267"/>
      <c r="K35" s="3230">
        <f>K31+K32+K33+K34</f>
        <v>7095.119999999999</v>
      </c>
    </row>
    <row r="36" spans="1:16" ht="14.25">
      <c r="A36" s="3369"/>
      <c r="B36" s="3369"/>
      <c r="C36" s="3369"/>
      <c r="D36" s="3369"/>
      <c r="E36" s="3369"/>
      <c r="F36" s="3371" t="s">
        <v>3276</v>
      </c>
      <c r="G36" s="3267" t="s">
        <v>3277</v>
      </c>
      <c r="H36" s="3267">
        <f>C总规划!F25</f>
        <v>6000</v>
      </c>
      <c r="I36" s="3267" t="s">
        <v>3276</v>
      </c>
      <c r="J36" s="3267" t="s">
        <v>3277</v>
      </c>
      <c r="K36" s="3267">
        <f>ROUND($D$31/$C$31*H36,2)</f>
        <v>4369.8100000000004</v>
      </c>
    </row>
    <row r="37" spans="1:16" ht="14.25">
      <c r="A37" s="3369"/>
      <c r="B37" s="3369"/>
      <c r="C37" s="3369"/>
      <c r="D37" s="3369"/>
      <c r="E37" s="3369"/>
      <c r="F37" s="3370"/>
      <c r="G37" s="3267" t="s">
        <v>3275</v>
      </c>
      <c r="H37" s="3267">
        <f>C总规划!F26</f>
        <v>300</v>
      </c>
      <c r="I37" s="3267"/>
      <c r="J37" s="3267" t="s">
        <v>3275</v>
      </c>
      <c r="K37" s="3267">
        <f>ROUND($D$31/$C$31*H37,2)</f>
        <v>218.49</v>
      </c>
    </row>
    <row r="38" spans="1:16">
      <c r="A38" s="3369"/>
      <c r="B38" s="3369"/>
      <c r="C38" s="3369"/>
      <c r="D38" s="3369"/>
      <c r="E38" s="3369"/>
      <c r="F38" s="3366" t="s">
        <v>3310</v>
      </c>
      <c r="G38" s="3367"/>
      <c r="H38" s="3230">
        <f>H36+H37</f>
        <v>6300</v>
      </c>
      <c r="I38" s="3366" t="s">
        <v>3310</v>
      </c>
      <c r="J38" s="3367"/>
      <c r="K38" s="3230">
        <f>K36+K37</f>
        <v>4588.3</v>
      </c>
    </row>
    <row r="39" spans="1:16">
      <c r="A39" s="3370"/>
      <c r="B39" s="3370"/>
      <c r="C39" s="3370"/>
      <c r="D39" s="3370"/>
      <c r="E39" s="3370"/>
      <c r="F39" s="3366" t="s">
        <v>3311</v>
      </c>
      <c r="G39" s="3367"/>
      <c r="H39" s="3230">
        <f>H35+H38</f>
        <v>16042</v>
      </c>
      <c r="I39" s="3366" t="s">
        <v>3311</v>
      </c>
      <c r="J39" s="3367"/>
      <c r="K39" s="3230">
        <f>K35+K38</f>
        <v>11683.419999999998</v>
      </c>
    </row>
    <row r="40" spans="1:16" ht="25.5" customHeight="1">
      <c r="A40" s="3371" t="s">
        <v>3424</v>
      </c>
      <c r="B40" s="3371" t="s">
        <v>3342</v>
      </c>
      <c r="C40" s="3371">
        <f>地块分布情况!C6</f>
        <v>22838</v>
      </c>
      <c r="D40" s="3371">
        <v>7667</v>
      </c>
      <c r="E40" s="3371">
        <v>3.07</v>
      </c>
      <c r="F40" s="3371" t="s">
        <v>3271</v>
      </c>
      <c r="G40" s="3267" t="s">
        <v>3272</v>
      </c>
      <c r="H40" s="3267">
        <f>E2总规划!F12</f>
        <v>66390</v>
      </c>
      <c r="I40" s="3371" t="s">
        <v>3271</v>
      </c>
      <c r="J40" s="3267" t="s">
        <v>3272</v>
      </c>
      <c r="K40" s="3267">
        <f>ROUND($D$40/$C$40*H40,2)</f>
        <v>22287.95</v>
      </c>
    </row>
    <row r="41" spans="1:16" ht="14.25">
      <c r="A41" s="3369"/>
      <c r="B41" s="3369"/>
      <c r="C41" s="3369"/>
      <c r="D41" s="3369"/>
      <c r="E41" s="3369"/>
      <c r="F41" s="3369"/>
      <c r="G41" s="3267" t="s">
        <v>3273</v>
      </c>
      <c r="H41" s="3267">
        <f>E2总规划!F14</f>
        <v>3450</v>
      </c>
      <c r="I41" s="3369"/>
      <c r="J41" s="3267" t="s">
        <v>3273</v>
      </c>
      <c r="K41" s="3267">
        <f t="shared" ref="K41:K43" si="3">ROUND($D$40/$C$40*H41,2)</f>
        <v>1158.21</v>
      </c>
    </row>
    <row r="42" spans="1:16" ht="14.25">
      <c r="A42" s="3369"/>
      <c r="B42" s="3369"/>
      <c r="C42" s="3369"/>
      <c r="D42" s="3369"/>
      <c r="E42" s="3369"/>
      <c r="F42" s="3369"/>
      <c r="G42" s="3267" t="s">
        <v>3274</v>
      </c>
      <c r="H42" s="3267">
        <f>E2总规划!F17</f>
        <v>350</v>
      </c>
      <c r="I42" s="3369"/>
      <c r="J42" s="3267" t="s">
        <v>3274</v>
      </c>
      <c r="K42" s="3267">
        <f t="shared" si="3"/>
        <v>117.5</v>
      </c>
    </row>
    <row r="43" spans="1:16" ht="14.25">
      <c r="A43" s="3369"/>
      <c r="B43" s="3369"/>
      <c r="C43" s="3369"/>
      <c r="D43" s="3369"/>
      <c r="E43" s="3369"/>
      <c r="F43" s="3370"/>
      <c r="G43" s="3267" t="s">
        <v>3275</v>
      </c>
      <c r="H43" s="3267">
        <f>E2总规划!F18+E2总规划!F27</f>
        <v>630</v>
      </c>
      <c r="I43" s="3370"/>
      <c r="J43" s="3267" t="s">
        <v>3275</v>
      </c>
      <c r="K43" s="3267">
        <f t="shared" si="3"/>
        <v>211.5</v>
      </c>
    </row>
    <row r="44" spans="1:16">
      <c r="A44" s="3369"/>
      <c r="B44" s="3369"/>
      <c r="C44" s="3369"/>
      <c r="D44" s="3369"/>
      <c r="E44" s="3369"/>
      <c r="F44" s="3366" t="s">
        <v>3310</v>
      </c>
      <c r="G44" s="3367"/>
      <c r="H44" s="3230">
        <f>H40+H41+H42+H43</f>
        <v>70820</v>
      </c>
      <c r="I44" s="3366" t="s">
        <v>3310</v>
      </c>
      <c r="J44" s="3367"/>
      <c r="K44" s="3230">
        <f>K40+K41+K42+K43</f>
        <v>23775.16</v>
      </c>
    </row>
    <row r="45" spans="1:16" ht="14.25">
      <c r="A45" s="3369"/>
      <c r="B45" s="3369"/>
      <c r="C45" s="3369"/>
      <c r="D45" s="3369"/>
      <c r="E45" s="3369"/>
      <c r="F45" s="3371" t="s">
        <v>3276</v>
      </c>
      <c r="G45" s="3267" t="s">
        <v>3277</v>
      </c>
      <c r="H45" s="3267">
        <f>E2总规划!F25</f>
        <v>52000</v>
      </c>
      <c r="I45" s="3371" t="s">
        <v>3276</v>
      </c>
      <c r="J45" s="3267" t="s">
        <v>3277</v>
      </c>
      <c r="K45" s="3267">
        <f>ROUND($D$40/$C$40*H45,2)</f>
        <v>17457.05</v>
      </c>
    </row>
    <row r="46" spans="1:16" ht="14.25">
      <c r="A46" s="3369"/>
      <c r="B46" s="3369"/>
      <c r="C46" s="3369"/>
      <c r="D46" s="3369"/>
      <c r="E46" s="3369"/>
      <c r="F46" s="3370"/>
      <c r="G46" s="3267" t="s">
        <v>3275</v>
      </c>
      <c r="H46" s="3267">
        <f>E2总规划!F26+E2总规划!F28</f>
        <v>20900</v>
      </c>
      <c r="I46" s="3370"/>
      <c r="J46" s="3267" t="s">
        <v>3275</v>
      </c>
      <c r="K46" s="3267">
        <f>ROUND($D$40/$C$40*H46,2)</f>
        <v>7016.39</v>
      </c>
    </row>
    <row r="47" spans="1:16">
      <c r="A47" s="3369"/>
      <c r="B47" s="3369"/>
      <c r="C47" s="3369"/>
      <c r="D47" s="3369"/>
      <c r="E47" s="3369"/>
      <c r="F47" s="3366" t="s">
        <v>3310</v>
      </c>
      <c r="G47" s="3367"/>
      <c r="H47" s="3230">
        <f>H45+H46</f>
        <v>72900</v>
      </c>
      <c r="I47" s="3366" t="s">
        <v>3310</v>
      </c>
      <c r="J47" s="3367"/>
      <c r="K47" s="3230">
        <f>K45+K46</f>
        <v>24473.439999999999</v>
      </c>
    </row>
    <row r="48" spans="1:16">
      <c r="A48" s="3370"/>
      <c r="B48" s="3370"/>
      <c r="C48" s="3370"/>
      <c r="D48" s="3370"/>
      <c r="E48" s="3370"/>
      <c r="F48" s="3366" t="s">
        <v>3311</v>
      </c>
      <c r="G48" s="3367"/>
      <c r="H48" s="3230">
        <f>H44+H47</f>
        <v>143720</v>
      </c>
      <c r="I48" s="3366" t="s">
        <v>3311</v>
      </c>
      <c r="J48" s="3367"/>
      <c r="K48" s="3230">
        <f>K44+K47</f>
        <v>48248.6</v>
      </c>
      <c r="N48" s="3287" t="s">
        <v>3487</v>
      </c>
      <c r="O48" s="3287" t="s">
        <v>3485</v>
      </c>
      <c r="P48" s="3287" t="s">
        <v>3488</v>
      </c>
    </row>
    <row r="49" spans="1:16" ht="25.5" customHeight="1">
      <c r="A49" s="3371" t="s">
        <v>3425</v>
      </c>
      <c r="B49" s="3371" t="s">
        <v>3426</v>
      </c>
      <c r="C49" s="3371">
        <v>63964.9</v>
      </c>
      <c r="D49" s="3371">
        <f>43740-15019</f>
        <v>28721</v>
      </c>
      <c r="E49" s="3371">
        <f>ROUND(H53/C49,2)</f>
        <v>4.47</v>
      </c>
      <c r="F49" s="3371" t="s">
        <v>3271</v>
      </c>
      <c r="G49" s="3267" t="s">
        <v>3272</v>
      </c>
      <c r="H49" s="3267">
        <f>B总规划!F12+G总规划!F12</f>
        <v>203635</v>
      </c>
      <c r="I49" s="3371" t="s">
        <v>3271</v>
      </c>
      <c r="J49" s="3267" t="s">
        <v>3272</v>
      </c>
      <c r="K49" s="3267">
        <f>ROUND($D$49/$C$49*H49,2)</f>
        <v>91434.53</v>
      </c>
      <c r="N49" s="3180">
        <f>系统读取表!E19</f>
        <v>9976</v>
      </c>
      <c r="O49" s="3180">
        <f>ROUND(N49*K57/10000,0)</f>
        <v>200579</v>
      </c>
      <c r="P49" s="3180">
        <f>ROUND(O49*10000/D49,0)</f>
        <v>69837</v>
      </c>
    </row>
    <row r="50" spans="1:16" ht="14.25">
      <c r="A50" s="3369"/>
      <c r="B50" s="3369"/>
      <c r="C50" s="3369"/>
      <c r="D50" s="3369"/>
      <c r="E50" s="3369"/>
      <c r="F50" s="3369"/>
      <c r="G50" s="3267" t="s">
        <v>3413</v>
      </c>
      <c r="H50" s="3267">
        <f>B总规划!F24+G总规划!F24</f>
        <v>74812</v>
      </c>
      <c r="I50" s="3369"/>
      <c r="J50" s="3267" t="s">
        <v>3413</v>
      </c>
      <c r="K50" s="3267">
        <f t="shared" ref="K50:K52" si="4">ROUND($D$49/$C$49*H50,2)</f>
        <v>33591.480000000003</v>
      </c>
      <c r="O50" s="3180">
        <f>ROUND(N49*K66/10000,0)</f>
        <v>114728</v>
      </c>
      <c r="P50" s="3180">
        <f>ROUND(O50*10000/D58,0)</f>
        <v>69837</v>
      </c>
    </row>
    <row r="51" spans="1:16" ht="14.25">
      <c r="A51" s="3369"/>
      <c r="B51" s="3369"/>
      <c r="C51" s="3369"/>
      <c r="D51" s="3369"/>
      <c r="E51" s="3369"/>
      <c r="F51" s="3369"/>
      <c r="G51" s="3267" t="s">
        <v>3274</v>
      </c>
      <c r="H51" s="3267">
        <f>B总规划!F17+G总规划!F17</f>
        <v>1235</v>
      </c>
      <c r="I51" s="3369"/>
      <c r="J51" s="3267" t="s">
        <v>3274</v>
      </c>
      <c r="K51" s="3267">
        <f t="shared" si="4"/>
        <v>554.53</v>
      </c>
      <c r="N51" s="3180">
        <f>ROUND(O51*10000/K75,0)</f>
        <v>9976</v>
      </c>
      <c r="O51" s="3180">
        <f>系统读取表!D19-面积表!O50-面积表!O49</f>
        <v>81221</v>
      </c>
      <c r="P51" s="3180">
        <f>ROUND(O51*10000/D67,0)</f>
        <v>69837</v>
      </c>
    </row>
    <row r="52" spans="1:16" ht="14.25">
      <c r="A52" s="3369"/>
      <c r="B52" s="3369"/>
      <c r="C52" s="3369"/>
      <c r="D52" s="3369"/>
      <c r="E52" s="3369"/>
      <c r="F52" s="3370"/>
      <c r="G52" s="3267" t="s">
        <v>3275</v>
      </c>
      <c r="H52" s="3267">
        <f>B总规划!F18+B总规划!F27+G总规划!F18+G总规划!F21+G总规划!F22+G总规划!F23+G总规划!F27</f>
        <v>5955</v>
      </c>
      <c r="I52" s="3370"/>
      <c r="J52" s="3267" t="s">
        <v>3275</v>
      </c>
      <c r="K52" s="3267">
        <f t="shared" si="4"/>
        <v>2673.87</v>
      </c>
    </row>
    <row r="53" spans="1:16">
      <c r="A53" s="3369"/>
      <c r="B53" s="3369"/>
      <c r="C53" s="3369"/>
      <c r="D53" s="3369"/>
      <c r="E53" s="3369"/>
      <c r="F53" s="3366" t="s">
        <v>3310</v>
      </c>
      <c r="G53" s="3367"/>
      <c r="H53" s="3230">
        <f>H49+H50+H51+H52</f>
        <v>285637</v>
      </c>
      <c r="I53" s="3366" t="s">
        <v>3310</v>
      </c>
      <c r="J53" s="3367"/>
      <c r="K53" s="3230">
        <f>K49+K50+K51+K52</f>
        <v>128254.41</v>
      </c>
    </row>
    <row r="54" spans="1:16" ht="14.25">
      <c r="A54" s="3369"/>
      <c r="B54" s="3369"/>
      <c r="C54" s="3369"/>
      <c r="D54" s="3369"/>
      <c r="E54" s="3369"/>
      <c r="F54" s="3371" t="s">
        <v>3276</v>
      </c>
      <c r="G54" s="3267" t="s">
        <v>3277</v>
      </c>
      <c r="H54" s="3267">
        <f>B总规划!F25+G总规划!F25</f>
        <v>159800</v>
      </c>
      <c r="I54" s="3371" t="s">
        <v>3276</v>
      </c>
      <c r="J54" s="3267" t="s">
        <v>3277</v>
      </c>
      <c r="K54" s="3267">
        <f>ROUND($D$49/$C$49*H54,2)</f>
        <v>71752.100000000006</v>
      </c>
    </row>
    <row r="55" spans="1:16" ht="14.25">
      <c r="A55" s="3369"/>
      <c r="B55" s="3369"/>
      <c r="C55" s="3369"/>
      <c r="D55" s="3369"/>
      <c r="E55" s="3369"/>
      <c r="F55" s="3370"/>
      <c r="G55" s="3267" t="s">
        <v>3275</v>
      </c>
      <c r="H55" s="3267">
        <f>B总规划!F26+G总规划!F26</f>
        <v>2350</v>
      </c>
      <c r="I55" s="3370"/>
      <c r="J55" s="3267" t="s">
        <v>3275</v>
      </c>
      <c r="K55" s="3267">
        <f>ROUND($D$49/$C$49*H55,2)</f>
        <v>1055.18</v>
      </c>
    </row>
    <row r="56" spans="1:16">
      <c r="A56" s="3369"/>
      <c r="B56" s="3369"/>
      <c r="C56" s="3369"/>
      <c r="D56" s="3369"/>
      <c r="E56" s="3369"/>
      <c r="F56" s="3366" t="s">
        <v>3310</v>
      </c>
      <c r="G56" s="3367"/>
      <c r="H56" s="3230">
        <f>H54+H55</f>
        <v>162150</v>
      </c>
      <c r="I56" s="3366" t="s">
        <v>3310</v>
      </c>
      <c r="J56" s="3367"/>
      <c r="K56" s="3230">
        <f>K54+K55</f>
        <v>72807.28</v>
      </c>
    </row>
    <row r="57" spans="1:16">
      <c r="A57" s="3370"/>
      <c r="B57" s="3369"/>
      <c r="C57" s="3369"/>
      <c r="D57" s="3370"/>
      <c r="E57" s="3369"/>
      <c r="F57" s="3366" t="s">
        <v>3311</v>
      </c>
      <c r="G57" s="3367"/>
      <c r="H57" s="3230">
        <f>H53+H56</f>
        <v>447787</v>
      </c>
      <c r="I57" s="3366" t="s">
        <v>3311</v>
      </c>
      <c r="J57" s="3367"/>
      <c r="K57" s="3230">
        <f>K53+K56</f>
        <v>201061.69</v>
      </c>
    </row>
    <row r="58" spans="1:16" ht="25.5" customHeight="1">
      <c r="A58" s="3371" t="s">
        <v>3427</v>
      </c>
      <c r="B58" s="3369"/>
      <c r="C58" s="3369"/>
      <c r="D58" s="3371">
        <v>16428</v>
      </c>
      <c r="E58" s="3369"/>
      <c r="F58" s="3267"/>
      <c r="G58" s="3267"/>
      <c r="H58" s="3267"/>
      <c r="I58" s="3371" t="s">
        <v>3271</v>
      </c>
      <c r="J58" s="3267" t="s">
        <v>3272</v>
      </c>
      <c r="K58" s="3267">
        <f>ROUND($D$58/$C$49*H49,2)</f>
        <v>52299.24</v>
      </c>
    </row>
    <row r="59" spans="1:16" ht="14.25">
      <c r="A59" s="3369"/>
      <c r="B59" s="3369"/>
      <c r="C59" s="3369"/>
      <c r="D59" s="3369"/>
      <c r="E59" s="3369"/>
      <c r="F59" s="3267"/>
      <c r="G59" s="3267"/>
      <c r="H59" s="3267"/>
      <c r="I59" s="3369"/>
      <c r="J59" s="3267" t="s">
        <v>3413</v>
      </c>
      <c r="K59" s="3267">
        <f t="shared" ref="K59:K61" si="5">ROUND($D$58/$C$49*H50,2)</f>
        <v>19213.84</v>
      </c>
    </row>
    <row r="60" spans="1:16" ht="14.25">
      <c r="A60" s="3369"/>
      <c r="B60" s="3369"/>
      <c r="C60" s="3369"/>
      <c r="D60" s="3369"/>
      <c r="E60" s="3369"/>
      <c r="F60" s="3267"/>
      <c r="G60" s="3267"/>
      <c r="H60" s="3267"/>
      <c r="I60" s="3369"/>
      <c r="J60" s="3267" t="s">
        <v>3274</v>
      </c>
      <c r="K60" s="3267">
        <f t="shared" si="5"/>
        <v>317.18</v>
      </c>
    </row>
    <row r="61" spans="1:16" ht="14.25">
      <c r="A61" s="3369"/>
      <c r="B61" s="3369"/>
      <c r="C61" s="3369"/>
      <c r="D61" s="3369"/>
      <c r="E61" s="3369"/>
      <c r="F61" s="3267"/>
      <c r="G61" s="3267"/>
      <c r="H61" s="3267"/>
      <c r="I61" s="3370"/>
      <c r="J61" s="3267" t="s">
        <v>3275</v>
      </c>
      <c r="K61" s="3267">
        <f t="shared" si="5"/>
        <v>1529.41</v>
      </c>
    </row>
    <row r="62" spans="1:16">
      <c r="A62" s="3369"/>
      <c r="B62" s="3369"/>
      <c r="C62" s="3369"/>
      <c r="D62" s="3369"/>
      <c r="E62" s="3369"/>
      <c r="F62" s="3267"/>
      <c r="G62" s="3267"/>
      <c r="H62" s="3267"/>
      <c r="I62" s="3366" t="s">
        <v>3310</v>
      </c>
      <c r="J62" s="3367"/>
      <c r="K62" s="3230">
        <f>K58+K59+K60+K61</f>
        <v>73359.67</v>
      </c>
    </row>
    <row r="63" spans="1:16" ht="14.25">
      <c r="A63" s="3369"/>
      <c r="B63" s="3369"/>
      <c r="C63" s="3369"/>
      <c r="D63" s="3369"/>
      <c r="E63" s="3369"/>
      <c r="F63" s="3267"/>
      <c r="G63" s="3267"/>
      <c r="H63" s="3267"/>
      <c r="I63" s="3371" t="s">
        <v>3276</v>
      </c>
      <c r="J63" s="3267" t="s">
        <v>3277</v>
      </c>
      <c r="K63" s="3267">
        <f>ROUND($D$58/$C$49*H54,2)</f>
        <v>41041.17</v>
      </c>
    </row>
    <row r="64" spans="1:16" ht="14.25">
      <c r="A64" s="3369"/>
      <c r="B64" s="3369"/>
      <c r="C64" s="3369"/>
      <c r="D64" s="3369"/>
      <c r="E64" s="3369"/>
      <c r="F64" s="3267"/>
      <c r="G64" s="3267"/>
      <c r="H64" s="3267"/>
      <c r="I64" s="3370"/>
      <c r="J64" s="3267" t="s">
        <v>3275</v>
      </c>
      <c r="K64" s="3267">
        <f>ROUND($D$58/$C$49*H55,2)</f>
        <v>603.54999999999995</v>
      </c>
    </row>
    <row r="65" spans="1:11">
      <c r="A65" s="3369"/>
      <c r="B65" s="3369"/>
      <c r="C65" s="3369"/>
      <c r="D65" s="3369"/>
      <c r="E65" s="3369"/>
      <c r="F65" s="3267"/>
      <c r="G65" s="3267"/>
      <c r="H65" s="3267"/>
      <c r="I65" s="3366" t="s">
        <v>3310</v>
      </c>
      <c r="J65" s="3367"/>
      <c r="K65" s="3230">
        <f>K63+K64</f>
        <v>41644.720000000001</v>
      </c>
    </row>
    <row r="66" spans="1:11">
      <c r="A66" s="3370"/>
      <c r="B66" s="3369"/>
      <c r="C66" s="3369"/>
      <c r="D66" s="3370"/>
      <c r="E66" s="3369"/>
      <c r="F66" s="3267"/>
      <c r="G66" s="3267"/>
      <c r="H66" s="3267"/>
      <c r="I66" s="3366" t="s">
        <v>3311</v>
      </c>
      <c r="J66" s="3367"/>
      <c r="K66" s="3230">
        <f>K62+K65</f>
        <v>115004.39</v>
      </c>
    </row>
    <row r="67" spans="1:11" ht="25.5" customHeight="1">
      <c r="A67" s="3371" t="s">
        <v>3428</v>
      </c>
      <c r="B67" s="3369"/>
      <c r="C67" s="3369"/>
      <c r="D67" s="3371">
        <v>11630</v>
      </c>
      <c r="E67" s="3369"/>
      <c r="F67" s="3267"/>
      <c r="G67" s="3267"/>
      <c r="H67" s="3267"/>
      <c r="I67" s="3371" t="s">
        <v>3271</v>
      </c>
      <c r="J67" s="3267" t="s">
        <v>3272</v>
      </c>
      <c r="K67" s="3267">
        <f>ROUND($D$67/$C$49*H49,2)</f>
        <v>37024.6</v>
      </c>
    </row>
    <row r="68" spans="1:11" ht="14.25">
      <c r="A68" s="3369"/>
      <c r="B68" s="3369"/>
      <c r="C68" s="3369"/>
      <c r="D68" s="3369"/>
      <c r="E68" s="3369"/>
      <c r="F68" s="3267"/>
      <c r="G68" s="3267"/>
      <c r="H68" s="3267"/>
      <c r="I68" s="3369"/>
      <c r="J68" s="3267" t="s">
        <v>3413</v>
      </c>
      <c r="K68" s="3267">
        <f t="shared" ref="K68:K70" si="6">ROUND($D$67/$C$49*H50,2)</f>
        <v>13602.2</v>
      </c>
    </row>
    <row r="69" spans="1:11" ht="14.25">
      <c r="A69" s="3369"/>
      <c r="B69" s="3369"/>
      <c r="C69" s="3369"/>
      <c r="D69" s="3369"/>
      <c r="E69" s="3369"/>
      <c r="F69" s="3267"/>
      <c r="G69" s="3267"/>
      <c r="H69" s="3267"/>
      <c r="I69" s="3369"/>
      <c r="J69" s="3267" t="s">
        <v>3274</v>
      </c>
      <c r="K69" s="3267">
        <f t="shared" si="6"/>
        <v>224.55</v>
      </c>
    </row>
    <row r="70" spans="1:11" ht="14.25">
      <c r="A70" s="3369"/>
      <c r="B70" s="3369"/>
      <c r="C70" s="3369"/>
      <c r="D70" s="3369"/>
      <c r="E70" s="3369"/>
      <c r="F70" s="3267"/>
      <c r="G70" s="3267"/>
      <c r="H70" s="3267"/>
      <c r="I70" s="3370"/>
      <c r="J70" s="3267" t="s">
        <v>3275</v>
      </c>
      <c r="K70" s="3267">
        <f t="shared" si="6"/>
        <v>1082.73</v>
      </c>
    </row>
    <row r="71" spans="1:11">
      <c r="A71" s="3369"/>
      <c r="B71" s="3369"/>
      <c r="C71" s="3369"/>
      <c r="D71" s="3369"/>
      <c r="E71" s="3369"/>
      <c r="F71" s="3267"/>
      <c r="G71" s="3267"/>
      <c r="H71" s="3267"/>
      <c r="I71" s="3366" t="s">
        <v>3310</v>
      </c>
      <c r="J71" s="3367"/>
      <c r="K71" s="3230">
        <f>K67+K68+K69+K70</f>
        <v>51934.080000000009</v>
      </c>
    </row>
    <row r="72" spans="1:11" ht="14.25">
      <c r="A72" s="3369"/>
      <c r="B72" s="3369"/>
      <c r="C72" s="3369"/>
      <c r="D72" s="3369"/>
      <c r="E72" s="3369"/>
      <c r="F72" s="3267"/>
      <c r="G72" s="3267"/>
      <c r="H72" s="3267"/>
      <c r="I72" s="3371" t="s">
        <v>3276</v>
      </c>
      <c r="J72" s="3267" t="s">
        <v>3277</v>
      </c>
      <c r="K72" s="3267">
        <f>ROUND($D$67/$C$49*H54,2)</f>
        <v>29054.59</v>
      </c>
    </row>
    <row r="73" spans="1:11" ht="14.25">
      <c r="A73" s="3369"/>
      <c r="B73" s="3369"/>
      <c r="C73" s="3369"/>
      <c r="D73" s="3369"/>
      <c r="E73" s="3369"/>
      <c r="F73" s="3267"/>
      <c r="G73" s="3267"/>
      <c r="H73" s="3267"/>
      <c r="I73" s="3370"/>
      <c r="J73" s="3267" t="s">
        <v>3275</v>
      </c>
      <c r="K73" s="3267">
        <f>ROUND($D$67/$C$49*H55,2)</f>
        <v>427.27</v>
      </c>
    </row>
    <row r="74" spans="1:11">
      <c r="A74" s="3369"/>
      <c r="B74" s="3369"/>
      <c r="C74" s="3369"/>
      <c r="D74" s="3369"/>
      <c r="E74" s="3369"/>
      <c r="F74" s="3267"/>
      <c r="G74" s="3267"/>
      <c r="H74" s="3267"/>
      <c r="I74" s="3366" t="s">
        <v>3310</v>
      </c>
      <c r="J74" s="3367"/>
      <c r="K74" s="3230">
        <f>K72+K73</f>
        <v>29481.86</v>
      </c>
    </row>
    <row r="75" spans="1:11">
      <c r="A75" s="3370"/>
      <c r="B75" s="3370"/>
      <c r="C75" s="3370"/>
      <c r="D75" s="3370"/>
      <c r="E75" s="3370"/>
      <c r="F75" s="3267"/>
      <c r="G75" s="3267"/>
      <c r="H75" s="3267"/>
      <c r="I75" s="3366" t="s">
        <v>3311</v>
      </c>
      <c r="J75" s="3367"/>
      <c r="K75" s="3230">
        <f>K71+K74</f>
        <v>81415.94</v>
      </c>
    </row>
    <row r="76" spans="1:11" ht="25.5" customHeight="1">
      <c r="A76" s="3368" t="s">
        <v>3489</v>
      </c>
      <c r="B76" s="3371" t="s">
        <v>3415</v>
      </c>
      <c r="C76" s="3371" t="s">
        <v>3395</v>
      </c>
      <c r="D76" s="3371">
        <v>8758</v>
      </c>
      <c r="E76" s="3371">
        <v>2</v>
      </c>
      <c r="F76" s="3267"/>
      <c r="G76" s="3267"/>
      <c r="H76" s="3267"/>
      <c r="I76" s="3267" t="s">
        <v>3416</v>
      </c>
      <c r="J76" s="3267" t="s">
        <v>3417</v>
      </c>
      <c r="K76" s="3267">
        <f>D76*E76</f>
        <v>17516</v>
      </c>
    </row>
    <row r="77" spans="1:11">
      <c r="A77" s="3369"/>
      <c r="B77" s="3369"/>
      <c r="C77" s="3369"/>
      <c r="D77" s="3369"/>
      <c r="E77" s="3369"/>
      <c r="F77" s="3267"/>
      <c r="G77" s="3267"/>
      <c r="H77" s="3267"/>
      <c r="I77" s="3366" t="s">
        <v>3418</v>
      </c>
      <c r="J77" s="3367"/>
      <c r="K77" s="3230">
        <f>K76</f>
        <v>17516</v>
      </c>
    </row>
    <row r="78" spans="1:11" ht="14.25">
      <c r="A78" s="3369"/>
      <c r="B78" s="3369"/>
      <c r="C78" s="3369"/>
      <c r="D78" s="3369"/>
      <c r="E78" s="3369"/>
      <c r="F78" s="3267"/>
      <c r="G78" s="3267"/>
      <c r="H78" s="3267"/>
      <c r="I78" s="3267" t="s">
        <v>3419</v>
      </c>
      <c r="J78" s="3267" t="s">
        <v>3395</v>
      </c>
      <c r="K78" s="3267">
        <v>0</v>
      </c>
    </row>
    <row r="79" spans="1:11">
      <c r="A79" s="3369"/>
      <c r="B79" s="3369"/>
      <c r="C79" s="3369"/>
      <c r="D79" s="3369"/>
      <c r="E79" s="3369"/>
      <c r="F79" s="3267"/>
      <c r="G79" s="3267"/>
      <c r="H79" s="3267"/>
      <c r="I79" s="3366" t="s">
        <v>3418</v>
      </c>
      <c r="J79" s="3367"/>
      <c r="K79" s="3230">
        <v>0</v>
      </c>
    </row>
    <row r="80" spans="1:11">
      <c r="A80" s="3370"/>
      <c r="B80" s="3370"/>
      <c r="C80" s="3370"/>
      <c r="D80" s="3370"/>
      <c r="E80" s="3370"/>
      <c r="F80" s="3267"/>
      <c r="G80" s="3267"/>
      <c r="H80" s="3267"/>
      <c r="I80" s="3366" t="s">
        <v>3420</v>
      </c>
      <c r="J80" s="3367"/>
      <c r="K80" s="3230">
        <f>K77+K79</f>
        <v>17516</v>
      </c>
    </row>
    <row r="81" spans="1:11">
      <c r="K81" s="3180">
        <f>K10+K20+K30+K39+K48+K57+K66+K75+K80</f>
        <v>655589.37000000011</v>
      </c>
    </row>
    <row r="82" spans="1:11" ht="28.5">
      <c r="A82" s="3180" t="s">
        <v>3429</v>
      </c>
      <c r="B82" s="3180" t="s">
        <v>3430</v>
      </c>
      <c r="C82" s="3180" t="s">
        <v>3432</v>
      </c>
    </row>
    <row r="83" spans="1:11" ht="55.5">
      <c r="A83" s="3180" t="s">
        <v>3417</v>
      </c>
      <c r="B83" s="3180" t="s">
        <v>3430</v>
      </c>
      <c r="C83" s="3180" t="s">
        <v>3433</v>
      </c>
    </row>
    <row r="84" spans="1:11" ht="28.5">
      <c r="A84" s="3180" t="s">
        <v>3431</v>
      </c>
      <c r="B84" s="3180" t="s">
        <v>3430</v>
      </c>
      <c r="C84" s="3180" t="s">
        <v>3434</v>
      </c>
    </row>
  </sheetData>
  <mergeCells count="111">
    <mergeCell ref="N18:O18"/>
    <mergeCell ref="N1:N4"/>
    <mergeCell ref="N6:N7"/>
    <mergeCell ref="N5:O5"/>
    <mergeCell ref="N8:O8"/>
    <mergeCell ref="N9:O9"/>
    <mergeCell ref="N10:N13"/>
    <mergeCell ref="N14:O14"/>
    <mergeCell ref="N15:N16"/>
    <mergeCell ref="N17:O17"/>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31:F34"/>
    <mergeCell ref="F36:F37"/>
    <mergeCell ref="F35:G35"/>
    <mergeCell ref="F38:G38"/>
    <mergeCell ref="F39:G39"/>
    <mergeCell ref="A31:A39"/>
    <mergeCell ref="B31:B39"/>
    <mergeCell ref="C31:C39"/>
    <mergeCell ref="D31:D39"/>
    <mergeCell ref="E31:E39"/>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I66:J66"/>
    <mergeCell ref="I49:I52"/>
    <mergeCell ref="I53:J53"/>
    <mergeCell ref="I54:I55"/>
    <mergeCell ref="I56:J56"/>
    <mergeCell ref="I57:J57"/>
    <mergeCell ref="A49:A57"/>
    <mergeCell ref="A58:A66"/>
    <mergeCell ref="A67:A75"/>
    <mergeCell ref="B49:B75"/>
    <mergeCell ref="C49:C75"/>
    <mergeCell ref="D49:D57"/>
    <mergeCell ref="D58:D66"/>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88" t="s">
        <v>203</v>
      </c>
      <c r="B2" s="3388"/>
      <c r="C2" s="3388"/>
      <c r="D2" s="1958" t="s">
        <v>204</v>
      </c>
      <c r="E2" s="106" t="s">
        <v>205</v>
      </c>
      <c r="F2" s="1967"/>
      <c r="G2" s="1194"/>
      <c r="H2" s="1195"/>
      <c r="I2" s="1196" t="s">
        <v>857</v>
      </c>
      <c r="J2" s="1967"/>
      <c r="K2" s="1967"/>
      <c r="L2" s="1967"/>
    </row>
    <row r="3" spans="1:16" ht="15.75" thickBot="1">
      <c r="A3" s="3389" t="s">
        <v>206</v>
      </c>
      <c r="B3" s="3389"/>
      <c r="C3" s="3389"/>
      <c r="D3" s="107">
        <f>'数据-基础表'!AY6</f>
        <v>30008</v>
      </c>
      <c r="E3" s="107">
        <f>'数据-基础表'!AZ5</f>
        <v>129023.22</v>
      </c>
      <c r="F3" s="1967"/>
      <c r="G3" s="280" t="s">
        <v>858</v>
      </c>
      <c r="H3" s="275" t="s">
        <v>859</v>
      </c>
      <c r="I3" s="1959">
        <f>ROUND('数据-基础表'!B3/'数据-基础表'!A3,2)</f>
        <v>4.3</v>
      </c>
      <c r="J3" s="1967"/>
      <c r="K3" s="1967"/>
      <c r="L3" s="1967"/>
    </row>
    <row r="4" spans="1:16" ht="15">
      <c r="A4" s="3390"/>
      <c r="B4" s="3391"/>
      <c r="C4" s="3392"/>
      <c r="D4" s="108" t="s">
        <v>204</v>
      </c>
      <c r="E4" s="109" t="s">
        <v>205</v>
      </c>
      <c r="F4" s="1967"/>
      <c r="G4" s="1197"/>
      <c r="H4" s="275" t="s">
        <v>860</v>
      </c>
      <c r="I4" s="1959">
        <f>ROUND(SUMIF('数据-基础表'!I9:AS9,"地上",'数据-基础表'!I5:AS5)/'数据-基础表'!A3,2)</f>
        <v>1.69</v>
      </c>
      <c r="J4" s="1967"/>
      <c r="K4" s="1967"/>
      <c r="L4" s="1967"/>
    </row>
    <row r="5" spans="1:16">
      <c r="A5" s="110" t="s">
        <v>207</v>
      </c>
      <c r="B5" s="3393" t="s">
        <v>230</v>
      </c>
      <c r="C5" s="3393"/>
      <c r="D5" s="111">
        <f>ROUND($D$3*E5/$E$3,2)</f>
        <v>10850.66</v>
      </c>
      <c r="E5" s="112">
        <f>SUMIF('数据-基础表'!$11:$11,"住宅",'数据-基础表'!$5:$5)</f>
        <v>46653.79</v>
      </c>
      <c r="F5" s="1967"/>
      <c r="G5" s="280" t="s">
        <v>861</v>
      </c>
      <c r="H5" s="275" t="s">
        <v>859</v>
      </c>
      <c r="I5" s="1959">
        <f>ROUND(E31/D31,2)</f>
        <v>4.3</v>
      </c>
      <c r="J5" s="1967"/>
      <c r="K5" s="1967"/>
      <c r="L5" s="1967"/>
    </row>
    <row r="6" spans="1:16" ht="15" thickBot="1">
      <c r="A6" s="113"/>
      <c r="B6" s="3393" t="s">
        <v>208</v>
      </c>
      <c r="C6" s="3393"/>
      <c r="D6" s="111">
        <f>ROUND($D$3*E6/$E$3,2)</f>
        <v>19157.34</v>
      </c>
      <c r="E6" s="112">
        <f>E3-E5</f>
        <v>82369.429999999993</v>
      </c>
      <c r="F6" s="1967"/>
      <c r="G6" s="1197"/>
      <c r="H6" s="275" t="s">
        <v>860</v>
      </c>
      <c r="I6" s="1959">
        <f>ROUND(F31/D31,2)</f>
        <v>1.69</v>
      </c>
      <c r="J6" s="1967"/>
      <c r="K6" s="1967"/>
      <c r="L6" s="1967"/>
    </row>
    <row r="7" spans="1:16" ht="15">
      <c r="A7" s="3385"/>
      <c r="B7" s="3386"/>
      <c r="C7" s="3387"/>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10850.66</v>
      </c>
      <c r="E8" s="116">
        <f>SUMIF('数据-基础表'!BB10:BK10,"地上",'数据-基础表'!BB5:BK5)</f>
        <v>46653.79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10887.13</v>
      </c>
      <c r="E13" s="116">
        <f>SUMPRODUCT(('数据-基础表'!BB10:BK10="地下")*('数据-基础表'!BB11:BK11="车库")*('数据-基础表'!BB5:BK5))</f>
        <v>46810.61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21737.79</v>
      </c>
      <c r="E16" s="120">
        <f>SUM(E8:E15)</f>
        <v>93464.4</v>
      </c>
      <c r="F16" s="1967"/>
      <c r="G16" s="1969"/>
      <c r="H16" s="968" t="s">
        <v>219</v>
      </c>
      <c r="I16" s="969"/>
      <c r="J16" s="1967"/>
      <c r="K16" s="3379" t="s">
        <v>2563</v>
      </c>
      <c r="L16" s="3380"/>
      <c r="M16" s="3380"/>
      <c r="N16" s="3380"/>
      <c r="O16" s="3380"/>
      <c r="P16" s="3381"/>
    </row>
    <row r="17" spans="1:19" ht="15">
      <c r="A17" s="121" t="s">
        <v>216</v>
      </c>
      <c r="B17" s="122" t="s">
        <v>217</v>
      </c>
      <c r="C17" s="2281" t="s">
        <v>2310</v>
      </c>
      <c r="D17" s="108" t="s">
        <v>204</v>
      </c>
      <c r="E17" s="124" t="s">
        <v>205</v>
      </c>
      <c r="F17" s="125"/>
      <c r="G17" s="1362"/>
      <c r="H17" s="970" t="s">
        <v>218</v>
      </c>
      <c r="I17" s="971" t="s">
        <v>2309</v>
      </c>
      <c r="J17" s="1967"/>
      <c r="K17" s="3382" t="s">
        <v>2564</v>
      </c>
      <c r="L17" s="3383"/>
      <c r="M17" s="3384"/>
      <c r="N17" s="3382" t="s">
        <v>2565</v>
      </c>
      <c r="O17" s="3383"/>
      <c r="P17" s="3384"/>
      <c r="R17" s="2282" t="s">
        <v>2308</v>
      </c>
      <c r="S17" s="144"/>
    </row>
    <row r="18" spans="1:19" ht="15">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975" t="s">
        <v>3006</v>
      </c>
      <c r="D19" s="111">
        <f t="shared" ref="D19:D26" si="1">ROUND($D$3*E19/$E$3,2)</f>
        <v>10850.66</v>
      </c>
      <c r="E19" s="134">
        <f t="shared" ref="E19:E26" si="2">SUM(F19:G19)</f>
        <v>46653.79</v>
      </c>
      <c r="F19" s="135">
        <f>'数据-基础表'!I13</f>
        <v>46653.79</v>
      </c>
      <c r="G19" s="1364"/>
      <c r="H19" s="974">
        <f>ROUND($D$3*I19/$E$3,2)</f>
        <v>4470.67</v>
      </c>
      <c r="I19" s="116">
        <f>IF($I$17="自定义",P19,M19)</f>
        <v>19222.23</v>
      </c>
      <c r="J19" s="1967"/>
      <c r="K19" s="2570">
        <f t="shared" ref="K19:K26" si="3">ROUND(E$28*E19/E$27,2)</f>
        <v>16281.86</v>
      </c>
      <c r="L19" s="275">
        <f t="shared" ref="L19:L26" si="4">ROUND(IF(COUNTIF(C19,"*住宅*")&gt;0,E$29*E19/E$32,0),2)</f>
        <v>2940.37</v>
      </c>
      <c r="M19" s="2571">
        <f>K19+L19</f>
        <v>19222.23</v>
      </c>
      <c r="N19" s="2572"/>
      <c r="O19" s="2573"/>
      <c r="P19" s="2574">
        <f>N19+O19</f>
        <v>0</v>
      </c>
      <c r="R19" s="275">
        <f t="shared" ref="R19:S26" si="5">D19+H19</f>
        <v>15321.33</v>
      </c>
      <c r="S19" s="2284">
        <f t="shared" si="5"/>
        <v>65876.02</v>
      </c>
    </row>
    <row r="20" spans="1:19">
      <c r="A20" s="138"/>
      <c r="B20" s="115" t="s">
        <v>226</v>
      </c>
      <c r="C20" s="2975" t="s">
        <v>3382</v>
      </c>
      <c r="D20" s="111">
        <f t="shared" si="1"/>
        <v>10887.13</v>
      </c>
      <c r="E20" s="134">
        <f t="shared" si="2"/>
        <v>46810.61</v>
      </c>
      <c r="F20" s="135"/>
      <c r="G20" s="1364">
        <f>'数据-基础表'!K13</f>
        <v>46810.61</v>
      </c>
      <c r="H20" s="974">
        <f t="shared" ref="H20:H26" si="6">ROUND($D$3*I20/$E$3,2)</f>
        <v>3799.54</v>
      </c>
      <c r="I20" s="116">
        <f t="shared" ref="I20:I26" si="7">IF($I$17="自定义",P20,M20)</f>
        <v>16336.59</v>
      </c>
      <c r="J20" s="1967"/>
      <c r="K20" s="2570">
        <f t="shared" si="3"/>
        <v>16336.59</v>
      </c>
      <c r="L20" s="275">
        <f t="shared" si="4"/>
        <v>0</v>
      </c>
      <c r="M20" s="2571">
        <f t="shared" ref="M20:M26" si="8">K20+L20</f>
        <v>16336.59</v>
      </c>
      <c r="N20" s="2572"/>
      <c r="O20" s="2573"/>
      <c r="P20" s="2574">
        <f t="shared" ref="P20:P26" si="9">N20+O20</f>
        <v>0</v>
      </c>
      <c r="R20" s="275">
        <f t="shared" si="5"/>
        <v>14686.669999999998</v>
      </c>
      <c r="S20" s="2284">
        <f t="shared" si="5"/>
        <v>63147.199999999997</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21737.79</v>
      </c>
      <c r="E27" s="143">
        <f>IF(SUM(E19:E26)='数据-基础表'!BA5,SUM(E19:E26),IF(F27="地上面积有误","面积有误","地下面积有误"))</f>
        <v>93464.4</v>
      </c>
      <c r="F27" s="134">
        <f>IF(SUM(F19:F26)=E8,SUM(F19:F26),"地上面积有误")</f>
        <v>46653.79</v>
      </c>
      <c r="G27" s="112">
        <f>SUM(G19:G26)</f>
        <v>46810.61</v>
      </c>
      <c r="H27" s="975">
        <f>SUM(H19:H26)</f>
        <v>8270.2099999999991</v>
      </c>
      <c r="I27" s="976">
        <f>SUM(I19:I26)</f>
        <v>35558.82</v>
      </c>
      <c r="J27" s="1967"/>
      <c r="K27" s="2579">
        <f>SUM(K19:K26)</f>
        <v>32618.45</v>
      </c>
      <c r="L27" s="2580">
        <f>SUM(L19:L26)</f>
        <v>2940.37</v>
      </c>
      <c r="M27" s="2581">
        <f>SUM(M19:M26)</f>
        <v>35558.82</v>
      </c>
      <c r="N27" s="2579">
        <f t="shared" ref="N27:O27" si="10">SUM(N19:N26)</f>
        <v>0</v>
      </c>
      <c r="O27" s="2580">
        <f t="shared" si="10"/>
        <v>0</v>
      </c>
      <c r="P27" s="2582">
        <f>SUM(P19:P26)</f>
        <v>0</v>
      </c>
      <c r="R27" s="2288">
        <f>IF(SUM(R19:R26)=$D$3,SUM(R19:R26),SUM(R19:R26)&amp;"误差"&amp;ROUND(SUM(R19:R26)-$D$3,2))</f>
        <v>30008</v>
      </c>
      <c r="S27" s="275">
        <f>IF(SUM(S19:S26)=$E$3,SUM(S19:S26),SUM(S19:S26)&amp;"误差"&amp;ROUND(SUM(S19:S26)-E3,2))</f>
        <v>129023.22</v>
      </c>
    </row>
    <row r="28" spans="1:19">
      <c r="A28" s="138"/>
      <c r="B28" s="115" t="s">
        <v>227</v>
      </c>
      <c r="C28" s="136" t="s">
        <v>228</v>
      </c>
      <c r="D28" s="111">
        <f>ROUND($D$3*E28/$E$3,2)</f>
        <v>7586.34</v>
      </c>
      <c r="E28" s="134">
        <f>SUM(F28:G28)</f>
        <v>32618.45</v>
      </c>
      <c r="F28" s="144">
        <f>'数据-基础表'!BQ5+'数据-基础表'!BS5</f>
        <v>1019.33</v>
      </c>
      <c r="G28" s="145">
        <f>'数据-基础表'!BR5+'数据-基础表'!BT5</f>
        <v>31599.119999999999</v>
      </c>
      <c r="H28" s="1967"/>
      <c r="I28" s="1967"/>
      <c r="J28" s="1967"/>
      <c r="K28" s="1967"/>
      <c r="L28" s="1967"/>
    </row>
    <row r="29" spans="1:19">
      <c r="A29" s="138"/>
      <c r="B29" s="115" t="s">
        <v>227</v>
      </c>
      <c r="C29" s="2296" t="s">
        <v>2317</v>
      </c>
      <c r="D29" s="111">
        <f>ROUND($D$3*E29/$E$3,2)</f>
        <v>683.87</v>
      </c>
      <c r="E29" s="134">
        <f>SUM(F29:G29)</f>
        <v>2940.37</v>
      </c>
      <c r="F29" s="144">
        <f>'数据-基础表'!BM5+'数据-基础表'!BO5</f>
        <v>2940.37</v>
      </c>
      <c r="G29" s="146">
        <f>'数据-基础表'!BN5+'数据-基础表'!BP5</f>
        <v>0</v>
      </c>
      <c r="H29" s="1967"/>
      <c r="I29" s="1967"/>
      <c r="J29" s="1967"/>
      <c r="K29" s="1967"/>
      <c r="L29" s="1967"/>
    </row>
    <row r="30" spans="1:19">
      <c r="A30" s="138"/>
      <c r="B30" s="111"/>
      <c r="C30" s="147" t="s">
        <v>215</v>
      </c>
      <c r="D30" s="134">
        <f>SUM(D28:D29)</f>
        <v>8270.2100000000009</v>
      </c>
      <c r="E30" s="134">
        <f>SUM(E28:E29)</f>
        <v>35558.82</v>
      </c>
      <c r="F30" s="134">
        <f>SUM(F28:F29)</f>
        <v>3959.7</v>
      </c>
      <c r="G30" s="112">
        <f>SUM(G28:G29)</f>
        <v>31599.119999999999</v>
      </c>
      <c r="H30" s="1967"/>
      <c r="I30" s="1967"/>
      <c r="J30" s="1967"/>
      <c r="K30" s="1967"/>
      <c r="L30" s="1967"/>
    </row>
    <row r="31" spans="1:19" ht="32.25" customHeight="1" thickBot="1">
      <c r="A31" s="1366"/>
      <c r="B31" s="1367" t="s">
        <v>229</v>
      </c>
      <c r="C31" s="2313" t="s">
        <v>2319</v>
      </c>
      <c r="D31" s="1368">
        <f>D27+D30</f>
        <v>30008</v>
      </c>
      <c r="E31" s="1368">
        <f>E27+E30</f>
        <v>129023.22</v>
      </c>
      <c r="F31" s="1369">
        <f>F27+F30</f>
        <v>50613.49</v>
      </c>
      <c r="G31" s="1370">
        <f>G27+G30</f>
        <v>78409.73</v>
      </c>
      <c r="H31" s="1967"/>
      <c r="I31" s="1967"/>
      <c r="J31" s="1967"/>
      <c r="K31" s="1967"/>
      <c r="L31" s="1967"/>
    </row>
    <row r="32" spans="1:19">
      <c r="A32" s="1967"/>
      <c r="B32" s="2325" t="s">
        <v>2318</v>
      </c>
      <c r="C32" s="2609"/>
      <c r="D32" s="1197"/>
      <c r="E32" s="1197">
        <f>SUMIF(C19:C26,"*住宅*",E19:E26)</f>
        <v>46653.79</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33.78</v>
      </c>
      <c r="G6" s="175">
        <f>IF(ISERROR(ROUND(POWER(1+H6,D6-F6)*(POWER(1+H6,F6)-1)/(POWER(1+H6,D6)-1),3)),0,ROUND(POWER(1+H6,D6-F6)*(POWER(1+H6,F6)-1)/(POWER(1+H6,D6)-1),3))</f>
        <v>0.88500000000000001</v>
      </c>
      <c r="H6" s="2976">
        <v>0.05</v>
      </c>
      <c r="I6" s="2976">
        <v>5.5E-2</v>
      </c>
      <c r="J6" s="176">
        <v>8.5000000000000006E-2</v>
      </c>
      <c r="K6" s="179">
        <f>SUMIF('数据-汇总表'!C$19:C$33,'数据-取费表'!A6,'数据-汇总表'!E$19:E$33)</f>
        <v>46653.79</v>
      </c>
      <c r="L6" s="3273">
        <v>2800</v>
      </c>
      <c r="M6" s="177">
        <f t="shared" ref="M6:M14" si="0">ROUND(K6*L6/10000,0)</f>
        <v>13063</v>
      </c>
      <c r="N6" s="2978">
        <v>0</v>
      </c>
      <c r="O6" s="177">
        <f>IF($N$5="成新度","——",ROUND(M6*N6,0))</f>
        <v>0</v>
      </c>
      <c r="P6" s="178">
        <f>IF($N$5="成新度","——",M6-O6)</f>
        <v>13063</v>
      </c>
      <c r="Q6" s="2979">
        <v>0.15</v>
      </c>
      <c r="R6" s="179">
        <f>SUMIF('数据-汇总表'!C$19:C$33,A6,'数据-汇总表'!R$19:R$33)</f>
        <v>15321.33</v>
      </c>
      <c r="S6" s="132">
        <f>IF('数据-汇总表'!$I$17="按面积比例",SUMIF('数据-汇总表'!C$19:C$33,A6,'数据-汇总表'!K$19:K$33),SUMIF('数据-汇总表'!C$19:C$33,A6,'数据-汇总表'!N$19:N$33))</f>
        <v>16281.86</v>
      </c>
      <c r="T6" s="2217">
        <f>IF($T$4="按面积比例",IF(ISERROR(ROUND($M$14*S6/S$16,0)),"0",ROUND($M$14*S6/S$16,0)),"需自行计算录入")</f>
        <v>3257</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0.80800000000000005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3270</v>
      </c>
      <c r="D7" s="2291">
        <f>SUMIF(项目基本情况!D$15:I$15,C7,项目基本情况!D$18:I$18)</f>
        <v>40</v>
      </c>
      <c r="E7" s="2292">
        <f>IF(B7="","",SUMIF(项目基本情况!D$15:I$15,C7,项目基本情况!D$17:I$17))</f>
        <v>52327</v>
      </c>
      <c r="F7" s="174">
        <f>SUMIF(项目基本情况!D$15:I$15,C7,项目基本情况!D$19:I$19)</f>
        <v>23.77</v>
      </c>
      <c r="G7" s="175">
        <f t="shared" ref="G7:G11" si="2">IF(ISERROR(ROUND(POWER(1+H7,D7-F7)*(POWER(1+H7,F7)-1)/(POWER(1+H7,D7)-1),3)),0,ROUND(POWER(1+H7,D7-F7)*(POWER(1+H7,F7)-1)/(POWER(1+H7,D7)-1),3))</f>
        <v>0.76600000000000001</v>
      </c>
      <c r="H7" s="2976">
        <v>0.04</v>
      </c>
      <c r="I7" s="2976">
        <v>4.4999999999999998E-2</v>
      </c>
      <c r="J7" s="176">
        <v>8.5000000000000006E-2</v>
      </c>
      <c r="K7" s="179">
        <f>SUMIF('数据-汇总表'!C$19:C$33,'数据-取费表'!A7,'数据-汇总表'!E$19:E$33)</f>
        <v>46810.61</v>
      </c>
      <c r="L7" s="2977">
        <v>2000</v>
      </c>
      <c r="M7" s="177">
        <f t="shared" si="0"/>
        <v>9362</v>
      </c>
      <c r="N7" s="2978">
        <v>0</v>
      </c>
      <c r="O7" s="177">
        <f t="shared" ref="O7:O14" si="3">IF($N$5="成新度","——",ROUND(M7*N7,0))</f>
        <v>0</v>
      </c>
      <c r="P7" s="178">
        <f t="shared" ref="P7:P14" si="4">IF($N$5="成新度","——",M7-O7)</f>
        <v>9362</v>
      </c>
      <c r="Q7" s="2979">
        <v>0.03</v>
      </c>
      <c r="R7" s="179">
        <f>SUMIF('数据-汇总表'!C$19:C$33,A7,'数据-汇总表'!R$19:R$33)</f>
        <v>14686.669999999998</v>
      </c>
      <c r="S7" s="132">
        <f>IF('数据-汇总表'!$I$17="按面积比例",SUMIF('数据-汇总表'!C$19:C$33,A7,'数据-汇总表'!K$19:K$33),SUMIF('数据-汇总表'!C$19:C$33,A7,'数据-汇总表'!N$19:N$33))</f>
        <v>16336.59</v>
      </c>
      <c r="T7" s="2217">
        <f t="shared" ref="T7:T13" si="5">IF($T$4="按面积比例",IF(ISERROR(ROUND($M$14*S7/S$16,0)),"0",ROUND($M$14*S7/S$16,0)),"需自行计算录入")</f>
        <v>3267</v>
      </c>
      <c r="U7" s="3272">
        <v>0.8</v>
      </c>
      <c r="V7" s="181">
        <v>2.5000000000000001E-2</v>
      </c>
      <c r="W7" s="181">
        <v>0.1</v>
      </c>
      <c r="X7" s="2304"/>
      <c r="Y7" s="182">
        <v>1</v>
      </c>
      <c r="Z7" s="183"/>
      <c r="AA7" s="176"/>
      <c r="AB7" s="176"/>
      <c r="AC7" s="2307"/>
      <c r="AD7" s="184"/>
      <c r="AE7" s="972">
        <f t="shared" ref="AE7:AE13" ca="1" si="6">IF(AN7="",0,SUMIF(INDIRECT("'"&amp;AN7&amp;"'"&amp;"!E:E"),$AE$5,INDIRECT("'"&amp;AN7&amp;"'"&amp;"!F:F")))</f>
        <v>22.77</v>
      </c>
      <c r="AF7" s="141"/>
      <c r="AG7" s="1209">
        <f t="shared" ref="AG7:AG13" si="7">IF(AF7="",0,AE7-AF7)</f>
        <v>0</v>
      </c>
      <c r="AH7" s="141">
        <v>1377</v>
      </c>
      <c r="AI7" s="187">
        <v>365</v>
      </c>
      <c r="AJ7" s="188"/>
      <c r="AK7" s="189">
        <v>1.4999999999999999E-2</v>
      </c>
      <c r="AL7" s="190">
        <v>1.5E-3</v>
      </c>
      <c r="AM7" s="2352">
        <v>0.01</v>
      </c>
      <c r="AN7" s="2354" t="s">
        <v>3384</v>
      </c>
      <c r="AO7" s="1983"/>
      <c r="AP7" s="1200">
        <f t="shared" ref="AP7:AP13" si="8">ROUND(1-1/(1+H7)^F7,3)</f>
        <v>0.60599999999999998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32618.45</v>
      </c>
      <c r="L14" s="193">
        <v>2000</v>
      </c>
      <c r="M14" s="177">
        <f t="shared" si="0"/>
        <v>6524</v>
      </c>
      <c r="N14" s="194">
        <v>0</v>
      </c>
      <c r="O14" s="177">
        <f t="shared" si="3"/>
        <v>0</v>
      </c>
      <c r="P14" s="178">
        <f t="shared" si="4"/>
        <v>6524</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2940.37</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0.82499999999999996</v>
      </c>
      <c r="H16" s="203">
        <f>ROUND(SUMPRODUCT(H6:H13,K6:K13)/SUMPRODUCT((H6:H13&gt;0)*(K6:K13)),3)</f>
        <v>4.4999999999999998E-2</v>
      </c>
      <c r="I16" s="204"/>
      <c r="J16" s="204"/>
      <c r="K16" s="205">
        <f>SUM(K6:K15)</f>
        <v>129023.21999999999</v>
      </c>
      <c r="L16" s="206">
        <f>ROUND(M16*10000/SUM(K6:K14),0)</f>
        <v>2296</v>
      </c>
      <c r="M16" s="206">
        <f>SUM(M6:M14)</f>
        <v>28949</v>
      </c>
      <c r="N16" s="207">
        <f>ROUND(SUMPRODUCT(M6:M14,N6:N14)/M16,3)</f>
        <v>0</v>
      </c>
      <c r="O16" s="206">
        <f>SUM(O6:O14)</f>
        <v>0</v>
      </c>
      <c r="P16" s="206">
        <f>SUM(P6:P14)</f>
        <v>28949</v>
      </c>
      <c r="Q16" s="208">
        <f>ROUND(SUMPRODUCT(Q6:Q13,K6:K13)/SUMPRODUCT((Q6:Q13&gt;0)*(K6:K13)),2)</f>
        <v>0.09</v>
      </c>
      <c r="R16" s="2294">
        <f>SUM(R6:R13)</f>
        <v>30008</v>
      </c>
      <c r="S16" s="209">
        <f>SUM(S6:S13)</f>
        <v>32618.45</v>
      </c>
      <c r="T16" s="210">
        <f>IF(SUMIF(T6:T13,"&lt;9E307")=M14,SUMIF(T6:T13,"&lt;9E307"),"有误，请检查")</f>
        <v>6524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0.70699999999999996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94" t="s">
        <v>1663</v>
      </c>
      <c r="B1" s="3395"/>
      <c r="C1" s="3395"/>
      <c r="D1" s="3395"/>
      <c r="E1" s="3395"/>
      <c r="F1" s="3395"/>
      <c r="G1" s="3395"/>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3007</v>
      </c>
      <c r="D3" s="1992"/>
      <c r="E3" s="1225" t="s">
        <v>1666</v>
      </c>
      <c r="F3" s="1226" t="s">
        <v>1654</v>
      </c>
      <c r="G3" s="3032" t="s">
        <v>2913</v>
      </c>
      <c r="H3" s="1991"/>
      <c r="I3" s="1991"/>
      <c r="J3" s="1991"/>
      <c r="K3" s="1991"/>
      <c r="L3" s="1991"/>
      <c r="M3" s="1991"/>
      <c r="N3" s="1991"/>
      <c r="O3" s="1991"/>
      <c r="P3" s="1991"/>
      <c r="Q3" s="1991"/>
      <c r="R3" s="1991"/>
    </row>
    <row r="4" spans="1:18" ht="67.5">
      <c r="A4" s="1225"/>
      <c r="B4" s="1227" t="s">
        <v>1667</v>
      </c>
      <c r="C4" s="3187" t="s">
        <v>3008</v>
      </c>
      <c r="D4" s="1992"/>
      <c r="E4" s="1228"/>
      <c r="F4" s="1229" t="s">
        <v>1668</v>
      </c>
      <c r="G4" s="3031" t="s">
        <v>2910</v>
      </c>
      <c r="H4" s="1991"/>
      <c r="I4" s="1991"/>
      <c r="J4" s="1991"/>
      <c r="K4" s="1991"/>
      <c r="L4" s="1991"/>
      <c r="M4" s="1991"/>
      <c r="N4" s="1991"/>
      <c r="O4" s="1991"/>
      <c r="P4" s="1991"/>
      <c r="Q4" s="1991"/>
      <c r="R4" s="1991"/>
    </row>
    <row r="5" spans="1:18" ht="40.5">
      <c r="A5" s="1225"/>
      <c r="B5" s="1227" t="s">
        <v>1669</v>
      </c>
      <c r="C5" s="3187" t="s">
        <v>3009</v>
      </c>
      <c r="D5" s="1992"/>
      <c r="E5" s="1228"/>
      <c r="F5" s="1227" t="s">
        <v>2543</v>
      </c>
      <c r="G5" s="3031" t="s">
        <v>2911</v>
      </c>
      <c r="H5" s="1991"/>
      <c r="I5" s="1991"/>
      <c r="J5" s="1991"/>
      <c r="K5" s="1991"/>
      <c r="L5" s="1991"/>
      <c r="M5" s="1991"/>
      <c r="N5" s="1991"/>
      <c r="O5" s="1991"/>
      <c r="P5" s="1991"/>
      <c r="Q5" s="1991"/>
      <c r="R5" s="1991"/>
    </row>
    <row r="6" spans="1:18" ht="67.5">
      <c r="A6" s="1225"/>
      <c r="B6" s="1227" t="s">
        <v>1655</v>
      </c>
      <c r="C6" s="3188" t="s">
        <v>3010</v>
      </c>
      <c r="D6" s="1992"/>
      <c r="E6" s="1228"/>
      <c r="F6" s="1227" t="s">
        <v>2544</v>
      </c>
      <c r="G6" s="3031" t="s">
        <v>2909</v>
      </c>
      <c r="H6" s="1991"/>
      <c r="I6" s="1991"/>
      <c r="J6" s="1991"/>
      <c r="K6" s="1991"/>
      <c r="L6" s="1991"/>
      <c r="M6" s="1991"/>
      <c r="N6" s="1991"/>
      <c r="O6" s="1991"/>
      <c r="P6" s="1991"/>
      <c r="Q6" s="1991"/>
      <c r="R6" s="1991"/>
    </row>
    <row r="7" spans="1:18" ht="41.25" thickBot="1">
      <c r="A7" s="1225"/>
      <c r="B7" s="1227" t="s">
        <v>2543</v>
      </c>
      <c r="C7" s="3188" t="s">
        <v>3011</v>
      </c>
      <c r="D7" s="1993"/>
      <c r="E7" s="1230"/>
      <c r="F7" s="1231" t="s">
        <v>1670</v>
      </c>
      <c r="G7" s="3033" t="s">
        <v>2912</v>
      </c>
      <c r="H7" s="1991"/>
      <c r="I7" s="1991"/>
      <c r="J7" s="1991"/>
      <c r="K7" s="1991"/>
      <c r="L7" s="1991"/>
      <c r="M7" s="1991"/>
      <c r="N7" s="1991"/>
      <c r="O7" s="1991"/>
      <c r="P7" s="1991"/>
      <c r="Q7" s="1991"/>
      <c r="R7" s="1991"/>
    </row>
    <row r="8" spans="1:18" ht="27">
      <c r="A8" s="1225"/>
      <c r="B8" s="1227" t="s">
        <v>2544</v>
      </c>
      <c r="C8" s="3188" t="s">
        <v>3012</v>
      </c>
      <c r="D8" s="1993"/>
      <c r="E8" s="1993"/>
      <c r="F8" s="1540"/>
      <c r="G8" s="1540"/>
      <c r="H8" s="1991"/>
      <c r="I8" s="1991"/>
      <c r="J8" s="1991"/>
      <c r="K8" s="1991"/>
      <c r="L8" s="1991"/>
      <c r="M8" s="1991"/>
      <c r="N8" s="1991"/>
      <c r="O8" s="1991"/>
      <c r="P8" s="1991"/>
      <c r="Q8" s="1991"/>
      <c r="R8" s="1991"/>
    </row>
    <row r="9" spans="1:18" ht="94.5">
      <c r="A9" s="1225"/>
      <c r="B9" s="1227" t="s">
        <v>1656</v>
      </c>
      <c r="C9" s="3187" t="s">
        <v>3013</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3014</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3015</v>
      </c>
      <c r="D19" s="1992"/>
      <c r="E19" s="2548"/>
      <c r="F19" s="1227" t="s">
        <v>2543</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7">
      <c r="A21" s="2551"/>
      <c r="B21" s="1227" t="s">
        <v>2543</v>
      </c>
      <c r="C21" s="1005" t="str">
        <f>C7</f>
        <v>估价对象所在区域公共配套设施齐备情况较好。</v>
      </c>
      <c r="D21" s="1992"/>
      <c r="E21" s="2548"/>
      <c r="F21" s="1243" t="s">
        <v>1661</v>
      </c>
      <c r="G21" s="3034"/>
    </row>
    <row r="22" spans="1:7" ht="27">
      <c r="A22" s="2551"/>
      <c r="B22" s="1227" t="s">
        <v>2544</v>
      </c>
      <c r="C22" s="1005" t="str">
        <f>C8</f>
        <v>估价对象所在区域基础设施水平达“六通”。</v>
      </c>
      <c r="D22" s="1992"/>
      <c r="E22" s="2548"/>
      <c r="F22" s="1243" t="s">
        <v>1671</v>
      </c>
      <c r="G22" s="2748"/>
    </row>
    <row r="23" spans="1:7" ht="15" thickBot="1">
      <c r="A23" s="2551"/>
      <c r="B23" s="1243" t="s">
        <v>1661</v>
      </c>
      <c r="C23" s="3034" t="s">
        <v>3016</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customWidth="1"/>
  </cols>
  <sheetData>
    <row r="1" spans="1:9" ht="16.5">
      <c r="A1" s="2995" t="s">
        <v>2840</v>
      </c>
      <c r="B1" s="2995">
        <f>SUM(B14:B23)</f>
        <v>655589.37000000011</v>
      </c>
      <c r="C1" s="2996"/>
      <c r="D1" s="2996"/>
      <c r="E1" s="2996"/>
      <c r="F1" s="2996"/>
    </row>
    <row r="2" spans="1:9" ht="16.5">
      <c r="A2" s="2995" t="s">
        <v>2841</v>
      </c>
      <c r="B2" s="2995">
        <f>SUM(C14:C23)</f>
        <v>126399</v>
      </c>
      <c r="C2" s="2996"/>
      <c r="D2" s="2996"/>
      <c r="E2" s="2996"/>
      <c r="F2" s="2996"/>
    </row>
    <row r="3" spans="1:9" ht="16.5">
      <c r="A3" s="2995" t="s">
        <v>2842</v>
      </c>
      <c r="B3" s="2997">
        <f>项目基本情况!D3</f>
        <v>43650</v>
      </c>
      <c r="C3" s="2996"/>
      <c r="D3" s="2996"/>
      <c r="E3" s="2996"/>
      <c r="F3" s="2996"/>
    </row>
    <row r="4" spans="1:9" ht="33">
      <c r="A4" s="2995" t="s">
        <v>2843</v>
      </c>
      <c r="B4" s="2995" t="s">
        <v>2844</v>
      </c>
      <c r="C4" s="2995" t="s">
        <v>2845</v>
      </c>
      <c r="D4" s="2995" t="s">
        <v>2846</v>
      </c>
      <c r="E4" s="2996"/>
      <c r="F4" s="2996"/>
    </row>
    <row r="5" spans="1:9" ht="16.5">
      <c r="A5" s="2995" t="s">
        <v>2847</v>
      </c>
      <c r="B5" s="2995">
        <f ca="1">SUM(D14:D23)</f>
        <v>617180</v>
      </c>
      <c r="C5" s="2995">
        <f ca="1">ROUND(B5*10000/$B$1,0)</f>
        <v>9414</v>
      </c>
      <c r="D5" s="2995">
        <f ca="1">ROUND(B5*10000/$B$2,0)</f>
        <v>48828</v>
      </c>
      <c r="E5" s="2996"/>
      <c r="F5" s="2996"/>
    </row>
    <row r="6" spans="1:9" ht="16.5">
      <c r="A6" s="2995" t="s">
        <v>2848</v>
      </c>
      <c r="B6" s="2995">
        <f ca="1">SUM(G14:G23)</f>
        <v>89938</v>
      </c>
      <c r="C6" s="2995">
        <f t="shared" ref="C6:C8" ca="1" si="0">ROUND(B6*10000/$B$1,0)</f>
        <v>1372</v>
      </c>
      <c r="D6" s="2995">
        <f t="shared" ref="D6:D8" ca="1" si="1">ROUND(B6*10000/$B$2,0)</f>
        <v>7115</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129023.22</v>
      </c>
      <c r="C14" s="2999">
        <f>结果表!K38</f>
        <v>30008</v>
      </c>
      <c r="D14" s="2999">
        <f ca="1">结果表!C42</f>
        <v>89938</v>
      </c>
      <c r="E14" s="2999">
        <f ca="1">ROUND(D14*10000/B14,0)</f>
        <v>6971</v>
      </c>
      <c r="F14" s="2999">
        <f ca="1">ROUND(D14*10000/C14,0)</f>
        <v>29971</v>
      </c>
      <c r="G14" s="2999">
        <f ca="1">结果表!C44</f>
        <v>89938</v>
      </c>
      <c r="H14" s="2999" t="str">
        <f>结果表!C45</f>
        <v>——</v>
      </c>
      <c r="I14" s="2999" t="str">
        <f>结果表!C46</f>
        <v>——</v>
      </c>
    </row>
    <row r="15" spans="1:9" ht="16.5">
      <c r="A15" s="3002" t="s">
        <v>2857</v>
      </c>
      <c r="B15" s="3003">
        <f>[1]系统读取表!$B$14</f>
        <v>21651.51</v>
      </c>
      <c r="C15" s="3003">
        <f>[1]系统读取表!$C$14</f>
        <v>6862</v>
      </c>
      <c r="D15" s="3003">
        <f>[1]系统读取表!$D$14</f>
        <v>26928</v>
      </c>
      <c r="E15" s="2999">
        <f t="shared" ref="E15:E23" si="2">ROUND(D15*10000/B15,0)</f>
        <v>12437</v>
      </c>
      <c r="F15" s="2999">
        <f t="shared" ref="F15:F23" si="3">ROUND(D15*10000/C15,0)</f>
        <v>39242</v>
      </c>
      <c r="G15" s="3000"/>
      <c r="H15" s="3000"/>
      <c r="I15" s="3003"/>
    </row>
    <row r="16" spans="1:9" ht="16.5">
      <c r="A16" s="3002" t="s">
        <v>2858</v>
      </c>
      <c r="B16" s="3003">
        <f>[2]系统读取表!$B$14</f>
        <v>29984.600000000002</v>
      </c>
      <c r="C16" s="3003">
        <f>[2]系统读取表!$C$14</f>
        <v>9503</v>
      </c>
      <c r="D16" s="3003">
        <f>[2]系统读取表!$D$14</f>
        <v>37173</v>
      </c>
      <c r="E16" s="2999">
        <f t="shared" si="2"/>
        <v>12397</v>
      </c>
      <c r="F16" s="2999">
        <f t="shared" si="3"/>
        <v>39117</v>
      </c>
      <c r="G16" s="3000"/>
      <c r="H16" s="3000"/>
      <c r="I16" s="3003"/>
    </row>
    <row r="17" spans="1:9" ht="16.5">
      <c r="A17" s="3002" t="s">
        <v>2859</v>
      </c>
      <c r="B17" s="3003">
        <f>[3]系统读取表!$B$14</f>
        <v>11683.42</v>
      </c>
      <c r="C17" s="3003">
        <f>[3]系统读取表!$C$14</f>
        <v>6822</v>
      </c>
      <c r="D17" s="3003">
        <f>[3]系统读取表!$D$14</f>
        <v>12774</v>
      </c>
      <c r="E17" s="2999">
        <f t="shared" si="2"/>
        <v>10933</v>
      </c>
      <c r="F17" s="2999">
        <f t="shared" si="3"/>
        <v>18725</v>
      </c>
      <c r="G17" s="3000"/>
      <c r="H17" s="3000"/>
      <c r="I17" s="3003"/>
    </row>
    <row r="18" spans="1:9" ht="16.5">
      <c r="A18" s="3002" t="s">
        <v>2860</v>
      </c>
      <c r="B18" s="3003">
        <f>[4]系统读取表!$B$14</f>
        <v>48248.6</v>
      </c>
      <c r="C18" s="3003">
        <f>[4]系统读取表!$C$14</f>
        <v>7667</v>
      </c>
      <c r="D18" s="3003">
        <f>[4]系统读取表!$D$14</f>
        <v>40092</v>
      </c>
      <c r="E18" s="2999">
        <f t="shared" si="2"/>
        <v>8309</v>
      </c>
      <c r="F18" s="2999">
        <f t="shared" si="3"/>
        <v>52292</v>
      </c>
      <c r="G18" s="3003"/>
      <c r="H18" s="3003"/>
      <c r="I18" s="3003"/>
    </row>
    <row r="19" spans="1:9" ht="16.5">
      <c r="A19" s="3002" t="s">
        <v>2861</v>
      </c>
      <c r="B19" s="3003">
        <f>[5]系统读取表!$B$14</f>
        <v>397482.02</v>
      </c>
      <c r="C19" s="3003">
        <f>[5]系统读取表!$C$14</f>
        <v>56779</v>
      </c>
      <c r="D19" s="3003">
        <f>[5]系统读取表!$D$14</f>
        <v>396528</v>
      </c>
      <c r="E19" s="2999">
        <f t="shared" si="2"/>
        <v>9976</v>
      </c>
      <c r="F19" s="2999">
        <f t="shared" si="3"/>
        <v>69837</v>
      </c>
      <c r="G19" s="3003"/>
      <c r="H19" s="3003"/>
      <c r="I19" s="3003"/>
    </row>
    <row r="20" spans="1:9" ht="16.5">
      <c r="A20" s="3002" t="s">
        <v>2862</v>
      </c>
      <c r="B20" s="3003">
        <f>[6]系统读取表!$B$14</f>
        <v>17516</v>
      </c>
      <c r="C20" s="3003">
        <f>[6]系统读取表!$C$14</f>
        <v>8758</v>
      </c>
      <c r="D20" s="3003">
        <f>[6]系统读取表!$D$14</f>
        <v>13747</v>
      </c>
      <c r="E20" s="2999">
        <f t="shared" si="2"/>
        <v>7848</v>
      </c>
      <c r="F20" s="2999">
        <f t="shared" si="3"/>
        <v>15697</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3387</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36" t="str">
        <f>项目基本情况!K2</f>
        <v>重庆市南岸区涂山镇石溪路出让国有建设用地使用权</v>
      </c>
      <c r="B2" s="3437"/>
      <c r="C2" s="3438"/>
      <c r="D2" s="3438"/>
      <c r="E2" s="3438"/>
      <c r="F2" s="3438"/>
      <c r="G2" s="3437"/>
      <c r="H2" s="3437"/>
      <c r="I2" s="3439"/>
      <c r="J2" s="2013"/>
      <c r="K2" s="2012"/>
      <c r="L2" s="2012"/>
      <c r="M2" s="2012"/>
      <c r="N2" s="2012"/>
      <c r="O2" s="2012"/>
      <c r="P2" s="2012"/>
      <c r="Q2" s="2012"/>
      <c r="R2" s="2012"/>
      <c r="S2" s="2012"/>
      <c r="T2" s="2012"/>
      <c r="U2" s="2012"/>
      <c r="V2" s="2012"/>
    </row>
    <row r="3" spans="1:22" ht="14.25">
      <c r="A3" s="3428" t="s">
        <v>298</v>
      </c>
      <c r="B3" s="3429"/>
      <c r="C3" s="3429"/>
      <c r="D3" s="3429"/>
      <c r="E3" s="3429"/>
      <c r="F3" s="3429"/>
      <c r="G3" s="3429"/>
      <c r="H3" s="3429"/>
      <c r="I3" s="3429"/>
      <c r="J3" s="2013"/>
      <c r="K3" s="2012"/>
      <c r="L3" s="2012"/>
      <c r="M3" s="2012"/>
      <c r="N3" s="2012"/>
      <c r="O3" s="2012"/>
      <c r="P3" s="2012"/>
      <c r="Q3" s="2012"/>
      <c r="R3" s="2012"/>
      <c r="S3" s="2012"/>
      <c r="T3" s="2012"/>
      <c r="U3" s="2012"/>
      <c r="V3" s="2012"/>
    </row>
    <row r="4" spans="1:22" ht="14.25">
      <c r="A4" s="258" t="s">
        <v>299</v>
      </c>
      <c r="B4" s="259" t="s">
        <v>300</v>
      </c>
      <c r="C4" s="260" t="s">
        <v>3388</v>
      </c>
      <c r="D4" s="260" t="s">
        <v>3389</v>
      </c>
      <c r="E4" s="3397" t="s">
        <v>301</v>
      </c>
      <c r="F4" s="3398"/>
      <c r="G4" s="3398"/>
      <c r="H4" s="3398"/>
      <c r="I4" s="3431"/>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96" t="s">
        <v>302</v>
      </c>
      <c r="B5" s="3422">
        <v>25</v>
      </c>
      <c r="C5" s="3420"/>
      <c r="D5" s="3427"/>
      <c r="E5" s="261" t="s">
        <v>303</v>
      </c>
      <c r="F5" s="262"/>
      <c r="G5" s="262"/>
      <c r="H5" s="262"/>
      <c r="I5" s="263"/>
      <c r="J5" s="2013"/>
      <c r="K5" s="2012"/>
      <c r="L5" s="2012"/>
      <c r="M5" s="2012"/>
      <c r="N5" s="2012"/>
      <c r="O5" s="2012"/>
      <c r="P5" s="2012"/>
      <c r="Q5" s="2012"/>
      <c r="R5" s="2012"/>
      <c r="S5" s="2012"/>
      <c r="T5" s="2012"/>
      <c r="U5" s="2012"/>
      <c r="V5" s="2012"/>
    </row>
    <row r="6" spans="1:22" ht="14.25">
      <c r="A6" s="3396"/>
      <c r="B6" s="3422"/>
      <c r="C6" s="3430"/>
      <c r="D6" s="3427"/>
      <c r="E6" s="261" t="s">
        <v>304</v>
      </c>
      <c r="F6" s="262"/>
      <c r="G6" s="262"/>
      <c r="H6" s="262"/>
      <c r="I6" s="263"/>
      <c r="J6" s="2013"/>
      <c r="K6" s="2012"/>
      <c r="L6" s="2012"/>
      <c r="M6" s="2012"/>
      <c r="N6" s="2012"/>
      <c r="O6" s="2012"/>
      <c r="P6" s="2012"/>
      <c r="Q6" s="2012"/>
      <c r="R6" s="2012"/>
      <c r="S6" s="2012"/>
      <c r="T6" s="2012"/>
      <c r="U6" s="2012"/>
      <c r="V6" s="2012"/>
    </row>
    <row r="7" spans="1:22" ht="14.25">
      <c r="A7" s="3396"/>
      <c r="B7" s="3422"/>
      <c r="C7" s="3421"/>
      <c r="D7" s="3427"/>
      <c r="E7" s="261" t="s">
        <v>305</v>
      </c>
      <c r="F7" s="262"/>
      <c r="G7" s="262"/>
      <c r="H7" s="262"/>
      <c r="I7" s="263"/>
      <c r="J7" s="2013"/>
      <c r="K7" s="2012"/>
      <c r="L7" s="2012"/>
      <c r="M7" s="2012"/>
      <c r="N7" s="2012"/>
      <c r="O7" s="2012"/>
      <c r="P7" s="2012"/>
      <c r="Q7" s="2012"/>
      <c r="R7" s="2012"/>
      <c r="S7" s="2012"/>
      <c r="T7" s="2012"/>
      <c r="U7" s="2012"/>
      <c r="V7" s="2012"/>
    </row>
    <row r="8" spans="1:22" ht="14.25">
      <c r="A8" s="3396" t="s">
        <v>306</v>
      </c>
      <c r="B8" s="3422">
        <v>15</v>
      </c>
      <c r="C8" s="3420"/>
      <c r="D8" s="3427"/>
      <c r="E8" s="261" t="s">
        <v>307</v>
      </c>
      <c r="F8" s="262"/>
      <c r="G8" s="262"/>
      <c r="H8" s="262"/>
      <c r="I8" s="263"/>
      <c r="J8" s="2013"/>
      <c r="K8" s="2012"/>
      <c r="L8" s="2012"/>
      <c r="M8" s="2012"/>
      <c r="N8" s="2012"/>
      <c r="O8" s="2012"/>
      <c r="P8" s="2012"/>
      <c r="Q8" s="2012"/>
      <c r="R8" s="2012"/>
      <c r="S8" s="2012"/>
      <c r="T8" s="2012"/>
      <c r="U8" s="2012"/>
      <c r="V8" s="2012"/>
    </row>
    <row r="9" spans="1:22" ht="14.25">
      <c r="A9" s="3396"/>
      <c r="B9" s="3422"/>
      <c r="C9" s="3421"/>
      <c r="D9" s="3427"/>
      <c r="E9" s="261" t="s">
        <v>308</v>
      </c>
      <c r="F9" s="262"/>
      <c r="G9" s="262"/>
      <c r="H9" s="262"/>
      <c r="I9" s="263"/>
      <c r="J9" s="2013"/>
      <c r="K9" s="2012"/>
      <c r="L9" s="2012"/>
      <c r="M9" s="2012"/>
      <c r="N9" s="2012"/>
      <c r="O9" s="2012"/>
      <c r="P9" s="2012"/>
      <c r="Q9" s="2012"/>
      <c r="R9" s="2012"/>
      <c r="S9" s="2012"/>
      <c r="T9" s="2012"/>
      <c r="U9" s="2012"/>
      <c r="V9" s="2012"/>
    </row>
    <row r="10" spans="1:22" ht="14.25">
      <c r="A10" s="3396" t="s">
        <v>309</v>
      </c>
      <c r="B10" s="3422">
        <v>15</v>
      </c>
      <c r="C10" s="3420"/>
      <c r="D10" s="3427"/>
      <c r="E10" s="261" t="s">
        <v>310</v>
      </c>
      <c r="F10" s="262"/>
      <c r="G10" s="262"/>
      <c r="H10" s="262"/>
      <c r="I10" s="263"/>
      <c r="J10" s="2013"/>
      <c r="K10" s="2012"/>
      <c r="L10" s="2012"/>
      <c r="M10" s="2012"/>
      <c r="N10" s="2012"/>
      <c r="O10" s="2012"/>
      <c r="P10" s="2012"/>
      <c r="Q10" s="2012"/>
      <c r="R10" s="2012"/>
      <c r="S10" s="2012"/>
      <c r="T10" s="2012"/>
      <c r="U10" s="2012"/>
      <c r="V10" s="2012"/>
    </row>
    <row r="11" spans="1:22" ht="14.25">
      <c r="A11" s="3396"/>
      <c r="B11" s="3422"/>
      <c r="C11" s="3421"/>
      <c r="D11" s="3427"/>
      <c r="E11" s="261" t="s">
        <v>311</v>
      </c>
      <c r="F11" s="262"/>
      <c r="G11" s="262"/>
      <c r="H11" s="262"/>
      <c r="I11" s="263"/>
      <c r="J11" s="2013"/>
      <c r="K11" s="2012"/>
      <c r="L11" s="2012"/>
      <c r="M11" s="2012"/>
      <c r="N11" s="2012"/>
      <c r="O11" s="2012"/>
      <c r="P11" s="2012"/>
      <c r="Q11" s="2012"/>
      <c r="R11" s="2012"/>
      <c r="S11" s="2012"/>
      <c r="T11" s="2012"/>
      <c r="U11" s="2012"/>
      <c r="V11" s="2012"/>
    </row>
    <row r="12" spans="1:22" ht="14.25">
      <c r="A12" s="3396" t="s">
        <v>312</v>
      </c>
      <c r="B12" s="3422">
        <v>15</v>
      </c>
      <c r="C12" s="3420"/>
      <c r="D12" s="3427"/>
      <c r="E12" s="261" t="s">
        <v>313</v>
      </c>
      <c r="F12" s="262"/>
      <c r="G12" s="262"/>
      <c r="H12" s="262"/>
      <c r="I12" s="263"/>
      <c r="J12" s="2013"/>
      <c r="K12" s="2012"/>
      <c r="L12" s="2012"/>
      <c r="M12" s="2012"/>
      <c r="N12" s="2012"/>
      <c r="O12" s="2012"/>
      <c r="P12" s="2012"/>
      <c r="Q12" s="2012"/>
      <c r="R12" s="2012"/>
      <c r="S12" s="2012"/>
      <c r="T12" s="2012"/>
      <c r="U12" s="2012"/>
      <c r="V12" s="2012"/>
    </row>
    <row r="13" spans="1:22" ht="14.25">
      <c r="A13" s="3396"/>
      <c r="B13" s="3422"/>
      <c r="C13" s="3421"/>
      <c r="D13" s="3427"/>
      <c r="E13" s="261" t="s">
        <v>314</v>
      </c>
      <c r="F13" s="262"/>
      <c r="G13" s="262"/>
      <c r="H13" s="262"/>
      <c r="I13" s="263"/>
      <c r="J13" s="2013"/>
      <c r="K13" s="2012"/>
      <c r="L13" s="2012"/>
      <c r="M13" s="2012"/>
      <c r="N13" s="2012"/>
      <c r="O13" s="2012"/>
      <c r="P13" s="2012"/>
      <c r="Q13" s="2012"/>
      <c r="R13" s="2012"/>
      <c r="S13" s="2012"/>
      <c r="T13" s="2012"/>
      <c r="U13" s="2012"/>
      <c r="V13" s="2012"/>
    </row>
    <row r="14" spans="1:22" ht="14.25">
      <c r="A14" s="3396" t="s">
        <v>315</v>
      </c>
      <c r="B14" s="3422">
        <v>30</v>
      </c>
      <c r="C14" s="3423">
        <v>6</v>
      </c>
      <c r="D14" s="3426">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96"/>
      <c r="B15" s="3422"/>
      <c r="C15" s="3424"/>
      <c r="D15" s="342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96"/>
      <c r="B16" s="3422"/>
      <c r="C16" s="3425"/>
      <c r="D16" s="342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119562</v>
      </c>
      <c r="D19" s="271">
        <f ca="1">SUMIF(INDIRECT("'"&amp;D4&amp;"'"&amp;"!A:A"),结果表!B19,INDIRECT("'"&amp;D4&amp;"'"&amp;"!B:B"))</f>
        <v>45501</v>
      </c>
      <c r="E19" s="268" t="s">
        <v>323</v>
      </c>
      <c r="F19" s="269" t="s">
        <v>322</v>
      </c>
      <c r="G19" s="272">
        <f ca="1">ROUND(C19*$C$18+D19*$D$18,0)</f>
        <v>89938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9267</v>
      </c>
      <c r="D20" s="277">
        <f ca="1">SUMIF(INDIRECT("'"&amp;D4&amp;"'"&amp;"!A:A"),结果表!B20,INDIRECT("'"&amp;D4&amp;"'"&amp;"!B:B"))</f>
        <v>3527</v>
      </c>
      <c r="E20" s="274"/>
      <c r="F20" s="275" t="s">
        <v>325</v>
      </c>
      <c r="G20" s="278">
        <f ca="1">ROUND(C20*$C$18+D20*$D$18,0)</f>
        <v>6971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39843</v>
      </c>
      <c r="D21" s="151">
        <f ca="1">SUMIF(INDIRECT("'"&amp;D4&amp;"'"&amp;"!A:A"),结果表!B21,INDIRECT("'"&amp;D4&amp;"'"&amp;"!B:B"))</f>
        <v>15163</v>
      </c>
      <c r="E21" s="274"/>
      <c r="F21" s="280" t="s">
        <v>327</v>
      </c>
      <c r="G21" s="282">
        <f ca="1">ROUND(C21*$C$18+D21*$D$18,0)</f>
        <v>29971</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1.6276785125601636</v>
      </c>
      <c r="E22" s="284"/>
      <c r="F22" s="285"/>
      <c r="G22" s="286">
        <f ca="1">ROUND(G19/('数据-汇总表'!D3/666.67),0)</f>
        <v>1998</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02"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03"/>
      <c r="B25" s="1317" t="s">
        <v>331</v>
      </c>
      <c r="C25" s="290">
        <f>IF(B30=0,0,C30)</f>
        <v>0</v>
      </c>
      <c r="D25" s="291"/>
      <c r="E25" s="311"/>
      <c r="F25" s="311"/>
      <c r="G25" s="311"/>
      <c r="H25" s="311"/>
      <c r="I25" s="311"/>
      <c r="J25" s="2012"/>
      <c r="K25" s="1251" t="str">
        <f ca="1">项目基本情况!B16&amp;"国有建设用地使用权价格："&amp;O38&amp;"万元"</f>
        <v>出让国有建设用地使用权价格：89938万元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大写金额：人民币捌亿玖仟玖佰叁拾捌万元整</v>
      </c>
      <c r="L26" s="1248"/>
      <c r="M26" s="1248"/>
      <c r="N26" s="1248"/>
      <c r="O26" s="1247"/>
      <c r="P26" s="2012"/>
      <c r="Q26" s="2012"/>
      <c r="R26" s="2012"/>
      <c r="S26" s="2012"/>
      <c r="T26" s="2012"/>
      <c r="U26" s="2012"/>
      <c r="V26" s="2012"/>
      <c r="W26" s="292"/>
      <c r="X26" s="292"/>
      <c r="Y26" s="292"/>
      <c r="Z26" s="292"/>
    </row>
    <row r="27" spans="1:26" ht="18">
      <c r="A27" s="293">
        <f ca="1">G19/'数据-汇总表'!F27*10000</f>
        <v>19277.747852853969</v>
      </c>
      <c r="B27" s="294"/>
      <c r="C27" s="294"/>
      <c r="D27" s="295"/>
      <c r="E27" s="311"/>
      <c r="F27" s="311"/>
      <c r="G27" s="311"/>
      <c r="H27" s="311"/>
      <c r="I27" s="311"/>
      <c r="J27" s="2012"/>
      <c r="K27" s="1254" t="str">
        <f ca="1">"单位面积地价："&amp;M38&amp;"元/平方米"</f>
        <v>单位面积地价：29971元/平方米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楼面地价：6971元/平方米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抵押价格：89938万元</v>
      </c>
      <c r="L29" s="1248"/>
      <c r="M29" s="1248"/>
      <c r="N29" s="1248"/>
      <c r="O29" s="1247"/>
      <c r="P29" s="2012"/>
      <c r="V29" s="2012"/>
    </row>
    <row r="30" spans="1:26" ht="18.75" thickBot="1">
      <c r="A30" s="3077" t="s">
        <v>336</v>
      </c>
      <c r="B30" s="309"/>
      <c r="C30" s="309"/>
      <c r="D30" s="310"/>
      <c r="E30" s="3078" t="s">
        <v>2958</v>
      </c>
      <c r="F30" s="311"/>
      <c r="G30" s="311"/>
      <c r="H30" s="311"/>
      <c r="I30" s="311"/>
      <c r="J30" s="2012"/>
      <c r="K30" s="1254" t="str">
        <f ca="1">IF(K29="——","——","大写金额：人民币"&amp;NUMBERSTRING(INT(O39*10000),2)&amp;"元整")</f>
        <v>大写金额：人民币捌亿玖仟玖佰叁拾捌万元整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89938</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6971</v>
      </c>
      <c r="D33" s="1382" t="s">
        <v>1691</v>
      </c>
      <c r="E33" s="3402"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3" t="s">
        <v>1692</v>
      </c>
      <c r="C34" s="264">
        <f ca="1">ROUND(C32*10000/'数据-汇总表'!D3,0)</f>
        <v>29971</v>
      </c>
      <c r="D34" s="1384" t="s">
        <v>1691</v>
      </c>
      <c r="E34" s="3447"/>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1998</v>
      </c>
      <c r="D35" s="1387" t="s">
        <v>1693</v>
      </c>
      <c r="E35" s="3448"/>
      <c r="F35" s="301" t="s">
        <v>342</v>
      </c>
      <c r="G35" s="982"/>
      <c r="H35" s="981" t="s">
        <v>343</v>
      </c>
      <c r="I35" s="311"/>
      <c r="J35" s="2012"/>
      <c r="K35" s="3417" t="s">
        <v>350</v>
      </c>
      <c r="L35" s="3417" t="s">
        <v>351</v>
      </c>
      <c r="M35" s="1260" t="s">
        <v>352</v>
      </c>
      <c r="N35" s="3417" t="s">
        <v>353</v>
      </c>
      <c r="O35" s="3417" t="s">
        <v>354</v>
      </c>
      <c r="P35" s="2012"/>
      <c r="V35" s="2012"/>
    </row>
    <row r="36" spans="1:26" ht="16.5" customHeight="1">
      <c r="A36" s="303" t="s">
        <v>344</v>
      </c>
      <c r="B36" s="304" t="s">
        <v>333</v>
      </c>
      <c r="C36" s="305" t="s">
        <v>345</v>
      </c>
      <c r="D36" s="305" t="s">
        <v>346</v>
      </c>
      <c r="E36" s="306" t="s">
        <v>347</v>
      </c>
      <c r="F36" s="311"/>
      <c r="G36" s="311"/>
      <c r="H36" s="311"/>
      <c r="I36" s="311"/>
      <c r="J36" s="2014"/>
      <c r="K36" s="3418"/>
      <c r="L36" s="3418"/>
      <c r="M36" s="1262" t="s">
        <v>355</v>
      </c>
      <c r="N36" s="3418"/>
      <c r="O36" s="3418"/>
      <c r="P36" s="2012"/>
      <c r="V36" s="2012"/>
    </row>
    <row r="37" spans="1:26" ht="16.5" customHeight="1" thickBot="1">
      <c r="A37" s="1256" t="s">
        <v>348</v>
      </c>
      <c r="B37" s="307"/>
      <c r="C37" s="294"/>
      <c r="D37" s="294"/>
      <c r="E37" s="295"/>
      <c r="F37" s="311"/>
      <c r="G37" s="311"/>
      <c r="H37" s="311"/>
      <c r="I37" s="311"/>
      <c r="J37" s="2014"/>
      <c r="K37" s="3419"/>
      <c r="L37" s="3419"/>
      <c r="M37" s="1263"/>
      <c r="N37" s="3419"/>
      <c r="O37" s="3419"/>
      <c r="P37" s="2012"/>
      <c r="V37" s="2012"/>
    </row>
    <row r="38" spans="1:26" ht="16.5" customHeight="1" thickBot="1">
      <c r="A38" s="1256" t="s">
        <v>349</v>
      </c>
      <c r="B38" s="307"/>
      <c r="C38" s="294"/>
      <c r="D38" s="294"/>
      <c r="E38" s="295"/>
      <c r="F38" s="311"/>
      <c r="G38" s="311"/>
      <c r="H38" s="311"/>
      <c r="I38" s="311"/>
      <c r="J38" s="2014"/>
      <c r="K38" s="1264">
        <f>'数据-汇总表'!D3</f>
        <v>30008</v>
      </c>
      <c r="L38" s="1265">
        <f>'数据-汇总表'!E3</f>
        <v>129023.22</v>
      </c>
      <c r="M38" s="1265">
        <f ca="1">C34</f>
        <v>29971</v>
      </c>
      <c r="N38" s="1265">
        <f ca="1">C33</f>
        <v>6971</v>
      </c>
      <c r="O38" s="1266">
        <f ca="1">C32</f>
        <v>89938</v>
      </c>
      <c r="P38" s="2012"/>
      <c r="V38" s="2012"/>
    </row>
    <row r="39" spans="1:26" ht="16.5" customHeight="1" thickBot="1">
      <c r="A39" s="1261"/>
      <c r="B39" s="308"/>
      <c r="C39" s="309"/>
      <c r="D39" s="309"/>
      <c r="E39" s="310"/>
      <c r="F39" s="311"/>
      <c r="G39" s="311"/>
      <c r="H39" s="311"/>
      <c r="I39" s="311"/>
      <c r="J39" s="2014"/>
      <c r="K39" s="3466" t="str">
        <f>MID(A44,3,LEN(A44)-2)</f>
        <v>抵押价格</v>
      </c>
      <c r="L39" s="3467"/>
      <c r="M39" s="3467"/>
      <c r="N39" s="3468"/>
      <c r="O39" s="1389">
        <f ca="1">C44</f>
        <v>89938</v>
      </c>
      <c r="P39" s="2012"/>
      <c r="V39" s="2012"/>
    </row>
    <row r="40" spans="1:26" ht="19.5" thickBot="1">
      <c r="A40" s="104" t="s">
        <v>873</v>
      </c>
      <c r="B40" s="311"/>
      <c r="C40" s="311"/>
      <c r="D40" s="311"/>
      <c r="E40" s="311"/>
      <c r="F40" s="311"/>
      <c r="G40" s="311"/>
      <c r="H40" s="311"/>
      <c r="I40" s="311"/>
      <c r="J40" s="2014"/>
      <c r="K40" s="3466" t="str">
        <f t="shared" ref="K40:K41" si="0">MID(A45,3,LEN(A45)-2)</f>
        <v/>
      </c>
      <c r="L40" s="3467"/>
      <c r="M40" s="3467"/>
      <c r="N40" s="3468"/>
      <c r="O40" s="1389" t="str">
        <f>C45</f>
        <v>——</v>
      </c>
      <c r="P40" s="2012"/>
      <c r="V40" s="2012"/>
    </row>
    <row r="41" spans="1:26" ht="16.5" thickBot="1">
      <c r="A41" s="312" t="s">
        <v>356</v>
      </c>
      <c r="B41" s="313"/>
      <c r="C41" s="314" t="s">
        <v>357</v>
      </c>
      <c r="D41" s="315" t="s">
        <v>358</v>
      </c>
      <c r="E41" s="315" t="s">
        <v>359</v>
      </c>
      <c r="F41" s="316" t="s">
        <v>360</v>
      </c>
      <c r="G41" s="311"/>
      <c r="H41" s="311"/>
      <c r="I41" s="311"/>
      <c r="J41" s="2014"/>
      <c r="K41" s="3466" t="str">
        <f t="shared" si="0"/>
        <v/>
      </c>
      <c r="L41" s="3467"/>
      <c r="M41" s="3467"/>
      <c r="N41" s="3468"/>
      <c r="O41" s="1389" t="str">
        <f>C46</f>
        <v>——</v>
      </c>
      <c r="P41" s="2012"/>
      <c r="V41" s="2012"/>
    </row>
    <row r="42" spans="1:26" ht="29.25">
      <c r="A42" s="3404" t="s">
        <v>2064</v>
      </c>
      <c r="B42" s="3405"/>
      <c r="C42" s="264">
        <f ca="1">C32</f>
        <v>89938</v>
      </c>
      <c r="D42" s="317">
        <f ca="1">C33</f>
        <v>6971</v>
      </c>
      <c r="E42" s="317">
        <f ca="1">C34</f>
        <v>29971</v>
      </c>
      <c r="F42" s="318">
        <f ca="1">C35</f>
        <v>1998</v>
      </c>
      <c r="G42" s="311"/>
      <c r="H42" s="311"/>
      <c r="I42" s="319"/>
      <c r="J42" s="2014"/>
      <c r="K42" s="1267" t="s">
        <v>361</v>
      </c>
      <c r="L42" s="2031" t="s">
        <v>362</v>
      </c>
      <c r="M42" s="1268" t="s">
        <v>363</v>
      </c>
      <c r="N42" s="2032" t="s">
        <v>364</v>
      </c>
      <c r="O42" s="2033" t="s">
        <v>365</v>
      </c>
      <c r="P42" s="2012"/>
      <c r="V42" s="2012"/>
    </row>
    <row r="43" spans="1:26" ht="30">
      <c r="A43" s="3415" t="s">
        <v>2726</v>
      </c>
      <c r="B43" s="3416"/>
      <c r="C43" s="264">
        <f>IF(H33="正常操作",G33+G34+G35,G34+G35)</f>
        <v>0</v>
      </c>
      <c r="D43" s="317" t="s">
        <v>43</v>
      </c>
      <c r="E43" s="317" t="s">
        <v>44</v>
      </c>
      <c r="F43" s="318" t="s">
        <v>44</v>
      </c>
      <c r="G43" s="2820" t="s">
        <v>952</v>
      </c>
      <c r="H43" s="311"/>
      <c r="I43" s="319"/>
      <c r="J43" s="2014"/>
      <c r="K43" s="1269" t="str">
        <f>C4</f>
        <v>剩余法-待开发</v>
      </c>
      <c r="L43" s="1270">
        <f ca="1">IF(L42="估价结果/万元",C19,C20)</f>
        <v>119562</v>
      </c>
      <c r="M43" s="1271">
        <f>C18</f>
        <v>0.6</v>
      </c>
      <c r="N43" s="1272">
        <f ca="1">IF(N42="测算结果/万元",G19,G20)</f>
        <v>89938</v>
      </c>
      <c r="O43" s="1273">
        <f ca="1">IF(O42="最终结果/万元",C32,C33)</f>
        <v>89938</v>
      </c>
      <c r="P43" s="2012"/>
      <c r="V43" s="2012"/>
    </row>
    <row r="44" spans="1:26" ht="30.75" thickBot="1">
      <c r="A44" s="3404" t="str">
        <f>IF(OR(项目基本情况!E8="抵押价格",项目基本情况!E8="已注销及未注销"),"3.抵押价格","——")</f>
        <v>3.抵押价格</v>
      </c>
      <c r="B44" s="3405"/>
      <c r="C44" s="264">
        <f ca="1">IF(A44="——","——",C42-C43)</f>
        <v>89938</v>
      </c>
      <c r="D44" s="317">
        <f ca="1">ROUND(C44*10000/'数据-汇总表'!E3,0)</f>
        <v>6971</v>
      </c>
      <c r="E44" s="317">
        <f ca="1">ROUND(C44*10000/'数据-汇总表'!D3,0)</f>
        <v>29971</v>
      </c>
      <c r="F44" s="318">
        <f ca="1">ROUND(C44/('数据-汇总表'!D3/666.67),0)</f>
        <v>1998</v>
      </c>
      <c r="G44" s="311"/>
      <c r="H44" s="311"/>
      <c r="I44" s="319"/>
      <c r="J44" s="2014"/>
      <c r="K44" s="1274" t="str">
        <f>D4</f>
        <v>比较法-住宅、综合</v>
      </c>
      <c r="L44" s="1275">
        <f ca="1">IF(L42="估价结果/万元",D19,D20)</f>
        <v>45501</v>
      </c>
      <c r="M44" s="1276">
        <f>D18</f>
        <v>0.4</v>
      </c>
      <c r="N44" s="1277"/>
      <c r="O44" s="1278"/>
      <c r="P44" s="2012"/>
      <c r="V44" s="2012"/>
    </row>
    <row r="45" spans="1:26" ht="15">
      <c r="A45" s="3410" t="str">
        <f>IF(项目基本情况!E8="已注销及未注销","4.抵押担保权已注销时的抵押价格",IF(项目基本情况!E8="已注销","3.抵押担保权已注销时的抵押价格","——"))</f>
        <v>——</v>
      </c>
      <c r="B45" s="341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6" t="str">
        <f>IF(项目基本情况!E9="抵押净值",IF(A45="——","4.抵押净值","5.抵押净值"),"——")</f>
        <v>——</v>
      </c>
      <c r="B46" s="340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55" t="s">
        <v>374</v>
      </c>
      <c r="B63" s="3456"/>
      <c r="C63" s="3457"/>
      <c r="D63" s="341">
        <f ca="1">ROUND(C42*F63,0)</f>
        <v>53963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12" t="s">
        <v>378</v>
      </c>
      <c r="B64" s="3413"/>
      <c r="C64" s="3413"/>
      <c r="D64" s="3413"/>
      <c r="E64" s="3413"/>
      <c r="F64" s="3413"/>
      <c r="G64" s="3414"/>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08" t="s">
        <v>386</v>
      </c>
      <c r="B66" s="3409"/>
      <c r="C66" s="3409"/>
      <c r="D66" s="261">
        <f ca="1">IF(H66="情况1",0,IF(H66="情况2",D70,IF(H66="情况3",D71,IF(H66="情况4",D72))))</f>
        <v>2878</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70" t="s">
        <v>385</v>
      </c>
      <c r="M66" s="3471"/>
      <c r="N66" s="2421"/>
      <c r="O66" s="2422"/>
      <c r="P66" s="2423"/>
      <c r="Q66" s="2012"/>
      <c r="R66" s="2012"/>
      <c r="S66" s="2012"/>
      <c r="T66" s="2012"/>
      <c r="U66" s="2012"/>
      <c r="V66" s="2012"/>
    </row>
    <row r="67" spans="1:22" ht="25.5" customHeight="1">
      <c r="A67" s="352" t="s">
        <v>390</v>
      </c>
      <c r="B67" s="3399" t="s">
        <v>391</v>
      </c>
      <c r="C67" s="3399"/>
      <c r="D67" s="353">
        <v>0</v>
      </c>
      <c r="E67" s="41" t="s">
        <v>392</v>
      </c>
      <c r="F67" s="62" t="s">
        <v>21</v>
      </c>
      <c r="G67" s="3458"/>
      <c r="H67" s="311"/>
      <c r="I67" s="1288"/>
      <c r="J67" s="2019"/>
      <c r="K67" s="1960">
        <v>2</v>
      </c>
      <c r="L67" s="3469" t="s">
        <v>389</v>
      </c>
      <c r="M67" s="3469"/>
      <c r="N67" s="1321">
        <f>'数据-取费表'!B2</f>
        <v>43650</v>
      </c>
      <c r="O67" s="1321"/>
      <c r="P67" s="1321"/>
      <c r="Q67" s="2012"/>
      <c r="R67" s="2012"/>
      <c r="S67" s="2012"/>
      <c r="T67" s="2012"/>
      <c r="U67" s="2012"/>
      <c r="V67" s="2012"/>
    </row>
    <row r="68" spans="1:22" ht="25.5" customHeight="1">
      <c r="A68" s="354"/>
      <c r="B68" s="3399" t="s">
        <v>394</v>
      </c>
      <c r="C68" s="3399"/>
      <c r="D68" s="355"/>
      <c r="E68" s="77"/>
      <c r="F68" s="356"/>
      <c r="G68" s="3459"/>
      <c r="H68" s="311"/>
      <c r="I68" s="1288"/>
      <c r="J68" s="2019"/>
      <c r="K68" s="1960">
        <v>3</v>
      </c>
      <c r="L68" s="3469" t="s">
        <v>393</v>
      </c>
      <c r="M68" s="3469"/>
      <c r="N68" s="1289">
        <f ca="1">C42</f>
        <v>89938</v>
      </c>
      <c r="O68" s="1289"/>
      <c r="P68" s="1289"/>
      <c r="Q68" s="2012"/>
      <c r="R68" s="2012"/>
      <c r="S68" s="2012"/>
      <c r="T68" s="2012"/>
      <c r="U68" s="2012"/>
      <c r="V68" s="2012"/>
    </row>
    <row r="69" spans="1:22" ht="12" customHeight="1">
      <c r="A69" s="357"/>
      <c r="B69" s="3399" t="s">
        <v>395</v>
      </c>
      <c r="C69" s="3399"/>
      <c r="D69" s="358"/>
      <c r="E69" s="73"/>
      <c r="F69" s="356"/>
      <c r="G69" s="3460"/>
      <c r="H69" s="311"/>
      <c r="I69" s="1288"/>
      <c r="J69" s="2019"/>
      <c r="K69" s="1290">
        <v>4</v>
      </c>
      <c r="L69" s="3474" t="s">
        <v>2879</v>
      </c>
      <c r="M69" s="3475"/>
      <c r="N69" s="1291">
        <f ca="1">C44</f>
        <v>89938</v>
      </c>
      <c r="O69" s="1291"/>
      <c r="P69" s="1291"/>
      <c r="Q69" s="2012"/>
      <c r="R69" s="2012"/>
      <c r="S69" s="2012"/>
      <c r="T69" s="2012"/>
      <c r="U69" s="2012"/>
      <c r="V69" s="2012"/>
    </row>
    <row r="70" spans="1:22" ht="24" customHeight="1">
      <c r="A70" s="359" t="s">
        <v>396</v>
      </c>
      <c r="B70" s="3399" t="s">
        <v>397</v>
      </c>
      <c r="C70" s="3399"/>
      <c r="D70" s="358">
        <f ca="1">ROUND(D63*'数据-取费表'!B41/(1+'数据-取费表'!C42),0)</f>
        <v>2878</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00" t="s">
        <v>405</v>
      </c>
      <c r="C71" s="3401"/>
      <c r="D71" s="358">
        <f ca="1">ROUND(D63*'数据-取费表'!B41/(1+'数据-取费表'!C42),0)</f>
        <v>2878</v>
      </c>
      <c r="E71" s="17" t="s">
        <v>398</v>
      </c>
      <c r="F71" s="360">
        <f>'数据-取费表'!B41</f>
        <v>5.6000000000000001E-2</v>
      </c>
      <c r="G71" s="361"/>
      <c r="H71" s="311"/>
      <c r="I71" s="1288"/>
      <c r="J71" s="2019"/>
      <c r="K71" s="3011" t="s">
        <v>399</v>
      </c>
      <c r="L71" s="3476" t="s">
        <v>400</v>
      </c>
      <c r="M71" s="3476"/>
      <c r="N71" s="3011" t="s">
        <v>401</v>
      </c>
      <c r="O71" s="3011" t="s">
        <v>402</v>
      </c>
      <c r="P71" s="3011" t="s">
        <v>403</v>
      </c>
      <c r="Q71" s="2012"/>
      <c r="R71" s="2012"/>
      <c r="S71" s="2012"/>
      <c r="T71" s="2012"/>
      <c r="U71" s="2012"/>
      <c r="V71" s="2012"/>
    </row>
    <row r="72" spans="1:22" ht="12" customHeight="1">
      <c r="A72" s="359" t="s">
        <v>407</v>
      </c>
      <c r="B72" s="3400" t="s">
        <v>408</v>
      </c>
      <c r="C72" s="3401"/>
      <c r="D72" s="358">
        <f ca="1">C86</f>
        <v>2766</v>
      </c>
      <c r="E72" s="73" t="s">
        <v>409</v>
      </c>
      <c r="F72" s="360">
        <f>'数据-取费表'!B41</f>
        <v>5.6000000000000001E-2</v>
      </c>
      <c r="G72" s="361"/>
      <c r="H72" s="1294"/>
      <c r="I72" s="1288"/>
      <c r="J72" s="2019"/>
      <c r="K72" s="1960">
        <v>1</v>
      </c>
      <c r="L72" s="3451" t="s">
        <v>406</v>
      </c>
      <c r="M72" s="3451"/>
      <c r="N72" s="1292">
        <f ca="1">D66</f>
        <v>2878</v>
      </c>
      <c r="O72" s="1843" t="str">
        <f>E66</f>
        <v>销售额×税（费）率</v>
      </c>
      <c r="P72" s="1293">
        <f>F66</f>
        <v>5.6000000000000001E-2</v>
      </c>
      <c r="Q72" s="2012"/>
      <c r="R72" s="2012"/>
      <c r="S72" s="2012"/>
      <c r="T72" s="2012"/>
      <c r="U72" s="2012"/>
      <c r="V72" s="2012"/>
    </row>
    <row r="73" spans="1:22" ht="24" customHeight="1">
      <c r="A73" s="3445" t="s">
        <v>411</v>
      </c>
      <c r="B73" s="3409"/>
      <c r="C73" s="3409"/>
      <c r="D73" s="362">
        <f>IF(H73="个人住宅",0,ROUND(D63*I73,0))</f>
        <v>0</v>
      </c>
      <c r="E73" s="17" t="s">
        <v>412</v>
      </c>
      <c r="F73" s="360" t="str">
        <f>IF(H73="正常",I73,"免征")</f>
        <v>免征</v>
      </c>
      <c r="G73" s="361"/>
      <c r="H73" s="191" t="s">
        <v>2452</v>
      </c>
      <c r="I73" s="360">
        <f>'数据-取费表'!B49</f>
        <v>5.0000000000000001E-4</v>
      </c>
      <c r="J73" s="2019"/>
      <c r="K73" s="1960">
        <v>2</v>
      </c>
      <c r="L73" s="3451" t="s">
        <v>410</v>
      </c>
      <c r="M73" s="3451"/>
      <c r="N73" s="1292">
        <f t="shared" ref="N73:P74" si="1">D73</f>
        <v>0</v>
      </c>
      <c r="O73" s="1843" t="str">
        <f t="shared" si="1"/>
        <v>销售额×税（费）率</v>
      </c>
      <c r="P73" s="1293" t="str">
        <f t="shared" si="1"/>
        <v>免征</v>
      </c>
      <c r="Q73" s="2012"/>
      <c r="R73" s="2012"/>
      <c r="S73" s="2012"/>
      <c r="T73" s="2012"/>
      <c r="U73" s="2012"/>
      <c r="V73" s="2012"/>
    </row>
    <row r="74" spans="1:22" ht="24.75">
      <c r="A74" s="3445" t="s">
        <v>415</v>
      </c>
      <c r="B74" s="3409"/>
      <c r="C74" s="3409"/>
      <c r="D74" s="362">
        <f ca="1">IF(H74="个人住宅",D75,D76)</f>
        <v>29888</v>
      </c>
      <c r="E74" s="17" t="s">
        <v>416</v>
      </c>
      <c r="F74" s="360" t="str">
        <f>IF(H74="正常",F76,"免征")</f>
        <v>——</v>
      </c>
      <c r="G74" s="983" t="s">
        <v>417</v>
      </c>
      <c r="H74" s="363" t="s">
        <v>413</v>
      </c>
      <c r="I74" s="42"/>
      <c r="J74" s="2019"/>
      <c r="K74" s="1960">
        <v>3</v>
      </c>
      <c r="L74" s="3451" t="s">
        <v>414</v>
      </c>
      <c r="M74" s="3451"/>
      <c r="N74" s="1292">
        <f t="shared" ca="1" si="1"/>
        <v>29888</v>
      </c>
      <c r="O74" s="1843" t="str">
        <f t="shared" si="1"/>
        <v>增值额×税（费）率</v>
      </c>
      <c r="P74" s="1295" t="str">
        <f t="shared" si="1"/>
        <v>——</v>
      </c>
      <c r="Q74" s="2012"/>
      <c r="R74" s="2012"/>
      <c r="S74" s="2012"/>
      <c r="T74" s="2012"/>
      <c r="U74" s="2012"/>
      <c r="V74" s="2012"/>
    </row>
    <row r="75" spans="1:22" ht="24">
      <c r="A75" s="359" t="s">
        <v>418</v>
      </c>
      <c r="B75" s="3397" t="s">
        <v>419</v>
      </c>
      <c r="C75" s="3431"/>
      <c r="D75" s="364">
        <v>0</v>
      </c>
      <c r="E75" s="41" t="s">
        <v>420</v>
      </c>
      <c r="F75" s="365"/>
      <c r="G75" s="361"/>
      <c r="H75" s="42"/>
      <c r="I75" s="42"/>
      <c r="J75" s="2019"/>
      <c r="K75" s="3004">
        <f>IF(H77="非个人房产","",4)</f>
        <v>4</v>
      </c>
      <c r="L75" s="3451" t="str">
        <f>IF(H77="非个人房产","——","个人所得税")</f>
        <v>个人所得税</v>
      </c>
      <c r="M75" s="3451"/>
      <c r="N75" s="1296">
        <f ca="1">D77</f>
        <v>540</v>
      </c>
      <c r="O75" s="1856" t="str">
        <f>E77</f>
        <v>销售额×税（费）率</v>
      </c>
      <c r="P75" s="1297">
        <f>F77</f>
        <v>0.01</v>
      </c>
      <c r="Q75" s="2012"/>
      <c r="R75" s="2012"/>
      <c r="S75" s="2012"/>
      <c r="T75" s="2012"/>
      <c r="U75" s="2012"/>
      <c r="V75" s="2012"/>
    </row>
    <row r="76" spans="1:22" ht="24.75">
      <c r="A76" s="359" t="s">
        <v>396</v>
      </c>
      <c r="B76" s="3397" t="s">
        <v>422</v>
      </c>
      <c r="C76" s="3398"/>
      <c r="D76" s="362">
        <f ca="1">IF(H76="转让取得",C99,C115)</f>
        <v>29888</v>
      </c>
      <c r="E76" s="17" t="s">
        <v>423</v>
      </c>
      <c r="F76" s="53" t="s">
        <v>21</v>
      </c>
      <c r="G76" s="361"/>
      <c r="H76" s="363" t="s">
        <v>424</v>
      </c>
      <c r="I76" s="42"/>
      <c r="J76" s="2019"/>
      <c r="K76" s="3004" t="str">
        <f>IF(项目基本情况!K6="上海银行",IF(K75="",4,K75+1),"")</f>
        <v/>
      </c>
      <c r="L76" s="3462" t="str">
        <f>IF(项目基本情况!K6="上海银行","其他处置费用","")</f>
        <v/>
      </c>
      <c r="M76" s="3463"/>
      <c r="N76" s="1292" t="str">
        <f>IF(项目基本情况!K6="上海银行",N89,"")</f>
        <v/>
      </c>
      <c r="O76" s="3464" t="str">
        <f>IF(项目基本情况!K6="上海银行","包含处置中涉及的律师、诉讼、拍卖、评估等费用","")</f>
        <v/>
      </c>
      <c r="P76" s="3465"/>
      <c r="Q76" s="2012"/>
      <c r="R76" s="2012"/>
      <c r="S76" s="2012"/>
      <c r="T76" s="2012"/>
      <c r="U76" s="2012"/>
      <c r="V76" s="2012"/>
    </row>
    <row r="77" spans="1:22" ht="26.25" thickBot="1">
      <c r="A77" s="3453" t="s">
        <v>426</v>
      </c>
      <c r="B77" s="3454"/>
      <c r="C77" s="3454"/>
      <c r="D77" s="366">
        <f ca="1">IF(H77="非个人房产","——",IF(H77="个人住宅",0,ROUND(D63*I77,0)))</f>
        <v>540</v>
      </c>
      <c r="E77" s="367" t="str">
        <f>IF(H77="非个人房产","——","销售额×税（费）率")</f>
        <v>销售额×税（费）率</v>
      </c>
      <c r="F77" s="368">
        <f>IF(H77="非个人房产","——",IF(H77="个人住宅","免征",I77))</f>
        <v>0.01</v>
      </c>
      <c r="G77" s="984" t="s">
        <v>417</v>
      </c>
      <c r="H77" s="363" t="s">
        <v>2880</v>
      </c>
      <c r="I77" s="369">
        <v>0.01</v>
      </c>
      <c r="J77" s="2019"/>
      <c r="K77" s="3452">
        <f>IF(AND(K75="",K76=""),4,IF(项目基本情况!K6="上海银行",K76+1,K75+1))</f>
        <v>5</v>
      </c>
      <c r="L77" s="3451" t="s">
        <v>2881</v>
      </c>
      <c r="M77" s="3010" t="s">
        <v>421</v>
      </c>
      <c r="N77" s="1298"/>
      <c r="O77" s="1299">
        <f ca="1">SUMIF(N72:N76,"&lt;9e307")</f>
        <v>33306</v>
      </c>
      <c r="P77" s="1300"/>
      <c r="Q77" s="3008">
        <f ca="1">O77/N69</f>
        <v>0.37032177722431009</v>
      </c>
      <c r="R77" s="2012"/>
      <c r="S77" s="2012"/>
      <c r="T77" s="2012"/>
      <c r="U77" s="2012"/>
      <c r="V77" s="2012"/>
    </row>
    <row r="78" spans="1:22" ht="12" customHeight="1">
      <c r="A78" s="1301"/>
      <c r="B78" s="311"/>
      <c r="C78" s="311"/>
      <c r="D78" s="311"/>
      <c r="E78" s="42"/>
      <c r="F78" s="42"/>
      <c r="G78" s="42"/>
      <c r="H78" s="1003"/>
      <c r="I78" s="311"/>
      <c r="J78" s="2019"/>
      <c r="K78" s="3452"/>
      <c r="L78" s="3451"/>
      <c r="M78" s="3010" t="s">
        <v>425</v>
      </c>
      <c r="N78" s="1298"/>
      <c r="O78" s="1299" t="str">
        <f ca="1">NUMBERSTRING(INT(O77*10000),2)&amp;"元整"</f>
        <v>叁亿叁仟叁佰零陆万元整</v>
      </c>
      <c r="P78" s="1300"/>
      <c r="Q78" s="2012"/>
      <c r="R78" s="2012"/>
      <c r="S78" s="2012"/>
      <c r="T78" s="2012"/>
      <c r="U78" s="2012"/>
      <c r="V78" s="2012"/>
    </row>
    <row r="79" spans="1:22" ht="13.5" thickBot="1">
      <c r="A79" s="3446" t="s">
        <v>427</v>
      </c>
      <c r="B79" s="3446"/>
      <c r="C79" s="3446"/>
      <c r="D79" s="3446"/>
      <c r="E79" s="3446"/>
      <c r="F79" s="42"/>
      <c r="G79" s="42"/>
      <c r="H79" s="1003"/>
      <c r="I79" s="311"/>
      <c r="J79" s="2019"/>
      <c r="K79" s="3472">
        <f>K77+1</f>
        <v>6</v>
      </c>
      <c r="L79" s="3451" t="s">
        <v>2882</v>
      </c>
      <c r="M79" s="3010" t="s">
        <v>421</v>
      </c>
      <c r="N79" s="1298"/>
      <c r="O79" s="1299">
        <f ca="1">N69-O77</f>
        <v>56632</v>
      </c>
      <c r="P79" s="1300"/>
      <c r="Q79" s="2012"/>
      <c r="R79" s="2012"/>
      <c r="S79" s="2012"/>
      <c r="T79" s="2012"/>
      <c r="U79" s="2012"/>
      <c r="V79" s="2012"/>
    </row>
    <row r="80" spans="1:22" ht="25.5">
      <c r="A80" s="3441" t="s">
        <v>428</v>
      </c>
      <c r="B80" s="3442"/>
      <c r="C80" s="994"/>
      <c r="D80" s="994" t="s">
        <v>429</v>
      </c>
      <c r="E80" s="370" t="s">
        <v>430</v>
      </c>
      <c r="F80" s="42"/>
      <c r="G80" s="42"/>
      <c r="H80" s="1003"/>
      <c r="I80" s="311"/>
      <c r="J80" s="2012"/>
      <c r="K80" s="3473"/>
      <c r="L80" s="3451"/>
      <c r="M80" s="3010" t="s">
        <v>425</v>
      </c>
      <c r="N80" s="1298"/>
      <c r="O80" s="1299" t="str">
        <f ca="1">NUMBERSTRING(INT(O79*10000),2)&amp;"元整"</f>
        <v>伍亿陆仟陆佰叁拾贰万元整</v>
      </c>
      <c r="P80" s="1300"/>
      <c r="Q80" s="2012"/>
      <c r="R80" s="2012"/>
      <c r="S80" s="2012"/>
      <c r="T80" s="2012"/>
      <c r="U80" s="2012"/>
      <c r="V80" s="2012"/>
    </row>
    <row r="81" spans="1:26" ht="13.5" thickBot="1">
      <c r="A81" s="381" t="s">
        <v>1823</v>
      </c>
      <c r="B81" s="371" t="s">
        <v>431</v>
      </c>
      <c r="C81" s="372">
        <f ca="1">ROUND((C82+C83)/(1+'数据-取费表'!C42),0)</f>
        <v>51393</v>
      </c>
      <c r="D81" s="373"/>
      <c r="E81" s="374"/>
      <c r="F81" s="42"/>
      <c r="G81" s="42"/>
      <c r="H81" s="1003"/>
      <c r="I81" s="311"/>
      <c r="J81" s="2012"/>
      <c r="K81" s="3004">
        <f>K79+1</f>
        <v>7</v>
      </c>
      <c r="L81" s="3449" t="s">
        <v>2883</v>
      </c>
      <c r="M81" s="3450"/>
      <c r="N81" s="1302"/>
      <c r="O81" s="1303">
        <f ca="1">ROUND(O79*10000/'数据-汇总表'!E3,0)</f>
        <v>4389</v>
      </c>
      <c r="P81" s="1304"/>
      <c r="Q81" s="2012"/>
      <c r="R81" s="2012"/>
      <c r="S81" s="2012"/>
      <c r="T81" s="2012"/>
      <c r="U81" s="2012"/>
      <c r="V81" s="2012"/>
    </row>
    <row r="82" spans="1:26" ht="13.5" thickTop="1">
      <c r="A82" s="375" t="s">
        <v>1824</v>
      </c>
      <c r="B82" s="376" t="s">
        <v>432</v>
      </c>
      <c r="C82" s="377">
        <f ca="1">D63</f>
        <v>53963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461" t="s">
        <v>2870</v>
      </c>
      <c r="L83" s="3016" t="s">
        <v>2871</v>
      </c>
      <c r="M83" s="3006">
        <f ca="1">IF(N69&gt;10000,N69*0.5%,IF(AND(N69&gt;1000,N69&lt;=10000),N69*1%,IF(AND(N69&gt;100,N69&lt;=1000),N69*3%,IF(AND(N69&gt;10,N69&lt;=100),N69*5%,N69*8%))))</f>
        <v>449.69</v>
      </c>
      <c r="N83" s="53">
        <f ca="1">ROUND(M83,1)</f>
        <v>449.7</v>
      </c>
      <c r="O83" s="3009"/>
      <c r="P83" s="2012"/>
      <c r="Q83" s="2012"/>
      <c r="R83" s="2012"/>
      <c r="S83" s="2012"/>
      <c r="T83" s="2012"/>
      <c r="U83" s="2012"/>
      <c r="V83" s="2012"/>
    </row>
    <row r="84" spans="1:26" ht="12.75">
      <c r="A84" s="381" t="s">
        <v>1826</v>
      </c>
      <c r="B84" s="382" t="s">
        <v>434</v>
      </c>
      <c r="C84" s="383">
        <v>2000</v>
      </c>
      <c r="D84" s="384" t="s">
        <v>19</v>
      </c>
      <c r="E84" s="3048" t="s">
        <v>2930</v>
      </c>
      <c r="F84" s="42"/>
      <c r="G84" s="42"/>
      <c r="H84" s="1003"/>
      <c r="I84" s="311"/>
      <c r="J84" s="2012"/>
      <c r="K84" s="3461"/>
      <c r="L84" s="3016" t="s">
        <v>2872</v>
      </c>
      <c r="M84" s="3006">
        <f ca="1">IF(N69&gt;2000,N69*0.5%,IF(AND(N69&gt;1000,N69&lt;=2000),N69*0.6%,IF(AND(N69&gt;500,N69&lt;=1000),N69*0.7%,IF(AND(N69&gt;200,N69&lt;=500),N69*0.8%,IF(AND(N69&gt;100,N69&lt;=200),N69*0.9%,IF(AND(N69&gt;50,N69&lt;=100),N69*1%,IF(AND(N69&gt;20,N69&lt;=50),N69*1.5%,IF(AND(N69&gt;10,N69&lt;=20),N69*2%,IF(AND(N69&gt;1,N69&lt;=10),N69*2.5%)))))))))</f>
        <v>449.69</v>
      </c>
      <c r="N84" s="53">
        <f t="shared" ref="N84:N85" ca="1" si="2">ROUND(M84,1)</f>
        <v>449.7</v>
      </c>
      <c r="O84" s="2012" t="s">
        <v>2873</v>
      </c>
      <c r="P84" s="2012"/>
      <c r="Q84" s="2012"/>
      <c r="R84" s="2012"/>
      <c r="S84" s="2012"/>
      <c r="T84" s="2012"/>
      <c r="U84" s="2012"/>
      <c r="V84" s="2012"/>
    </row>
    <row r="85" spans="1:26" ht="12.75">
      <c r="A85" s="381" t="s">
        <v>1827</v>
      </c>
      <c r="B85" s="382" t="s">
        <v>435</v>
      </c>
      <c r="C85" s="385">
        <f ca="1">C81-C84</f>
        <v>49393</v>
      </c>
      <c r="D85" s="378" t="s">
        <v>19</v>
      </c>
      <c r="E85" s="379"/>
      <c r="F85" s="42"/>
      <c r="G85" s="42"/>
      <c r="H85" s="1003"/>
      <c r="I85" s="311"/>
      <c r="J85" s="2012"/>
      <c r="K85" s="3461"/>
      <c r="L85" s="3016" t="s">
        <v>2874</v>
      </c>
      <c r="M85" s="3006">
        <f ca="1">IF(N69&gt;1000,N69*0.1%,IF(AND(N69&gt;500,N69&lt;=1000),N69*0.5%,IF(AND(N69&gt;50,N69&lt;=500),N69*1%,IF(AND(N69&gt;1,N69&lt;=50),N69*1.5%))))</f>
        <v>89.938000000000002</v>
      </c>
      <c r="N85" s="53">
        <f t="shared" ca="1" si="2"/>
        <v>89.9</v>
      </c>
      <c r="O85" s="2012" t="s">
        <v>2873</v>
      </c>
      <c r="P85" s="2012"/>
      <c r="Q85" s="2012"/>
      <c r="R85" s="2012"/>
      <c r="S85" s="2012"/>
      <c r="T85" s="2012"/>
      <c r="U85" s="2012"/>
      <c r="V85" s="2012"/>
    </row>
    <row r="86" spans="1:26" ht="13.5" thickBot="1">
      <c r="A86" s="386" t="s">
        <v>1828</v>
      </c>
      <c r="B86" s="387" t="s">
        <v>436</v>
      </c>
      <c r="C86" s="388">
        <f ca="1">IF(C85&lt;=0,0,ROUND(C85*D86,0))</f>
        <v>2766</v>
      </c>
      <c r="D86" s="389">
        <f>'数据-取费表'!B41</f>
        <v>5.6000000000000001E-2</v>
      </c>
      <c r="E86" s="390"/>
      <c r="F86" s="42"/>
      <c r="G86" s="42"/>
      <c r="H86" s="1003"/>
      <c r="I86" s="311"/>
      <c r="J86" s="2012"/>
      <c r="K86" s="3461"/>
      <c r="L86" s="3016" t="s">
        <v>2875</v>
      </c>
      <c r="M86" s="3006">
        <f ca="1">N69*0.5%</f>
        <v>449.69</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461"/>
      <c r="L87" s="3016" t="s">
        <v>2877</v>
      </c>
      <c r="M87" s="3006">
        <f ca="1">IF(N69&gt;=10000,(8.25+(N69-10000)*0.01%),IF(AND(N69&gt;=8000,N69&lt;10000),(7.85+(N69-8000)*0.02%),IF(AND(N69&gt;=5000,N69&lt;8000),(6.65+(N69-5000)*0.04%),IF(AND(N69&gt;=2000,N69&lt;5000),(4.25+(PN69-2000)*0.08%),IF(AND(N69&gt;=1000,N69&lt;2000),(2.75+(N69-1000)*0.15%),IF(AND(N69&gt;=100,N69&lt;1000),(0.5+(N69-100)*0.25%),IF(AND(N69&gt;0,N69&lt;100),N69*0.5%)))))))</f>
        <v>16.2438</v>
      </c>
      <c r="N87" s="53">
        <f ca="1">ROUND(M87*0.9,1)</f>
        <v>14.6</v>
      </c>
      <c r="O87" s="3009"/>
      <c r="P87" s="311"/>
      <c r="Q87" s="2012"/>
      <c r="R87" s="2012"/>
      <c r="S87" s="2012"/>
      <c r="T87" s="2012"/>
      <c r="U87" s="2012"/>
      <c r="V87" s="2012"/>
      <c r="W87" s="292"/>
      <c r="X87" s="292"/>
      <c r="Y87" s="292"/>
      <c r="Z87" s="292"/>
    </row>
    <row r="88" spans="1:26" s="1310" customFormat="1" ht="15" thickBot="1">
      <c r="A88" s="3443" t="s">
        <v>437</v>
      </c>
      <c r="B88" s="3444"/>
      <c r="C88" s="3444"/>
      <c r="D88" s="3444"/>
      <c r="E88" s="3444"/>
      <c r="F88" s="3444"/>
      <c r="G88" s="3444"/>
      <c r="H88" s="3444"/>
      <c r="I88" s="1311"/>
      <c r="J88" s="2020"/>
      <c r="K88" s="3461"/>
      <c r="L88" s="3016" t="s">
        <v>2878</v>
      </c>
      <c r="M88" s="3006">
        <f ca="1">IF(N69&gt;10000,N69*0.5%,IF(AND(N69&gt;5000,N69&lt;=10000),N69*1%,IF(AND(N69&gt;1000,N69&lt;=5000),N69*2%,IF(AND(N69&gt;200,N69&lt;=1000),N69*3%,N69*5%))))</f>
        <v>449.69</v>
      </c>
      <c r="N88" s="53">
        <f ca="1">ROUND(M88,1)</f>
        <v>449.7</v>
      </c>
      <c r="O88" s="3009"/>
      <c r="P88" s="11"/>
      <c r="Q88" s="2017"/>
      <c r="R88" s="2017"/>
      <c r="S88" s="2017"/>
      <c r="T88" s="2017"/>
      <c r="U88" s="2017"/>
      <c r="V88" s="2017"/>
      <c r="W88" s="2021"/>
      <c r="X88" s="2021"/>
      <c r="Y88" s="2021"/>
      <c r="Z88" s="2021"/>
    </row>
    <row r="89" spans="1:26" s="1310" customFormat="1" ht="14.25">
      <c r="A89" s="3441" t="s">
        <v>428</v>
      </c>
      <c r="B89" s="3442"/>
      <c r="C89" s="994"/>
      <c r="D89" s="994" t="s">
        <v>429</v>
      </c>
      <c r="E89" s="391" t="s">
        <v>438</v>
      </c>
      <c r="F89" s="392"/>
      <c r="G89" s="392"/>
      <c r="H89" s="393"/>
      <c r="I89" s="1312"/>
      <c r="J89" s="2022"/>
      <c r="K89" s="3461"/>
      <c r="L89" s="3016" t="s">
        <v>27</v>
      </c>
      <c r="M89" s="3007"/>
      <c r="N89" s="53">
        <f ca="1">ROUND(SUM(N83:N88),0)</f>
        <v>1454</v>
      </c>
      <c r="O89" s="3017">
        <f ca="1">N89/N69</f>
        <v>1.6166692610464987E-2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51393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2869</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00" t="s">
        <v>447</v>
      </c>
      <c r="F94" s="3399"/>
      <c r="G94" s="3399"/>
      <c r="H94" s="3440"/>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308</v>
      </c>
      <c r="D96" s="406">
        <f>'数据-取费表'!B43</f>
        <v>6.000000000000001E-3</v>
      </c>
      <c r="E96" s="3432" t="s">
        <v>2425</v>
      </c>
      <c r="F96" s="3433"/>
      <c r="G96" s="3433"/>
      <c r="H96" s="3434"/>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48524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16.913210177762288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28110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43" t="s">
        <v>454</v>
      </c>
      <c r="B101" s="3444"/>
      <c r="C101" s="3444"/>
      <c r="D101" s="3444"/>
      <c r="E101" s="3444"/>
      <c r="F101" s="3444"/>
      <c r="G101" s="3444"/>
      <c r="H101" s="3444"/>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441" t="s">
        <v>428</v>
      </c>
      <c r="B102" s="3442"/>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51393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998</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35" t="s">
        <v>462</v>
      </c>
      <c r="F109" s="3433"/>
      <c r="G109" s="3433"/>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35" t="s">
        <v>464</v>
      </c>
      <c r="F110" s="3433"/>
      <c r="G110" s="3433"/>
      <c r="H110" s="3434"/>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308</v>
      </c>
      <c r="D111" s="406">
        <f>'数据-取费表'!B43</f>
        <v>6.000000000000001E-3</v>
      </c>
      <c r="E111" s="3432" t="s">
        <v>2425</v>
      </c>
      <c r="F111" s="3433"/>
      <c r="G111" s="3433"/>
      <c r="H111" s="3434"/>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35" t="s">
        <v>2450</v>
      </c>
      <c r="F112" s="3433"/>
      <c r="G112" s="3433"/>
      <c r="H112" s="3434"/>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50395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50.495991983967933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29888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28949</v>
      </c>
      <c r="D13" s="451"/>
      <c r="E13" s="365"/>
      <c r="F13" s="452"/>
      <c r="G13" s="444"/>
      <c r="H13" s="447"/>
      <c r="I13" s="447"/>
      <c r="J13" s="447"/>
      <c r="K13" s="448"/>
    </row>
    <row r="14" spans="1:41" s="2100" customFormat="1" ht="13.5" customHeight="1">
      <c r="A14" s="1619" t="s">
        <v>1849</v>
      </c>
      <c r="B14" s="449" t="s">
        <v>480</v>
      </c>
      <c r="C14" s="53">
        <f ca="1">ROUND(C13*F14,0)</f>
        <v>868</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653</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1935</v>
      </c>
      <c r="D16" s="451">
        <f ca="1">IF(B1="",'数据-汇总表'!E3,INDIRECT("'数据-取费表'!K"&amp;$K$1)+INDIRECT("'数据-取费表'!S"&amp;$K$1))</f>
        <v>129023.22</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434</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32839</v>
      </c>
      <c r="D18" s="461"/>
      <c r="E18" s="462"/>
      <c r="F18" s="462"/>
      <c r="G18" s="1323" t="s">
        <v>2429</v>
      </c>
      <c r="H18" s="447"/>
      <c r="I18" s="447"/>
      <c r="J18" s="447"/>
      <c r="K18" s="448"/>
    </row>
    <row r="19" spans="1:14" s="2103" customFormat="1" ht="13.5" customHeight="1">
      <c r="A19" s="1620" t="s">
        <v>1854</v>
      </c>
      <c r="B19" s="459" t="s">
        <v>493</v>
      </c>
      <c r="C19" s="460">
        <f ca="1">ROUND(C18*F19,0)</f>
        <v>657</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729</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729</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2828</v>
      </c>
      <c r="C24" s="478">
        <f ca="1">C25</f>
        <v>3015</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3015</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40281</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9" t="str">
        <f>项目基本情况!B1</f>
        <v>重庆市南岸区涂山镇石溪路出让国有建设用地使用权抵押价格预评估</v>
      </c>
      <c r="C37" s="3289"/>
      <c r="D37" s="3289"/>
      <c r="E37" s="3289"/>
      <c r="F37" s="3289"/>
      <c r="G37" s="3289"/>
      <c r="H37" s="3289"/>
      <c r="I37" s="3289"/>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73" sqref="E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45501</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3527</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15163</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1011</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86" t="s">
        <v>522</v>
      </c>
      <c r="D6" s="3487"/>
      <c r="E6" s="3486" t="s">
        <v>523</v>
      </c>
      <c r="F6" s="3487"/>
      <c r="G6" s="3486" t="s">
        <v>524</v>
      </c>
      <c r="H6" s="3487"/>
      <c r="I6" s="3486" t="s">
        <v>525</v>
      </c>
      <c r="J6" s="3487"/>
      <c r="K6" s="514" t="s">
        <v>526</v>
      </c>
      <c r="L6" s="2117"/>
      <c r="M6" s="2116"/>
      <c r="N6" s="2116"/>
      <c r="O6" s="2118"/>
      <c r="P6" s="3488" t="s">
        <v>527</v>
      </c>
      <c r="Q6" s="3489"/>
      <c r="R6" s="3494" t="s">
        <v>523</v>
      </c>
      <c r="S6" s="3495"/>
      <c r="T6" s="3494" t="s">
        <v>524</v>
      </c>
      <c r="U6" s="3495"/>
      <c r="V6" s="3481" t="s">
        <v>525</v>
      </c>
      <c r="W6" s="3481"/>
      <c r="X6" s="1554"/>
      <c r="Y6" s="3494" t="s">
        <v>527</v>
      </c>
      <c r="Z6" s="3495"/>
      <c r="AA6" s="3483" t="s">
        <v>523</v>
      </c>
      <c r="AB6" s="3484" t="s">
        <v>524</v>
      </c>
      <c r="AC6" s="3483" t="s">
        <v>525</v>
      </c>
    </row>
    <row r="7" spans="1:30" ht="28.5" customHeight="1">
      <c r="A7" s="515"/>
      <c r="B7" s="516"/>
      <c r="C7" s="3502" t="s">
        <v>2919</v>
      </c>
      <c r="D7" s="3503"/>
      <c r="E7" s="3502" t="str">
        <f>土地案例!A5</f>
        <v>南岸区茶园组团A分区A81-3/03号宗地</v>
      </c>
      <c r="F7" s="3503"/>
      <c r="G7" s="3502" t="str">
        <f>土地案例!A4</f>
        <v>南岸区弹子石组团D分区D3-1/03号宗地</v>
      </c>
      <c r="H7" s="3503"/>
      <c r="I7" s="3502" t="str">
        <f>土地案例!A13</f>
        <v>南岸区弹子石组团D分区D1-6-1/03部分宗地</v>
      </c>
      <c r="J7" s="3503"/>
      <c r="K7" s="514"/>
      <c r="L7" s="2117"/>
      <c r="M7" s="2116"/>
      <c r="N7" s="2116"/>
      <c r="O7" s="2118"/>
      <c r="P7" s="3490"/>
      <c r="Q7" s="3491"/>
      <c r="R7" s="3496"/>
      <c r="S7" s="3497"/>
      <c r="T7" s="3496"/>
      <c r="U7" s="3497"/>
      <c r="V7" s="3481"/>
      <c r="W7" s="3481"/>
      <c r="X7" s="1554"/>
      <c r="Y7" s="3496"/>
      <c r="Z7" s="3497"/>
      <c r="AA7" s="3484"/>
      <c r="AB7" s="3484"/>
      <c r="AC7" s="3484"/>
    </row>
    <row r="8" spans="1:30" ht="21" thickBot="1">
      <c r="A8" s="515"/>
      <c r="B8" s="516"/>
      <c r="C8" s="3504" t="s">
        <v>2923</v>
      </c>
      <c r="D8" s="3505"/>
      <c r="E8" s="3504" t="s">
        <v>2923</v>
      </c>
      <c r="F8" s="3505"/>
      <c r="G8" s="3500" t="s">
        <v>2923</v>
      </c>
      <c r="H8" s="3501"/>
      <c r="I8" s="3500" t="s">
        <v>2923</v>
      </c>
      <c r="J8" s="3501"/>
      <c r="K8" s="514" t="s">
        <v>528</v>
      </c>
      <c r="L8" s="2117"/>
      <c r="M8" s="2116"/>
      <c r="N8" s="2116"/>
      <c r="O8" s="2118"/>
      <c r="P8" s="3492"/>
      <c r="Q8" s="3493"/>
      <c r="R8" s="3496"/>
      <c r="S8" s="3497"/>
      <c r="T8" s="3498"/>
      <c r="U8" s="3499"/>
      <c r="V8" s="3481"/>
      <c r="W8" s="3481"/>
      <c r="X8" s="1554"/>
      <c r="Y8" s="3498"/>
      <c r="Z8" s="3499"/>
      <c r="AA8" s="3485"/>
      <c r="AB8" s="3485"/>
      <c r="AC8" s="3485"/>
    </row>
    <row r="9" spans="1:30" s="1216" customFormat="1" ht="21" thickBot="1">
      <c r="A9" s="2866"/>
      <c r="B9" s="2873" t="s">
        <v>529</v>
      </c>
      <c r="C9" s="2865">
        <f>'数据-取费表'!B2</f>
        <v>43650</v>
      </c>
      <c r="D9" s="520">
        <v>100</v>
      </c>
      <c r="E9" s="521" t="str">
        <f>土地案例!H5</f>
        <v>2018-04-16</v>
      </c>
      <c r="F9" s="522">
        <f>SUMIF(72:72,YEAR(E9)&amp;"-"&amp;INT((MONTH(E9)+2)/3),73:73)</f>
        <v>95</v>
      </c>
      <c r="G9" s="523" t="str">
        <f>土地案例!H4</f>
        <v>2018-05-04</v>
      </c>
      <c r="H9" s="520">
        <f>SUMIF(72:72,YEAR(G9)&amp;"-"&amp;INT((MONTH(G9)+2)/3),73:73)</f>
        <v>95</v>
      </c>
      <c r="I9" s="523" t="str">
        <f>土地案例!H13</f>
        <v>2017-06-06</v>
      </c>
      <c r="J9" s="520">
        <f>SUMIF(72:72,YEAR(I9)&amp;"-"&amp;INT((MONTH(I9)+2)/3),73:73)</f>
        <v>91</v>
      </c>
      <c r="K9" s="524"/>
      <c r="L9" s="2119"/>
      <c r="M9" s="2116"/>
      <c r="N9" s="2116"/>
      <c r="O9" s="2120"/>
      <c r="P9" s="3511" t="s">
        <v>530</v>
      </c>
      <c r="Q9" s="3513"/>
      <c r="R9" s="1555" t="s">
        <v>8</v>
      </c>
      <c r="S9" s="1556">
        <f t="shared" ref="S9:S17" si="0">F9</f>
        <v>95</v>
      </c>
      <c r="T9" s="1555" t="s">
        <v>8</v>
      </c>
      <c r="U9" s="1556">
        <f t="shared" ref="U9:U17" si="1">H9</f>
        <v>95</v>
      </c>
      <c r="V9" s="1555" t="s">
        <v>8</v>
      </c>
      <c r="W9" s="1556">
        <f t="shared" ref="W9:W17" si="2">J9</f>
        <v>91</v>
      </c>
      <c r="X9" s="1557"/>
      <c r="Y9" s="3511" t="s">
        <v>530</v>
      </c>
      <c r="Z9" s="3512"/>
      <c r="AA9" s="1558">
        <f>D9/F9</f>
        <v>1.0526315789473684</v>
      </c>
      <c r="AB9" s="1558">
        <f>D9/H9</f>
        <v>1.0526315789473684</v>
      </c>
      <c r="AC9" s="1558">
        <f>D9/J9</f>
        <v>1.098901098901099</v>
      </c>
    </row>
    <row r="10" spans="1:30" s="1216" customFormat="1" ht="21" thickBot="1">
      <c r="A10" s="2867"/>
      <c r="B10" s="3274" t="s">
        <v>531</v>
      </c>
      <c r="C10" s="856" t="s">
        <v>532</v>
      </c>
      <c r="D10" s="520">
        <v>100</v>
      </c>
      <c r="E10" s="525" t="s">
        <v>3060</v>
      </c>
      <c r="F10" s="522">
        <f>SUMIF(75:75,E10,76:76)-SUMIF(75:75,C10,76:76)+100</f>
        <v>100</v>
      </c>
      <c r="G10" s="525" t="s">
        <v>3060</v>
      </c>
      <c r="H10" s="520">
        <f>SUMIF(75:75,G10,76:76)-SUMIF(75:75,C10,76:76)+100</f>
        <v>100</v>
      </c>
      <c r="I10" s="525" t="s">
        <v>3060</v>
      </c>
      <c r="J10" s="520">
        <f>SUMIF(75:75,I10,76:76)-SUMIF(75:75,C10,76:76)+100</f>
        <v>100</v>
      </c>
      <c r="K10" s="524"/>
      <c r="L10" s="2119"/>
      <c r="M10" s="2116"/>
      <c r="N10" s="2116"/>
      <c r="O10" s="2120"/>
      <c r="P10" s="3511" t="s">
        <v>533</v>
      </c>
      <c r="Q10" s="3512"/>
      <c r="R10" s="1555" t="s">
        <v>8</v>
      </c>
      <c r="S10" s="1556">
        <f t="shared" si="0"/>
        <v>100</v>
      </c>
      <c r="T10" s="1555" t="s">
        <v>8</v>
      </c>
      <c r="U10" s="1556">
        <f t="shared" si="1"/>
        <v>100</v>
      </c>
      <c r="V10" s="1555" t="s">
        <v>8</v>
      </c>
      <c r="W10" s="1556">
        <f t="shared" si="2"/>
        <v>100</v>
      </c>
      <c r="X10" s="1557"/>
      <c r="Y10" s="3511" t="s">
        <v>533</v>
      </c>
      <c r="Z10" s="3512"/>
      <c r="AA10" s="1558">
        <f t="shared" ref="AA10:AA47" si="3">D10/F10</f>
        <v>1</v>
      </c>
      <c r="AB10" s="1558">
        <f t="shared" ref="AB10:AB47" si="4">D10/H10</f>
        <v>1</v>
      </c>
      <c r="AC10" s="1558">
        <f t="shared" ref="AC10:AC47" si="5">D10/J10</f>
        <v>1</v>
      </c>
    </row>
    <row r="11" spans="1:30" s="1216" customFormat="1" ht="20.25">
      <c r="A11" s="2868"/>
      <c r="B11" s="2875" t="s">
        <v>2752</v>
      </c>
      <c r="C11" s="2862" t="s">
        <v>923</v>
      </c>
      <c r="D11" s="254">
        <v>100</v>
      </c>
      <c r="E11" s="526" t="s">
        <v>923</v>
      </c>
      <c r="F11" s="254">
        <f>SUMIF(77:77,E11,78:78)-SUMIF(77:77,C11,78:78)+100</f>
        <v>100</v>
      </c>
      <c r="G11" s="526" t="s">
        <v>3449</v>
      </c>
      <c r="H11" s="254">
        <f>SUMIF(77:77,G11,78:78)-SUMIF(77:77,C11,78:78)+100</f>
        <v>103</v>
      </c>
      <c r="I11" s="526" t="s">
        <v>923</v>
      </c>
      <c r="J11" s="254">
        <f>SUMIF(77:77,I11,78:78)-SUMIF(77:77,C11,78:78)+100</f>
        <v>100</v>
      </c>
      <c r="K11" s="524"/>
      <c r="L11" s="2119"/>
      <c r="M11" s="2116"/>
      <c r="N11" s="2116"/>
      <c r="O11" s="2121"/>
      <c r="P11" s="3480" t="s">
        <v>535</v>
      </c>
      <c r="Q11" s="1147" t="str">
        <f t="shared" ref="Q11:Q17" si="6">B11</f>
        <v>用途</v>
      </c>
      <c r="R11" s="1555" t="s">
        <v>8</v>
      </c>
      <c r="S11" s="1556">
        <f t="shared" si="0"/>
        <v>100</v>
      </c>
      <c r="T11" s="1555" t="s">
        <v>8</v>
      </c>
      <c r="U11" s="1556">
        <f t="shared" si="1"/>
        <v>103</v>
      </c>
      <c r="V11" s="1555" t="s">
        <v>8</v>
      </c>
      <c r="W11" s="1556">
        <f t="shared" si="2"/>
        <v>100</v>
      </c>
      <c r="X11" s="1557"/>
      <c r="Y11" s="3422" t="s">
        <v>536</v>
      </c>
      <c r="Z11" s="1146" t="str">
        <f t="shared" ref="Z11:Z17" si="7">Q11</f>
        <v>用途</v>
      </c>
      <c r="AA11" s="1558">
        <f t="shared" si="3"/>
        <v>1</v>
      </c>
      <c r="AB11" s="1558">
        <f t="shared" si="4"/>
        <v>0.970873786407767</v>
      </c>
      <c r="AC11" s="1558">
        <f t="shared" si="5"/>
        <v>1</v>
      </c>
    </row>
    <row r="12" spans="1:30" s="1334" customFormat="1" ht="27">
      <c r="A12" s="2869"/>
      <c r="B12" s="2874" t="s">
        <v>2753</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80"/>
      <c r="Q12" s="1147" t="str">
        <f t="shared" si="6"/>
        <v>土地使用年限（年）</v>
      </c>
      <c r="R12" s="1555" t="s">
        <v>8</v>
      </c>
      <c r="S12" s="1556">
        <f t="shared" si="0"/>
        <v>121</v>
      </c>
      <c r="T12" s="1555" t="s">
        <v>8</v>
      </c>
      <c r="U12" s="1556">
        <f t="shared" si="1"/>
        <v>121</v>
      </c>
      <c r="V12" s="1555" t="s">
        <v>8</v>
      </c>
      <c r="W12" s="1556">
        <f t="shared" si="2"/>
        <v>121</v>
      </c>
      <c r="X12" s="1557"/>
      <c r="Y12" s="3422"/>
      <c r="Z12" s="1146" t="str">
        <f t="shared" si="7"/>
        <v>土地使用年限（年）</v>
      </c>
      <c r="AA12" s="1558">
        <f t="shared" si="3"/>
        <v>0.82644628099173556</v>
      </c>
      <c r="AB12" s="1558">
        <f t="shared" si="4"/>
        <v>0.82644628099173556</v>
      </c>
      <c r="AC12" s="1558">
        <f t="shared" si="5"/>
        <v>0.82644628099173556</v>
      </c>
    </row>
    <row r="13" spans="1:30" ht="20.25">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80"/>
      <c r="Q13" s="1147" t="str">
        <f t="shared" si="6"/>
        <v>容积率</v>
      </c>
      <c r="R13" s="1555" t="s">
        <v>8</v>
      </c>
      <c r="S13" s="1556">
        <f t="shared" si="0"/>
        <v>100</v>
      </c>
      <c r="T13" s="1555" t="s">
        <v>8</v>
      </c>
      <c r="U13" s="1556">
        <f t="shared" si="1"/>
        <v>100</v>
      </c>
      <c r="V13" s="1555" t="s">
        <v>8</v>
      </c>
      <c r="W13" s="1556">
        <f t="shared" si="2"/>
        <v>100</v>
      </c>
      <c r="X13" s="1557"/>
      <c r="Y13" s="3422"/>
      <c r="Z13" s="1146" t="str">
        <f t="shared" si="7"/>
        <v>容积率</v>
      </c>
      <c r="AA13" s="1558">
        <f t="shared" si="3"/>
        <v>1</v>
      </c>
      <c r="AB13" s="1558">
        <f t="shared" si="4"/>
        <v>1</v>
      </c>
      <c r="AC13" s="1558">
        <f t="shared" si="5"/>
        <v>1</v>
      </c>
    </row>
    <row r="14" spans="1:30" s="1216" customFormat="1" ht="20.25">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80"/>
      <c r="Q14" s="1147" t="str">
        <f t="shared" si="6"/>
        <v>配建</v>
      </c>
      <c r="R14" s="1555" t="s">
        <v>8</v>
      </c>
      <c r="S14" s="1556">
        <f t="shared" si="0"/>
        <v>100</v>
      </c>
      <c r="T14" s="1555" t="s">
        <v>8</v>
      </c>
      <c r="U14" s="1556">
        <f t="shared" si="1"/>
        <v>100</v>
      </c>
      <c r="V14" s="1555" t="s">
        <v>8</v>
      </c>
      <c r="W14" s="1556">
        <f t="shared" si="2"/>
        <v>100</v>
      </c>
      <c r="X14" s="1557"/>
      <c r="Y14" s="3422"/>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80"/>
      <c r="Q15" s="1147">
        <f t="shared" si="6"/>
        <v>111</v>
      </c>
      <c r="R15" s="1555" t="s">
        <v>8</v>
      </c>
      <c r="S15" s="1556">
        <f t="shared" si="0"/>
        <v>100</v>
      </c>
      <c r="T15" s="1555" t="s">
        <v>8</v>
      </c>
      <c r="U15" s="1556">
        <f t="shared" si="1"/>
        <v>100</v>
      </c>
      <c r="V15" s="1555" t="s">
        <v>8</v>
      </c>
      <c r="W15" s="1556">
        <f t="shared" si="2"/>
        <v>100</v>
      </c>
      <c r="X15" s="1557"/>
      <c r="Y15" s="3422"/>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80"/>
      <c r="Q16" s="1147">
        <f t="shared" si="6"/>
        <v>111</v>
      </c>
      <c r="R16" s="1555" t="s">
        <v>8</v>
      </c>
      <c r="S16" s="1556">
        <f t="shared" si="0"/>
        <v>100</v>
      </c>
      <c r="T16" s="1555" t="s">
        <v>8</v>
      </c>
      <c r="U16" s="1556">
        <f t="shared" si="1"/>
        <v>100</v>
      </c>
      <c r="V16" s="1555" t="s">
        <v>8</v>
      </c>
      <c r="W16" s="1556">
        <f t="shared" si="2"/>
        <v>100</v>
      </c>
      <c r="X16" s="1557"/>
      <c r="Y16" s="3422"/>
      <c r="Z16" s="1146">
        <f t="shared" si="7"/>
        <v>111</v>
      </c>
      <c r="AA16" s="1558">
        <f>D16/F16</f>
        <v>1</v>
      </c>
      <c r="AB16" s="1558">
        <f>D16/H16</f>
        <v>1</v>
      </c>
      <c r="AC16" s="1558">
        <f>D16/J16</f>
        <v>1</v>
      </c>
    </row>
    <row r="17" spans="1:29" ht="11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3142</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514" t="s">
        <v>540</v>
      </c>
      <c r="Q17" s="1559" t="str">
        <f t="shared" si="6"/>
        <v>居住社区成熟度</v>
      </c>
      <c r="R17" s="1560" t="s">
        <v>8</v>
      </c>
      <c r="S17" s="1561">
        <f t="shared" si="0"/>
        <v>98</v>
      </c>
      <c r="T17" s="1560" t="s">
        <v>8</v>
      </c>
      <c r="U17" s="1561">
        <f t="shared" si="1"/>
        <v>100</v>
      </c>
      <c r="V17" s="1560" t="s">
        <v>8</v>
      </c>
      <c r="W17" s="1561">
        <f t="shared" si="2"/>
        <v>100</v>
      </c>
      <c r="X17" s="1554"/>
      <c r="Y17" s="3514" t="s">
        <v>540</v>
      </c>
      <c r="Z17" s="1562" t="str">
        <f t="shared" si="7"/>
        <v>居住社区成熟度</v>
      </c>
      <c r="AA17" s="1563">
        <f t="shared" si="3"/>
        <v>1.0204081632653061</v>
      </c>
      <c r="AB17" s="1563">
        <f t="shared" si="4"/>
        <v>1</v>
      </c>
      <c r="AC17" s="1563">
        <f t="shared" si="5"/>
        <v>1</v>
      </c>
    </row>
    <row r="18" spans="1:29" ht="21" thickBot="1">
      <c r="A18" s="532"/>
      <c r="B18" s="553"/>
      <c r="C18" s="554" t="s">
        <v>3137</v>
      </c>
      <c r="D18" s="557"/>
      <c r="E18" s="558" t="s">
        <v>3138</v>
      </c>
      <c r="F18" s="555"/>
      <c r="G18" s="556" t="s">
        <v>3137</v>
      </c>
      <c r="H18" s="559"/>
      <c r="I18" s="558" t="s">
        <v>3137</v>
      </c>
      <c r="J18" s="555"/>
      <c r="K18" s="531"/>
      <c r="L18" s="2126"/>
      <c r="M18" s="2116"/>
      <c r="N18" s="2116"/>
      <c r="O18" s="2125"/>
      <c r="P18" s="3515"/>
      <c r="Q18" s="1559"/>
      <c r="R18" s="1560"/>
      <c r="S18" s="1561"/>
      <c r="T18" s="1560"/>
      <c r="U18" s="1561"/>
      <c r="V18" s="1560"/>
      <c r="W18" s="1561"/>
      <c r="X18" s="1554"/>
      <c r="Y18" s="3515"/>
      <c r="Z18" s="1562"/>
      <c r="AA18" s="1563">
        <v>1</v>
      </c>
      <c r="AB18" s="1563">
        <v>1</v>
      </c>
      <c r="AC18" s="1563">
        <v>1</v>
      </c>
    </row>
    <row r="19" spans="1:29" ht="99.75"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515"/>
      <c r="Q19" s="1559" t="str">
        <f>B19</f>
        <v>商业繁华度</v>
      </c>
      <c r="R19" s="1560" t="s">
        <v>8</v>
      </c>
      <c r="S19" s="1561">
        <f>F19</f>
        <v>100</v>
      </c>
      <c r="T19" s="1560" t="s">
        <v>8</v>
      </c>
      <c r="U19" s="1561">
        <f>H19</f>
        <v>100</v>
      </c>
      <c r="V19" s="1560" t="s">
        <v>8</v>
      </c>
      <c r="W19" s="1561">
        <f>J19</f>
        <v>100</v>
      </c>
      <c r="X19" s="1554"/>
      <c r="Y19" s="3515"/>
      <c r="Z19" s="1562" t="str">
        <f>Q19</f>
        <v>商业繁华度</v>
      </c>
      <c r="AA19" s="1563">
        <f t="shared" si="3"/>
        <v>1</v>
      </c>
      <c r="AB19" s="1563">
        <f t="shared" si="4"/>
        <v>1</v>
      </c>
      <c r="AC19" s="1563">
        <f t="shared" si="5"/>
        <v>1</v>
      </c>
    </row>
    <row r="20" spans="1:29" ht="21" hidden="1" thickBot="1">
      <c r="A20" s="532"/>
      <c r="B20" s="566"/>
      <c r="C20" s="567" t="s">
        <v>3137</v>
      </c>
      <c r="D20" s="563"/>
      <c r="E20" s="569" t="s">
        <v>3137</v>
      </c>
      <c r="F20" s="559"/>
      <c r="G20" s="568" t="s">
        <v>3137</v>
      </c>
      <c r="H20" s="555"/>
      <c r="I20" s="569" t="s">
        <v>3137</v>
      </c>
      <c r="J20" s="555"/>
      <c r="K20" s="531"/>
      <c r="L20" s="2126"/>
      <c r="M20" s="2116"/>
      <c r="N20" s="2116"/>
      <c r="O20" s="2125"/>
      <c r="P20" s="3515"/>
      <c r="Q20" s="1559"/>
      <c r="R20" s="1560"/>
      <c r="S20" s="1561"/>
      <c r="T20" s="1560"/>
      <c r="U20" s="1561"/>
      <c r="V20" s="1560"/>
      <c r="W20" s="1561"/>
      <c r="X20" s="1554"/>
      <c r="Y20" s="3515"/>
      <c r="Z20" s="1562"/>
      <c r="AA20" s="1563">
        <v>1</v>
      </c>
      <c r="AB20" s="1563">
        <v>1</v>
      </c>
      <c r="AC20" s="1563">
        <v>1</v>
      </c>
    </row>
    <row r="21" spans="1:29" ht="57"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515"/>
      <c r="Q21" s="1559" t="str">
        <f>B21</f>
        <v>办公集聚程度</v>
      </c>
      <c r="R21" s="1560" t="s">
        <v>8</v>
      </c>
      <c r="S21" s="1561">
        <f>F21</f>
        <v>100</v>
      </c>
      <c r="T21" s="1560" t="s">
        <v>8</v>
      </c>
      <c r="U21" s="1561">
        <f>H21</f>
        <v>100</v>
      </c>
      <c r="V21" s="1560" t="s">
        <v>8</v>
      </c>
      <c r="W21" s="1561">
        <f>J21</f>
        <v>100</v>
      </c>
      <c r="X21" s="1554"/>
      <c r="Y21" s="3515"/>
      <c r="Z21" s="1562" t="str">
        <f>Q21</f>
        <v>办公集聚程度</v>
      </c>
      <c r="AA21" s="1563">
        <f t="shared" si="3"/>
        <v>1</v>
      </c>
      <c r="AB21" s="1563">
        <f t="shared" si="4"/>
        <v>1</v>
      </c>
      <c r="AC21" s="1563">
        <f t="shared" si="5"/>
        <v>1</v>
      </c>
    </row>
    <row r="22" spans="1:29" ht="21" hidden="1" thickBot="1">
      <c r="A22" s="532"/>
      <c r="B22" s="566"/>
      <c r="C22" s="554" t="s">
        <v>3138</v>
      </c>
      <c r="D22" s="557"/>
      <c r="E22" s="558" t="s">
        <v>3138</v>
      </c>
      <c r="F22" s="555"/>
      <c r="G22" s="556" t="s">
        <v>3138</v>
      </c>
      <c r="H22" s="555"/>
      <c r="I22" s="558" t="s">
        <v>3138</v>
      </c>
      <c r="J22" s="555"/>
      <c r="K22" s="531"/>
      <c r="L22" s="2126"/>
      <c r="M22" s="2116"/>
      <c r="N22" s="2116"/>
      <c r="O22" s="2125"/>
      <c r="P22" s="3515"/>
      <c r="Q22" s="1559"/>
      <c r="R22" s="1560"/>
      <c r="S22" s="1561"/>
      <c r="T22" s="1560"/>
      <c r="U22" s="1561"/>
      <c r="V22" s="1560"/>
      <c r="W22" s="1561"/>
      <c r="X22" s="1554"/>
      <c r="Y22" s="3515"/>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3143</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515"/>
      <c r="Q23" s="1559" t="str">
        <f>B23</f>
        <v>交通便捷度</v>
      </c>
      <c r="R23" s="1560" t="s">
        <v>8</v>
      </c>
      <c r="S23" s="1561">
        <f>F23</f>
        <v>96</v>
      </c>
      <c r="T23" s="1560" t="s">
        <v>8</v>
      </c>
      <c r="U23" s="1561">
        <f>H23</f>
        <v>100</v>
      </c>
      <c r="V23" s="1560" t="s">
        <v>8</v>
      </c>
      <c r="W23" s="1561">
        <f>J23</f>
        <v>100</v>
      </c>
      <c r="X23" s="1554"/>
      <c r="Y23" s="3515"/>
      <c r="Z23" s="1562" t="str">
        <f>Q23</f>
        <v>交通便捷度</v>
      </c>
      <c r="AA23" s="1563">
        <f t="shared" si="3"/>
        <v>1.0416666666666667</v>
      </c>
      <c r="AB23" s="1563">
        <f t="shared" si="4"/>
        <v>1</v>
      </c>
      <c r="AC23" s="1563">
        <f t="shared" si="5"/>
        <v>1</v>
      </c>
    </row>
    <row r="24" spans="1:29" ht="20.25">
      <c r="A24" s="532"/>
      <c r="B24" s="578"/>
      <c r="C24" s="554" t="s">
        <v>3139</v>
      </c>
      <c r="D24" s="557"/>
      <c r="E24" s="558" t="s">
        <v>3138</v>
      </c>
      <c r="F24" s="555"/>
      <c r="G24" s="556" t="s">
        <v>3139</v>
      </c>
      <c r="H24" s="555"/>
      <c r="I24" s="558" t="s">
        <v>3139</v>
      </c>
      <c r="J24" s="555"/>
      <c r="K24" s="531"/>
      <c r="L24" s="2126"/>
      <c r="M24" s="2116"/>
      <c r="N24" s="2116"/>
      <c r="O24" s="2125"/>
      <c r="P24" s="3515"/>
      <c r="Q24" s="1559"/>
      <c r="R24" s="1560"/>
      <c r="S24" s="1561"/>
      <c r="T24" s="1560"/>
      <c r="U24" s="1561"/>
      <c r="V24" s="1560"/>
      <c r="W24" s="1561"/>
      <c r="X24" s="1554"/>
      <c r="Y24" s="3515"/>
      <c r="Z24" s="1562"/>
      <c r="AA24" s="1563">
        <v>1</v>
      </c>
      <c r="AB24" s="1563">
        <v>1</v>
      </c>
      <c r="AC24" s="1563">
        <v>1</v>
      </c>
    </row>
    <row r="25" spans="1:29" ht="42.75">
      <c r="A25" s="515"/>
      <c r="B25" s="259" t="s">
        <v>544</v>
      </c>
      <c r="C25" s="573" t="str">
        <f>估价对象房地状况!C19</f>
        <v>零星有其他用地，对本宗地无不利影响。</v>
      </c>
      <c r="D25" s="563">
        <v>100</v>
      </c>
      <c r="E25" s="3197" t="s">
        <v>3144</v>
      </c>
      <c r="F25" s="565">
        <f>SUMIF(98:98,E26,99:99)-SUMIF(98:98,C26,99:99)+100</f>
        <v>100</v>
      </c>
      <c r="G25" s="3198" t="s">
        <v>3145</v>
      </c>
      <c r="H25" s="559">
        <f>SUMIF(98:98,G26,99:99)-SUMIF(98:98,C26,99:99)+100</f>
        <v>100</v>
      </c>
      <c r="I25" s="3197" t="s">
        <v>3145</v>
      </c>
      <c r="J25" s="559">
        <f>SUMIF(98:98,I26,99:99)-SUMIF(98:98,C26,99:99)+100</f>
        <v>100</v>
      </c>
      <c r="K25" s="535">
        <v>2</v>
      </c>
      <c r="L25" s="2126"/>
      <c r="M25" s="2116"/>
      <c r="N25" s="2116"/>
      <c r="O25" s="2125"/>
      <c r="P25" s="3515"/>
      <c r="Q25" s="1559" t="str">
        <f t="shared" ref="Q25:Q39" si="8">B25</f>
        <v>区域土地利用方向</v>
      </c>
      <c r="R25" s="1560" t="s">
        <v>8</v>
      </c>
      <c r="S25" s="1561">
        <f>F25</f>
        <v>100</v>
      </c>
      <c r="T25" s="1560" t="s">
        <v>8</v>
      </c>
      <c r="U25" s="1561">
        <f>H25</f>
        <v>100</v>
      </c>
      <c r="V25" s="1560" t="s">
        <v>8</v>
      </c>
      <c r="W25" s="1561">
        <f>J25</f>
        <v>100</v>
      </c>
      <c r="X25" s="1554"/>
      <c r="Y25" s="3515"/>
      <c r="Z25" s="1562" t="str">
        <f>Q25</f>
        <v>区域土地利用方向</v>
      </c>
      <c r="AA25" s="1563">
        <f t="shared" si="3"/>
        <v>1</v>
      </c>
      <c r="AB25" s="1563">
        <f t="shared" si="4"/>
        <v>1</v>
      </c>
      <c r="AC25" s="1563">
        <f t="shared" si="5"/>
        <v>1</v>
      </c>
    </row>
    <row r="26" spans="1:29" ht="20.25">
      <c r="A26" s="515"/>
      <c r="B26" s="1007"/>
      <c r="C26" s="554" t="s">
        <v>3139</v>
      </c>
      <c r="D26" s="557"/>
      <c r="E26" s="558" t="s">
        <v>3139</v>
      </c>
      <c r="F26" s="555"/>
      <c r="G26" s="556" t="s">
        <v>3139</v>
      </c>
      <c r="H26" s="555"/>
      <c r="I26" s="558" t="s">
        <v>3139</v>
      </c>
      <c r="J26" s="555"/>
      <c r="K26" s="531"/>
      <c r="L26" s="2126"/>
      <c r="M26" s="2116"/>
      <c r="N26" s="2116"/>
      <c r="O26" s="2125"/>
      <c r="P26" s="3515"/>
      <c r="Q26" s="1559"/>
      <c r="R26" s="1560"/>
      <c r="S26" s="1561"/>
      <c r="T26" s="1560"/>
      <c r="U26" s="1561"/>
      <c r="V26" s="1560"/>
      <c r="W26" s="1561"/>
      <c r="X26" s="1554"/>
      <c r="Y26" s="3515"/>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3146</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515"/>
      <c r="Q27" s="1559" t="str">
        <f t="shared" si="8"/>
        <v>自然及人文环境状况</v>
      </c>
      <c r="R27" s="1560" t="s">
        <v>8</v>
      </c>
      <c r="S27" s="1561">
        <f>F27</f>
        <v>98</v>
      </c>
      <c r="T27" s="1560" t="s">
        <v>8</v>
      </c>
      <c r="U27" s="1561">
        <f>H27</f>
        <v>100</v>
      </c>
      <c r="V27" s="1560" t="s">
        <v>8</v>
      </c>
      <c r="W27" s="1561">
        <f>J27</f>
        <v>100</v>
      </c>
      <c r="X27" s="1554"/>
      <c r="Y27" s="3515"/>
      <c r="Z27" s="1562" t="str">
        <f>Q27</f>
        <v>自然及人文环境状况</v>
      </c>
      <c r="AA27" s="1563">
        <f t="shared" si="3"/>
        <v>1.0204081632653061</v>
      </c>
      <c r="AB27" s="1563">
        <f t="shared" si="4"/>
        <v>1</v>
      </c>
      <c r="AC27" s="1563">
        <f t="shared" si="5"/>
        <v>1</v>
      </c>
    </row>
    <row r="28" spans="1:29" ht="20.25">
      <c r="A28" s="515"/>
      <c r="B28" s="566"/>
      <c r="C28" s="554" t="s">
        <v>3137</v>
      </c>
      <c r="D28" s="557"/>
      <c r="E28" s="576" t="s">
        <v>3138</v>
      </c>
      <c r="F28" s="555"/>
      <c r="G28" s="554" t="s">
        <v>3137</v>
      </c>
      <c r="H28" s="555"/>
      <c r="I28" s="576" t="s">
        <v>3137</v>
      </c>
      <c r="J28" s="555"/>
      <c r="K28" s="531"/>
      <c r="L28" s="2126"/>
      <c r="M28" s="2116"/>
      <c r="N28" s="2116"/>
      <c r="O28" s="2125"/>
      <c r="P28" s="3515"/>
      <c r="Q28" s="1559"/>
      <c r="R28" s="1560"/>
      <c r="S28" s="1561"/>
      <c r="T28" s="1560"/>
      <c r="U28" s="1561"/>
      <c r="V28" s="1560"/>
      <c r="W28" s="1561"/>
      <c r="X28" s="1554"/>
      <c r="Y28" s="3515"/>
      <c r="Z28" s="1562"/>
      <c r="AA28" s="1563">
        <v>1</v>
      </c>
      <c r="AB28" s="1563">
        <v>1</v>
      </c>
      <c r="AC28" s="1563">
        <v>1</v>
      </c>
    </row>
    <row r="29" spans="1:29" s="1216" customFormat="1" ht="42.75">
      <c r="A29" s="577"/>
      <c r="B29" s="2554" t="s">
        <v>2545</v>
      </c>
      <c r="C29" s="573" t="str">
        <f>估价对象房地状况!C21</f>
        <v>估价对象所在区域公共配套设施齐备情况较好。</v>
      </c>
      <c r="D29" s="563">
        <v>100</v>
      </c>
      <c r="E29" s="3197" t="s">
        <v>3147</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515"/>
      <c r="Q29" s="1147" t="str">
        <f t="shared" si="8"/>
        <v>公共配套设施</v>
      </c>
      <c r="R29" s="1555" t="s">
        <v>8</v>
      </c>
      <c r="S29" s="1556">
        <f>F29</f>
        <v>98</v>
      </c>
      <c r="T29" s="1555" t="s">
        <v>8</v>
      </c>
      <c r="U29" s="1556">
        <f>H29</f>
        <v>100</v>
      </c>
      <c r="V29" s="1555" t="s">
        <v>8</v>
      </c>
      <c r="W29" s="1556">
        <f>J29</f>
        <v>100</v>
      </c>
      <c r="X29" s="1557"/>
      <c r="Y29" s="3515"/>
      <c r="Z29" s="1146" t="str">
        <f>Q29</f>
        <v>公共配套设施</v>
      </c>
      <c r="AA29" s="1563">
        <f>D29/F29</f>
        <v>1.0204081632653061</v>
      </c>
      <c r="AB29" s="1563">
        <f>D29/H29</f>
        <v>1</v>
      </c>
      <c r="AC29" s="1563">
        <f>D29/J29</f>
        <v>1</v>
      </c>
    </row>
    <row r="30" spans="1:29" s="1216" customFormat="1" ht="20.25">
      <c r="A30" s="577"/>
      <c r="B30" s="566"/>
      <c r="C30" s="579" t="s">
        <v>3139</v>
      </c>
      <c r="D30" s="557"/>
      <c r="E30" s="576" t="s">
        <v>3137</v>
      </c>
      <c r="F30" s="555"/>
      <c r="G30" s="554" t="s">
        <v>3139</v>
      </c>
      <c r="H30" s="555"/>
      <c r="I30" s="576" t="s">
        <v>3139</v>
      </c>
      <c r="J30" s="555"/>
      <c r="K30" s="531"/>
      <c r="L30" s="2119"/>
      <c r="M30" s="2116"/>
      <c r="N30" s="2116"/>
      <c r="O30" s="2121"/>
      <c r="P30" s="3515"/>
      <c r="Q30" s="1147"/>
      <c r="R30" s="1555"/>
      <c r="S30" s="1556"/>
      <c r="T30" s="1555"/>
      <c r="U30" s="1556"/>
      <c r="V30" s="1555"/>
      <c r="W30" s="1556"/>
      <c r="X30" s="1557"/>
      <c r="Y30" s="3515"/>
      <c r="Z30" s="1146"/>
      <c r="AA30" s="1563">
        <v>1</v>
      </c>
      <c r="AB30" s="1563">
        <v>1</v>
      </c>
      <c r="AC30" s="1563">
        <v>1</v>
      </c>
    </row>
    <row r="31" spans="1:29" s="1216" customFormat="1" ht="42.75">
      <c r="A31" s="577"/>
      <c r="B31" s="2554" t="s">
        <v>2546</v>
      </c>
      <c r="C31" s="573" t="str">
        <f>估价对象房地状况!C22</f>
        <v>估价对象所在区域基础设施水平达“六通”。</v>
      </c>
      <c r="D31" s="563">
        <v>100</v>
      </c>
      <c r="E31" s="564" t="s">
        <v>3148</v>
      </c>
      <c r="F31" s="559">
        <f>SUMIF(104:104,E32,105:105)-SUMIF(104:104,C32,105:105)+100</f>
        <v>100</v>
      </c>
      <c r="G31" s="564" t="s">
        <v>3148</v>
      </c>
      <c r="H31" s="559">
        <f>SUMIF(104:104,G32,105:105)-SUMIF(104:104,C32,105:105)+100</f>
        <v>100</v>
      </c>
      <c r="I31" s="564" t="s">
        <v>3148</v>
      </c>
      <c r="J31" s="559">
        <f>SUMIF(104:104,I32,105:105)-SUMIF(104:104,C32,105:105)+100</f>
        <v>100</v>
      </c>
      <c r="K31" s="535">
        <v>2</v>
      </c>
      <c r="L31" s="2119"/>
      <c r="M31" s="2116"/>
      <c r="N31" s="2116"/>
      <c r="O31" s="2121"/>
      <c r="P31" s="3515"/>
      <c r="Q31" s="2541" t="str">
        <f t="shared" ref="Q31" si="9">B31</f>
        <v>基础设施水平</v>
      </c>
      <c r="R31" s="1555" t="s">
        <v>8</v>
      </c>
      <c r="S31" s="1556">
        <f>F31</f>
        <v>100</v>
      </c>
      <c r="T31" s="1555" t="s">
        <v>8</v>
      </c>
      <c r="U31" s="1556">
        <f>H31</f>
        <v>100</v>
      </c>
      <c r="V31" s="1555" t="s">
        <v>8</v>
      </c>
      <c r="W31" s="1556">
        <f>J31</f>
        <v>100</v>
      </c>
      <c r="X31" s="1557"/>
      <c r="Y31" s="3515"/>
      <c r="Z31" s="2538" t="str">
        <f>Q31</f>
        <v>基础设施水平</v>
      </c>
      <c r="AA31" s="1563">
        <f>D31/F31</f>
        <v>1</v>
      </c>
      <c r="AB31" s="1563">
        <f>D31/H31</f>
        <v>1</v>
      </c>
      <c r="AC31" s="1563">
        <f>D31/J31</f>
        <v>1</v>
      </c>
    </row>
    <row r="32" spans="1:29" s="1216" customFormat="1" ht="20.25">
      <c r="A32" s="577"/>
      <c r="B32" s="566"/>
      <c r="C32" s="579" t="s">
        <v>3140</v>
      </c>
      <c r="D32" s="557"/>
      <c r="E32" s="2555" t="s">
        <v>3140</v>
      </c>
      <c r="F32" s="555"/>
      <c r="G32" s="579" t="s">
        <v>3140</v>
      </c>
      <c r="H32" s="555"/>
      <c r="I32" s="579" t="s">
        <v>3140</v>
      </c>
      <c r="J32" s="555"/>
      <c r="K32" s="531"/>
      <c r="L32" s="2119"/>
      <c r="M32" s="2116"/>
      <c r="N32" s="2116"/>
      <c r="O32" s="2121"/>
      <c r="P32" s="3515"/>
      <c r="Q32" s="2541"/>
      <c r="R32" s="1555"/>
      <c r="S32" s="1556"/>
      <c r="T32" s="1555"/>
      <c r="U32" s="1556"/>
      <c r="V32" s="1555"/>
      <c r="W32" s="1556"/>
      <c r="X32" s="1557"/>
      <c r="Y32" s="3515"/>
      <c r="Z32" s="2538"/>
      <c r="AA32" s="1563">
        <v>1</v>
      </c>
      <c r="AB32" s="1563">
        <v>1</v>
      </c>
      <c r="AC32" s="1563">
        <v>1</v>
      </c>
    </row>
    <row r="33" spans="1:29" ht="20.25">
      <c r="A33" s="532"/>
      <c r="B33" s="566" t="s">
        <v>547</v>
      </c>
      <c r="C33" s="580" t="s">
        <v>3016</v>
      </c>
      <c r="D33" s="575">
        <v>100</v>
      </c>
      <c r="E33" s="583" t="s">
        <v>3016</v>
      </c>
      <c r="F33" s="540">
        <f>SUMIF(106:106,E33,107:107)-SUMIF(106:106,C33,107:107)+100</f>
        <v>100</v>
      </c>
      <c r="G33" s="580" t="s">
        <v>3016</v>
      </c>
      <c r="H33" s="540">
        <f>SUMIF(106:106,G33,107:107)-SUMIF(106:106,C33,107:107)+100</f>
        <v>100</v>
      </c>
      <c r="I33" s="580" t="s">
        <v>3016</v>
      </c>
      <c r="J33" s="540">
        <f>SUMIF(106:106,I33,107:107)-SUMIF(106:106,C33,107:107)+100</f>
        <v>100</v>
      </c>
      <c r="K33" s="3199">
        <v>0</v>
      </c>
      <c r="L33" s="2126"/>
      <c r="M33" s="2116"/>
      <c r="N33" s="2116"/>
      <c r="O33" s="2125"/>
      <c r="P33" s="351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51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515"/>
      <c r="Q34" s="1559" t="str">
        <f t="shared" si="8"/>
        <v>毗邻道路的类型与等级</v>
      </c>
      <c r="R34" s="1560" t="s">
        <v>8</v>
      </c>
      <c r="S34" s="1561">
        <f t="shared" si="10"/>
        <v>100</v>
      </c>
      <c r="T34" s="1560" t="s">
        <v>8</v>
      </c>
      <c r="U34" s="1561">
        <f t="shared" si="11"/>
        <v>100</v>
      </c>
      <c r="V34" s="1560" t="s">
        <v>8</v>
      </c>
      <c r="W34" s="1561">
        <f t="shared" si="12"/>
        <v>100</v>
      </c>
      <c r="X34" s="1554"/>
      <c r="Y34" s="3515"/>
      <c r="Z34" s="1562" t="str">
        <f t="shared" si="13"/>
        <v>毗邻道路的类型与等级</v>
      </c>
      <c r="AA34" s="1563">
        <f t="shared" si="3"/>
        <v>1</v>
      </c>
      <c r="AB34" s="1563">
        <f t="shared" si="4"/>
        <v>1</v>
      </c>
      <c r="AC34" s="1563">
        <f t="shared" si="5"/>
        <v>1</v>
      </c>
    </row>
    <row r="35" spans="1:29" ht="21" thickBot="1">
      <c r="A35" s="532"/>
      <c r="B35" s="566"/>
      <c r="C35" s="554" t="s">
        <v>3141</v>
      </c>
      <c r="D35" s="557"/>
      <c r="E35" s="576" t="s">
        <v>3141</v>
      </c>
      <c r="F35" s="555"/>
      <c r="G35" s="554" t="s">
        <v>3141</v>
      </c>
      <c r="H35" s="555"/>
      <c r="I35" s="576" t="s">
        <v>3141</v>
      </c>
      <c r="J35" s="555"/>
      <c r="K35" s="581"/>
      <c r="L35" s="2126"/>
      <c r="M35" s="2116"/>
      <c r="N35" s="2116"/>
      <c r="O35" s="2125"/>
      <c r="P35" s="3515"/>
      <c r="Q35" s="1559"/>
      <c r="R35" s="1560"/>
      <c r="S35" s="1561"/>
      <c r="T35" s="1560"/>
      <c r="U35" s="1561"/>
      <c r="V35" s="1560"/>
      <c r="W35" s="1561"/>
      <c r="X35" s="1554"/>
      <c r="Y35" s="3515"/>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515"/>
      <c r="Q36" s="1559" t="str">
        <f t="shared" si="8"/>
        <v>土地级别</v>
      </c>
      <c r="R36" s="1560" t="s">
        <v>8</v>
      </c>
      <c r="S36" s="1561">
        <f t="shared" si="10"/>
        <v>100</v>
      </c>
      <c r="T36" s="1560" t="s">
        <v>8</v>
      </c>
      <c r="U36" s="1561">
        <f t="shared" si="11"/>
        <v>100</v>
      </c>
      <c r="V36" s="1560" t="s">
        <v>8</v>
      </c>
      <c r="W36" s="1561">
        <f t="shared" si="12"/>
        <v>100</v>
      </c>
      <c r="X36" s="1554"/>
      <c r="Y36" s="3515"/>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515"/>
      <c r="Q37" s="1559">
        <f t="shared" si="8"/>
        <v>111</v>
      </c>
      <c r="R37" s="1560" t="s">
        <v>8</v>
      </c>
      <c r="S37" s="1561">
        <f t="shared" si="10"/>
        <v>100</v>
      </c>
      <c r="T37" s="1560" t="s">
        <v>8</v>
      </c>
      <c r="U37" s="1561">
        <f t="shared" si="11"/>
        <v>100</v>
      </c>
      <c r="V37" s="1560" t="s">
        <v>8</v>
      </c>
      <c r="W37" s="1561">
        <f t="shared" si="12"/>
        <v>100</v>
      </c>
      <c r="X37" s="1554"/>
      <c r="Y37" s="3515"/>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516" t="s">
        <v>550</v>
      </c>
      <c r="Q38" s="1559">
        <f t="shared" si="8"/>
        <v>111</v>
      </c>
      <c r="R38" s="1560" t="s">
        <v>8</v>
      </c>
      <c r="S38" s="1561">
        <f t="shared" si="10"/>
        <v>100</v>
      </c>
      <c r="T38" s="1560" t="s">
        <v>8</v>
      </c>
      <c r="U38" s="1561">
        <f t="shared" si="11"/>
        <v>100</v>
      </c>
      <c r="V38" s="1560" t="s">
        <v>8</v>
      </c>
      <c r="W38" s="1561">
        <f t="shared" si="12"/>
        <v>100</v>
      </c>
      <c r="X38" s="1554"/>
      <c r="Y38" s="3517"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517"/>
      <c r="Q39" s="1559">
        <f t="shared" si="8"/>
        <v>111</v>
      </c>
      <c r="R39" s="1564" t="s">
        <v>8</v>
      </c>
      <c r="S39" s="1565">
        <f t="shared" si="10"/>
        <v>100</v>
      </c>
      <c r="T39" s="1564" t="s">
        <v>8</v>
      </c>
      <c r="U39" s="1565">
        <f t="shared" si="11"/>
        <v>100</v>
      </c>
      <c r="V39" s="1564" t="s">
        <v>8</v>
      </c>
      <c r="W39" s="1565">
        <f t="shared" si="12"/>
        <v>100</v>
      </c>
      <c r="X39" s="1566"/>
      <c r="Y39" s="3517"/>
      <c r="Z39" s="1567">
        <f t="shared" si="13"/>
        <v>111</v>
      </c>
      <c r="AA39" s="1563">
        <f t="shared" si="3"/>
        <v>1</v>
      </c>
      <c r="AB39" s="1563">
        <f t="shared" si="4"/>
        <v>1</v>
      </c>
      <c r="AC39" s="1563">
        <f t="shared" si="5"/>
        <v>1</v>
      </c>
    </row>
    <row r="40" spans="1:29" ht="20.25">
      <c r="A40" s="2861" t="s">
        <v>2751</v>
      </c>
      <c r="B40" s="595" t="s">
        <v>552</v>
      </c>
      <c r="C40" s="596">
        <f>'数据-基础表'!A3</f>
        <v>30008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6"/>
      <c r="M40" s="2116"/>
      <c r="N40" s="2116"/>
      <c r="O40" s="2125"/>
      <c r="P40" s="3517"/>
      <c r="Q40" s="1559" t="str">
        <f>B40</f>
        <v>宗地面积</v>
      </c>
      <c r="R40" s="1560" t="s">
        <v>8</v>
      </c>
      <c r="S40" s="1561">
        <f t="shared" si="10"/>
        <v>101</v>
      </c>
      <c r="T40" s="1560" t="s">
        <v>8</v>
      </c>
      <c r="U40" s="1561">
        <f t="shared" si="11"/>
        <v>99</v>
      </c>
      <c r="V40" s="1560" t="s">
        <v>8</v>
      </c>
      <c r="W40" s="1561">
        <f t="shared" si="12"/>
        <v>100</v>
      </c>
      <c r="X40" s="1554"/>
      <c r="Y40" s="3517"/>
      <c r="Z40" s="1562" t="str">
        <f t="shared" si="13"/>
        <v>宗地面积</v>
      </c>
      <c r="AA40" s="1563">
        <f t="shared" si="3"/>
        <v>0.99009900990099009</v>
      </c>
      <c r="AB40" s="1563">
        <f t="shared" si="4"/>
        <v>1.0101010101010102</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517"/>
      <c r="Q41" s="1559" t="str">
        <f t="shared" ref="Q41:Q47" si="14">B41</f>
        <v>宗地形状</v>
      </c>
      <c r="R41" s="1560" t="s">
        <v>8</v>
      </c>
      <c r="S41" s="1561">
        <f t="shared" si="10"/>
        <v>100</v>
      </c>
      <c r="T41" s="1560" t="s">
        <v>8</v>
      </c>
      <c r="U41" s="1561">
        <f t="shared" si="11"/>
        <v>100</v>
      </c>
      <c r="V41" s="1560" t="s">
        <v>8</v>
      </c>
      <c r="W41" s="1561">
        <f t="shared" si="12"/>
        <v>100</v>
      </c>
      <c r="X41" s="1554"/>
      <c r="Y41" s="351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517"/>
      <c r="Q42" s="1559" t="str">
        <f t="shared" si="14"/>
        <v>临街宽度及深度</v>
      </c>
      <c r="R42" s="1560" t="s">
        <v>8</v>
      </c>
      <c r="S42" s="1561">
        <f t="shared" si="10"/>
        <v>100</v>
      </c>
      <c r="T42" s="1560" t="s">
        <v>8</v>
      </c>
      <c r="U42" s="1561">
        <f t="shared" si="11"/>
        <v>100</v>
      </c>
      <c r="V42" s="1560" t="s">
        <v>8</v>
      </c>
      <c r="W42" s="1561">
        <f t="shared" si="12"/>
        <v>100</v>
      </c>
      <c r="X42" s="1554"/>
      <c r="Y42" s="3517"/>
      <c r="Z42" s="1562" t="str">
        <f t="shared" si="13"/>
        <v>临街宽度及深度</v>
      </c>
      <c r="AA42" s="1563">
        <f t="shared" si="3"/>
        <v>1</v>
      </c>
      <c r="AB42" s="1563">
        <f t="shared" si="4"/>
        <v>1</v>
      </c>
      <c r="AC42" s="1563">
        <f t="shared" si="5"/>
        <v>1</v>
      </c>
    </row>
    <row r="43" spans="1:29" s="1216" customFormat="1" ht="20.25">
      <c r="A43" s="600"/>
      <c r="B43" s="1879" t="s">
        <v>2421</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19"/>
      <c r="M43" s="2116"/>
      <c r="N43" s="2116"/>
      <c r="O43" s="2121"/>
      <c r="P43" s="3517"/>
      <c r="Q43" s="1559" t="str">
        <f t="shared" si="14"/>
        <v>宗地开发程度</v>
      </c>
      <c r="R43" s="1555" t="s">
        <v>8</v>
      </c>
      <c r="S43" s="1556">
        <f t="shared" si="10"/>
        <v>100</v>
      </c>
      <c r="T43" s="1555" t="s">
        <v>8</v>
      </c>
      <c r="U43" s="1556">
        <f t="shared" si="11"/>
        <v>100</v>
      </c>
      <c r="V43" s="1555" t="s">
        <v>8</v>
      </c>
      <c r="W43" s="1556">
        <f t="shared" si="12"/>
        <v>100</v>
      </c>
      <c r="X43" s="1557"/>
      <c r="Y43" s="3517"/>
      <c r="Z43" s="1146" t="str">
        <f t="shared" si="13"/>
        <v>宗地开发程度</v>
      </c>
      <c r="AA43" s="1558">
        <f t="shared" si="3"/>
        <v>1</v>
      </c>
      <c r="AB43" s="1558">
        <f t="shared" si="4"/>
        <v>1</v>
      </c>
      <c r="AC43" s="1558">
        <f t="shared" si="5"/>
        <v>1</v>
      </c>
    </row>
    <row r="44" spans="1:29" ht="20.25">
      <c r="A44" s="594"/>
      <c r="B44" s="527" t="s">
        <v>555</v>
      </c>
      <c r="C44" s="599" t="s">
        <v>3139</v>
      </c>
      <c r="D44" s="540">
        <v>100</v>
      </c>
      <c r="E44" s="599" t="s">
        <v>3139</v>
      </c>
      <c r="F44" s="540">
        <f>SUMIF(127:127,E44,128:128)-SUMIF(127:127,C44,128:128)+100</f>
        <v>100</v>
      </c>
      <c r="G44" s="599" t="s">
        <v>3139</v>
      </c>
      <c r="H44" s="540">
        <f>SUMIF(127:127,G44,128:128)-SUMIF(127:127,C44,128:128)+100</f>
        <v>100</v>
      </c>
      <c r="I44" s="599" t="s">
        <v>3139</v>
      </c>
      <c r="J44" s="540">
        <f>SUMIF(127:127,I44,128:128)-SUMIF(127:127,C44,128:128)+100</f>
        <v>100</v>
      </c>
      <c r="K44" s="584">
        <v>2</v>
      </c>
      <c r="L44" s="2126"/>
      <c r="M44" s="2116"/>
      <c r="N44" s="2116"/>
      <c r="O44" s="2125"/>
      <c r="P44" s="3517" t="s">
        <v>550</v>
      </c>
      <c r="Q44" s="1559" t="str">
        <f t="shared" si="14"/>
        <v>工程地质条件</v>
      </c>
      <c r="R44" s="1560" t="s">
        <v>8</v>
      </c>
      <c r="S44" s="1561">
        <f t="shared" si="10"/>
        <v>100</v>
      </c>
      <c r="T44" s="1560" t="s">
        <v>8</v>
      </c>
      <c r="U44" s="1561">
        <f t="shared" si="11"/>
        <v>100</v>
      </c>
      <c r="V44" s="1560" t="s">
        <v>8</v>
      </c>
      <c r="W44" s="1561">
        <f t="shared" si="12"/>
        <v>100</v>
      </c>
      <c r="X44" s="1554"/>
      <c r="Y44" s="3517" t="s">
        <v>550</v>
      </c>
      <c r="Z44" s="1562" t="str">
        <f t="shared" si="13"/>
        <v>工程地质条件</v>
      </c>
      <c r="AA44" s="1563">
        <f t="shared" si="3"/>
        <v>1</v>
      </c>
      <c r="AB44" s="1563">
        <f t="shared" si="4"/>
        <v>1</v>
      </c>
      <c r="AC44" s="1563">
        <f t="shared" si="5"/>
        <v>1</v>
      </c>
    </row>
    <row r="45" spans="1:29" ht="20.25">
      <c r="A45" s="594"/>
      <c r="B45" s="3281" t="s">
        <v>3444</v>
      </c>
      <c r="C45" s="3282" t="s">
        <v>3447</v>
      </c>
      <c r="D45" s="540">
        <v>100</v>
      </c>
      <c r="E45" s="3282" t="s">
        <v>3448</v>
      </c>
      <c r="F45" s="540">
        <f>SUMIF(129:129,E45,130:130)-SUMIF(129:129,C45,130:130)+100</f>
        <v>96</v>
      </c>
      <c r="G45" s="3282" t="s">
        <v>3446</v>
      </c>
      <c r="H45" s="540">
        <f>SUMIF(129:129,G45,130:130)-SUMIF(129:129,C45,130:130)+100</f>
        <v>96</v>
      </c>
      <c r="I45" s="3283" t="s">
        <v>3446</v>
      </c>
      <c r="J45" s="540">
        <f>SUMIF(129:129,I45,130:130)-SUMIF(129:129,C45,130:130)+100</f>
        <v>96</v>
      </c>
      <c r="K45" s="581"/>
      <c r="L45" s="2126"/>
      <c r="M45" s="2116"/>
      <c r="N45" s="2116"/>
      <c r="O45" s="2125"/>
      <c r="P45" s="3517"/>
      <c r="Q45" s="1559" t="str">
        <f t="shared" si="14"/>
        <v>是否临江</v>
      </c>
      <c r="R45" s="1560" t="s">
        <v>8</v>
      </c>
      <c r="S45" s="1561">
        <f t="shared" si="10"/>
        <v>96</v>
      </c>
      <c r="T45" s="1560" t="s">
        <v>8</v>
      </c>
      <c r="U45" s="1561">
        <f t="shared" si="11"/>
        <v>96</v>
      </c>
      <c r="V45" s="1560" t="s">
        <v>8</v>
      </c>
      <c r="W45" s="1561">
        <f t="shared" si="12"/>
        <v>96</v>
      </c>
      <c r="X45" s="1554"/>
      <c r="Y45" s="3517"/>
      <c r="Z45" s="1562" t="str">
        <f t="shared" si="13"/>
        <v>是否临江</v>
      </c>
      <c r="AA45" s="1563">
        <f t="shared" si="3"/>
        <v>1.0416666666666667</v>
      </c>
      <c r="AB45" s="1563">
        <f t="shared" si="4"/>
        <v>1.0416666666666667</v>
      </c>
      <c r="AC45" s="1563">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517"/>
      <c r="Q46" s="1559">
        <f t="shared" si="14"/>
        <v>111</v>
      </c>
      <c r="R46" s="1560" t="s">
        <v>8</v>
      </c>
      <c r="S46" s="1561">
        <f t="shared" si="10"/>
        <v>100</v>
      </c>
      <c r="T46" s="1560" t="s">
        <v>8</v>
      </c>
      <c r="U46" s="1561">
        <f t="shared" si="11"/>
        <v>100</v>
      </c>
      <c r="V46" s="1560" t="s">
        <v>8</v>
      </c>
      <c r="W46" s="1561">
        <f t="shared" si="12"/>
        <v>100</v>
      </c>
      <c r="X46" s="1554"/>
      <c r="Y46" s="351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517"/>
      <c r="Q47" s="1559">
        <f t="shared" si="14"/>
        <v>111</v>
      </c>
      <c r="R47" s="1564" t="s">
        <v>8</v>
      </c>
      <c r="S47" s="1565">
        <f t="shared" si="10"/>
        <v>100</v>
      </c>
      <c r="T47" s="1564" t="s">
        <v>8</v>
      </c>
      <c r="U47" s="1565">
        <f t="shared" si="11"/>
        <v>100</v>
      </c>
      <c r="V47" s="1564" t="s">
        <v>8</v>
      </c>
      <c r="W47" s="1565">
        <f t="shared" si="12"/>
        <v>100</v>
      </c>
      <c r="X47" s="1566"/>
      <c r="Y47" s="3517"/>
      <c r="Z47" s="1567">
        <f t="shared" si="13"/>
        <v>111</v>
      </c>
      <c r="AA47" s="1563">
        <f t="shared" si="3"/>
        <v>1</v>
      </c>
      <c r="AB47" s="1563">
        <f t="shared" si="4"/>
        <v>1</v>
      </c>
      <c r="AC47" s="1563">
        <f t="shared" si="5"/>
        <v>1</v>
      </c>
    </row>
    <row r="48" spans="1:29" ht="20.25">
      <c r="A48" s="607" t="s">
        <v>556</v>
      </c>
      <c r="B48" s="608" t="s">
        <v>3150</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80" t="str">
        <f>A48</f>
        <v>成交单价</v>
      </c>
      <c r="Q48" s="3480"/>
      <c r="R48" s="3481">
        <f>E48</f>
        <v>9556</v>
      </c>
      <c r="S48" s="3481"/>
      <c r="T48" s="3481">
        <f>G48</f>
        <v>10745</v>
      </c>
      <c r="U48" s="3481"/>
      <c r="V48" s="3481">
        <f>I48</f>
        <v>10804</v>
      </c>
      <c r="W48" s="3481"/>
      <c r="X48" s="1546"/>
      <c r="Y48" s="1568"/>
      <c r="Z48" s="1546"/>
      <c r="AA48" s="1546"/>
      <c r="AB48" s="1546"/>
      <c r="AC48" s="1546"/>
    </row>
    <row r="49" spans="1:29" ht="21" thickBot="1">
      <c r="A49" s="615" t="s">
        <v>2689</v>
      </c>
      <c r="B49" s="616"/>
      <c r="C49" s="617">
        <f>R50</f>
        <v>9753</v>
      </c>
      <c r="D49" s="618"/>
      <c r="E49" s="617">
        <f>R49</f>
        <v>9489</v>
      </c>
      <c r="F49" s="619"/>
      <c r="G49" s="620">
        <f>T49</f>
        <v>9549</v>
      </c>
      <c r="H49" s="618"/>
      <c r="I49" s="617">
        <f>V49</f>
        <v>10221</v>
      </c>
      <c r="J49" s="618"/>
      <c r="K49" s="1337"/>
      <c r="L49" s="2128"/>
      <c r="M49" s="2116"/>
      <c r="N49" s="2116"/>
      <c r="O49" s="2129"/>
      <c r="P49" s="3480" t="str">
        <f>A49</f>
        <v>比较价格（元/平方米）</v>
      </c>
      <c r="Q49" s="3480"/>
      <c r="R49" s="3482">
        <f>ROUND(PRODUCT(R48,AA9:AA47),0)</f>
        <v>9489</v>
      </c>
      <c r="S49" s="3482"/>
      <c r="T49" s="3482">
        <f>ROUND(PRODUCT(T48,AB9:AB47),0)</f>
        <v>9549</v>
      </c>
      <c r="U49" s="3482"/>
      <c r="V49" s="3482">
        <f>ROUND(PRODUCT(V48,AC9:AC47),0)</f>
        <v>10221</v>
      </c>
      <c r="W49" s="3482"/>
      <c r="X49" s="1546"/>
      <c r="Y49" s="1546"/>
      <c r="Z49" s="1546"/>
      <c r="AA49" s="1546"/>
      <c r="AB49" s="1546"/>
      <c r="AC49" s="1546"/>
    </row>
    <row r="50" spans="1:29" ht="21" thickBot="1">
      <c r="A50" s="621" t="s">
        <v>2925</v>
      </c>
      <c r="B50" s="622"/>
      <c r="C50" s="623">
        <f>R50</f>
        <v>9753</v>
      </c>
      <c r="D50" s="623"/>
      <c r="E50" s="623"/>
      <c r="F50" s="623"/>
      <c r="G50" s="623"/>
      <c r="H50" s="623"/>
      <c r="I50" s="623"/>
      <c r="J50" s="623"/>
      <c r="K50" s="1338"/>
      <c r="L50" s="2128"/>
      <c r="M50" s="2116"/>
      <c r="N50" s="2116"/>
      <c r="O50" s="2129"/>
      <c r="P50" s="3477" t="str">
        <f>A50</f>
        <v>估价对象XX用房的比较价格（楼面单价，元/平方米）</v>
      </c>
      <c r="Q50" s="3478"/>
      <c r="R50" s="3479">
        <f>ROUND(AVERAGE(R49:V49),0)</f>
        <v>9753</v>
      </c>
      <c r="S50" s="3479"/>
      <c r="T50" s="3479"/>
      <c r="U50" s="3479"/>
      <c r="V50" s="3479"/>
      <c r="W50" s="3479"/>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7.0608072505005115E-3</v>
      </c>
      <c r="F53" s="627" t="str">
        <f>IF(OR(E53&gt;=0.3,E53&lt;=-0.3),"超过30%","")</f>
        <v/>
      </c>
      <c r="G53" s="626">
        <f>IF(G48&lt;G49,G49/G48-1,G48/G49-1)</f>
        <v>0.12524871714315644</v>
      </c>
      <c r="H53" s="627" t="str">
        <f>IF(OR(G53&gt;=0.3,G53&lt;=-0.3),"超过30%","")</f>
        <v/>
      </c>
      <c r="I53" s="626">
        <f>IF(I48&lt;I49,I49/I48-1,I48/I49-1)</f>
        <v>5.7039428627335909E-2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6.3231109705974564E-3</v>
      </c>
      <c r="F54" s="627" t="str">
        <f>IF(OR(E54&gt;=0.2,E54&lt;=-0.2),"超过20%","")</f>
        <v/>
      </c>
      <c r="G54" s="626">
        <f>IF(G49&lt;I49,I49/G49-1,G49/I49-1)</f>
        <v>7.0373861137291938E-2</v>
      </c>
      <c r="H54" s="627" t="str">
        <f>IF(OR(G54&gt;=0.2,G54&lt;=-0.2),"超过20%","")</f>
        <v/>
      </c>
      <c r="I54" s="626">
        <f>IF(I49&lt;E49,E49/I49-1,I49/E49-1)</f>
        <v>7.7141953841289856E-2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506" t="s">
        <v>2278</v>
      </c>
      <c r="H57" s="3507"/>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9753</v>
      </c>
      <c r="C58" s="635">
        <v>1</v>
      </c>
      <c r="D58" s="2212">
        <v>1</v>
      </c>
      <c r="E58" s="635">
        <f>'数据-汇总表'!E8+'数据-汇总表'!E9</f>
        <v>46653.79</v>
      </c>
      <c r="F58" s="636">
        <f t="shared" ref="F58:F67" si="15">ROUND(B58*E58/10000,0)</f>
        <v>45501</v>
      </c>
      <c r="G58" s="3508"/>
      <c r="H58" s="3509"/>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510"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510"/>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510"/>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510"/>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46810.61</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93464.4</v>
      </c>
      <c r="F68" s="644">
        <f>IF(B48="楼面地价",SUM(F58:F67),ROUND(C50*E68/10000,0))</f>
        <v>45501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2529</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北京市平均增长率0.00%</v>
      </c>
      <c r="C73" s="894">
        <v>100</v>
      </c>
      <c r="D73" s="730">
        <v>98</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3279" t="s">
        <v>3443</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3017</v>
      </c>
      <c r="D77" s="3191" t="s">
        <v>3018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3019</v>
      </c>
      <c r="D108" s="3192" t="s">
        <v>3020</v>
      </c>
      <c r="E108" s="3192" t="s">
        <v>3021</v>
      </c>
      <c r="F108" s="3192" t="s">
        <v>3022</v>
      </c>
      <c r="G108" s="3192" t="s">
        <v>3023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3024</v>
      </c>
      <c r="D121" s="3193" t="s">
        <v>3025</v>
      </c>
      <c r="E121" s="3193" t="s">
        <v>3026</v>
      </c>
      <c r="F121" s="3193" t="s">
        <v>3027</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3028</v>
      </c>
      <c r="D123" s="3192" t="s">
        <v>3029</v>
      </c>
      <c r="E123" s="3192" t="s">
        <v>3030</v>
      </c>
      <c r="F123" s="3193" t="s">
        <v>3031</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3032</v>
      </c>
      <c r="D125" s="1372" t="s">
        <v>3033</v>
      </c>
      <c r="E125" s="1372" t="s">
        <v>3034</v>
      </c>
      <c r="F125" s="1372" t="s">
        <v>3035</v>
      </c>
      <c r="G125" s="1372" t="s">
        <v>3036</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3037</v>
      </c>
      <c r="D127" s="3192" t="s">
        <v>3038</v>
      </c>
      <c r="E127" s="3193" t="s">
        <v>3039</v>
      </c>
      <c r="F127" s="3193" t="s">
        <v>3040</v>
      </c>
      <c r="G127" s="3193" t="s">
        <v>3041</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3445</v>
      </c>
      <c r="D129" s="3192" t="s">
        <v>3446</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86" t="s">
        <v>522</v>
      </c>
      <c r="D6" s="3487"/>
      <c r="E6" s="3520" t="s">
        <v>523</v>
      </c>
      <c r="F6" s="3521"/>
      <c r="G6" s="3486" t="s">
        <v>524</v>
      </c>
      <c r="H6" s="3487"/>
      <c r="I6" s="3486" t="s">
        <v>525</v>
      </c>
      <c r="J6" s="3487"/>
      <c r="K6" s="514" t="s">
        <v>526</v>
      </c>
      <c r="L6" s="2117"/>
      <c r="M6" s="2118"/>
      <c r="N6" s="2118"/>
      <c r="O6" s="2118"/>
      <c r="P6" s="3488" t="s">
        <v>527</v>
      </c>
      <c r="Q6" s="3489"/>
      <c r="R6" s="3494" t="s">
        <v>523</v>
      </c>
      <c r="S6" s="3495"/>
      <c r="T6" s="3494" t="s">
        <v>524</v>
      </c>
      <c r="U6" s="3495"/>
      <c r="V6" s="3481" t="s">
        <v>525</v>
      </c>
      <c r="W6" s="3481"/>
      <c r="X6" s="1554"/>
      <c r="Y6" s="3494" t="s">
        <v>527</v>
      </c>
      <c r="Z6" s="3495"/>
      <c r="AA6" s="3483" t="s">
        <v>523</v>
      </c>
      <c r="AB6" s="3484" t="s">
        <v>524</v>
      </c>
      <c r="AC6" s="3483" t="s">
        <v>525</v>
      </c>
    </row>
    <row r="7" spans="1:29" ht="15">
      <c r="A7" s="515"/>
      <c r="B7" s="516"/>
      <c r="C7" s="3502" t="s">
        <v>2919</v>
      </c>
      <c r="D7" s="3503"/>
      <c r="E7" s="3522" t="s">
        <v>2920</v>
      </c>
      <c r="F7" s="3523"/>
      <c r="G7" s="3502" t="s">
        <v>2921</v>
      </c>
      <c r="H7" s="3503"/>
      <c r="I7" s="3502" t="s">
        <v>2922</v>
      </c>
      <c r="J7" s="3503"/>
      <c r="K7" s="514"/>
      <c r="L7" s="2117"/>
      <c r="M7" s="2118"/>
      <c r="N7" s="2118"/>
      <c r="O7" s="2118"/>
      <c r="P7" s="3490"/>
      <c r="Q7" s="3491"/>
      <c r="R7" s="3496"/>
      <c r="S7" s="3497"/>
      <c r="T7" s="3496"/>
      <c r="U7" s="3497"/>
      <c r="V7" s="3481"/>
      <c r="W7" s="3481"/>
      <c r="X7" s="1554"/>
      <c r="Y7" s="3496"/>
      <c r="Z7" s="3497"/>
      <c r="AA7" s="3484"/>
      <c r="AB7" s="3484"/>
      <c r="AC7" s="3484"/>
    </row>
    <row r="8" spans="1:29" ht="15.75" thickBot="1">
      <c r="A8" s="517"/>
      <c r="B8" s="518"/>
      <c r="C8" s="3500" t="s">
        <v>2923</v>
      </c>
      <c r="D8" s="3501"/>
      <c r="E8" s="3518" t="s">
        <v>2923</v>
      </c>
      <c r="F8" s="3519"/>
      <c r="G8" s="3500" t="s">
        <v>2923</v>
      </c>
      <c r="H8" s="3501"/>
      <c r="I8" s="3500" t="s">
        <v>2923</v>
      </c>
      <c r="J8" s="3501"/>
      <c r="K8" s="514" t="s">
        <v>528</v>
      </c>
      <c r="L8" s="2117"/>
      <c r="M8" s="2118"/>
      <c r="N8" s="2118"/>
      <c r="O8" s="2118"/>
      <c r="P8" s="3492"/>
      <c r="Q8" s="3493"/>
      <c r="R8" s="3496"/>
      <c r="S8" s="3497"/>
      <c r="T8" s="3498"/>
      <c r="U8" s="3499"/>
      <c r="V8" s="3481"/>
      <c r="W8" s="3481"/>
      <c r="X8" s="1554"/>
      <c r="Y8" s="3498"/>
      <c r="Z8" s="3499"/>
      <c r="AA8" s="3485"/>
      <c r="AB8" s="3485"/>
      <c r="AC8" s="3485"/>
    </row>
    <row r="9" spans="1:29" s="1216" customFormat="1" ht="15.75" thickBot="1">
      <c r="A9" s="2866"/>
      <c r="B9" s="2873"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511" t="s">
        <v>530</v>
      </c>
      <c r="Q9" s="3513"/>
      <c r="R9" s="1555" t="s">
        <v>8</v>
      </c>
      <c r="S9" s="1556">
        <f t="shared" ref="S9:S17" si="0">F9</f>
        <v>0</v>
      </c>
      <c r="T9" s="1555" t="s">
        <v>8</v>
      </c>
      <c r="U9" s="1556">
        <f t="shared" ref="U9:U17" si="1">H9</f>
        <v>0</v>
      </c>
      <c r="V9" s="1555" t="s">
        <v>8</v>
      </c>
      <c r="W9" s="1556">
        <f t="shared" ref="W9:W17" si="2">J9</f>
        <v>0</v>
      </c>
      <c r="X9" s="1557"/>
      <c r="Y9" s="3511" t="s">
        <v>530</v>
      </c>
      <c r="Z9" s="3512"/>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511" t="s">
        <v>533</v>
      </c>
      <c r="Q10" s="3512"/>
      <c r="R10" s="1555" t="s">
        <v>8</v>
      </c>
      <c r="S10" s="1556">
        <f t="shared" si="0"/>
        <v>0</v>
      </c>
      <c r="T10" s="1555" t="s">
        <v>8</v>
      </c>
      <c r="U10" s="1556">
        <f t="shared" si="1"/>
        <v>0</v>
      </c>
      <c r="V10" s="1555" t="s">
        <v>8</v>
      </c>
      <c r="W10" s="1556">
        <f t="shared" si="2"/>
        <v>0</v>
      </c>
      <c r="X10" s="1557"/>
      <c r="Y10" s="3511" t="s">
        <v>533</v>
      </c>
      <c r="Z10" s="3512"/>
      <c r="AA10" s="1558" t="e">
        <f t="shared" ref="AA10:AA42" si="3">D10/F10</f>
        <v>#DIV/0!</v>
      </c>
      <c r="AB10" s="1558" t="e">
        <f t="shared" ref="AB10:AB42" si="4">D10/H10</f>
        <v>#DIV/0!</v>
      </c>
      <c r="AC10" s="1558"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80" t="s">
        <v>535</v>
      </c>
      <c r="Q11" s="1147" t="str">
        <f t="shared" ref="Q11:Q17" si="6">B11</f>
        <v>用途</v>
      </c>
      <c r="R11" s="1555" t="s">
        <v>8</v>
      </c>
      <c r="S11" s="1556">
        <f t="shared" si="0"/>
        <v>100</v>
      </c>
      <c r="T11" s="1555" t="s">
        <v>8</v>
      </c>
      <c r="U11" s="1556">
        <f t="shared" si="1"/>
        <v>100</v>
      </c>
      <c r="V11" s="1555" t="s">
        <v>8</v>
      </c>
      <c r="W11" s="1556">
        <f t="shared" si="2"/>
        <v>100</v>
      </c>
      <c r="X11" s="1557"/>
      <c r="Y11" s="3422" t="s">
        <v>536</v>
      </c>
      <c r="Z11" s="1146" t="str">
        <f t="shared" ref="Z11:Z17" si="7">Q11</f>
        <v>用途</v>
      </c>
      <c r="AA11" s="1558">
        <f t="shared" si="3"/>
        <v>1</v>
      </c>
      <c r="AB11" s="1558">
        <f t="shared" si="4"/>
        <v>1</v>
      </c>
      <c r="AC11" s="1558">
        <f t="shared" si="5"/>
        <v>1</v>
      </c>
    </row>
    <row r="12" spans="1:29" s="1334" customFormat="1" ht="27">
      <c r="A12" s="2869"/>
      <c r="B12" s="2874" t="s">
        <v>2753</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80"/>
      <c r="Q12" s="1147" t="str">
        <f t="shared" si="6"/>
        <v>土地使用年限（年）</v>
      </c>
      <c r="R12" s="1555" t="s">
        <v>8</v>
      </c>
      <c r="S12" s="1556">
        <f t="shared" si="0"/>
        <v>121</v>
      </c>
      <c r="T12" s="1555" t="s">
        <v>8</v>
      </c>
      <c r="U12" s="1556">
        <f t="shared" si="1"/>
        <v>121</v>
      </c>
      <c r="V12" s="1555" t="s">
        <v>8</v>
      </c>
      <c r="W12" s="1556">
        <f t="shared" si="2"/>
        <v>121</v>
      </c>
      <c r="X12" s="1557"/>
      <c r="Y12" s="3422"/>
      <c r="Z12" s="1146" t="str">
        <f t="shared" si="7"/>
        <v>土地使用年限（年）</v>
      </c>
      <c r="AA12" s="1558">
        <f t="shared" si="3"/>
        <v>0.82644628099173556</v>
      </c>
      <c r="AB12" s="1558">
        <f t="shared" si="4"/>
        <v>0.82644628099173556</v>
      </c>
      <c r="AC12" s="1558">
        <f t="shared" si="5"/>
        <v>0.82644628099173556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80"/>
      <c r="Q13" s="1147" t="str">
        <f t="shared" si="6"/>
        <v>容积率</v>
      </c>
      <c r="R13" s="1555" t="s">
        <v>8</v>
      </c>
      <c r="S13" s="1556" t="e">
        <f t="shared" si="0"/>
        <v>#N/A</v>
      </c>
      <c r="T13" s="1555" t="s">
        <v>8</v>
      </c>
      <c r="U13" s="1556" t="e">
        <f t="shared" si="1"/>
        <v>#N/A</v>
      </c>
      <c r="V13" s="1555" t="s">
        <v>8</v>
      </c>
      <c r="W13" s="1556" t="e">
        <f t="shared" si="2"/>
        <v>#N/A</v>
      </c>
      <c r="X13" s="1557"/>
      <c r="Y13" s="3422"/>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80"/>
      <c r="Q15" s="1147">
        <f t="shared" si="6"/>
        <v>111</v>
      </c>
      <c r="R15" s="1555" t="s">
        <v>8</v>
      </c>
      <c r="S15" s="1556">
        <f t="shared" si="0"/>
        <v>100</v>
      </c>
      <c r="T15" s="1555" t="s">
        <v>8</v>
      </c>
      <c r="U15" s="1556">
        <f t="shared" si="1"/>
        <v>100</v>
      </c>
      <c r="V15" s="1555" t="s">
        <v>8</v>
      </c>
      <c r="W15" s="1556">
        <f t="shared" si="2"/>
        <v>100</v>
      </c>
      <c r="X15" s="1557"/>
      <c r="Y15" s="3422"/>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80"/>
      <c r="Q16" s="1147">
        <f t="shared" si="6"/>
        <v>111</v>
      </c>
      <c r="R16" s="1555" t="s">
        <v>8</v>
      </c>
      <c r="S16" s="1556">
        <f t="shared" si="0"/>
        <v>100</v>
      </c>
      <c r="T16" s="1555" t="s">
        <v>8</v>
      </c>
      <c r="U16" s="1556">
        <f t="shared" si="1"/>
        <v>100</v>
      </c>
      <c r="V16" s="1555" t="s">
        <v>8</v>
      </c>
      <c r="W16" s="1556">
        <f t="shared" si="2"/>
        <v>100</v>
      </c>
      <c r="X16" s="1557"/>
      <c r="Y16" s="3422"/>
      <c r="Z16" s="1146">
        <f t="shared" si="7"/>
        <v>111</v>
      </c>
      <c r="AA16" s="1558">
        <f t="shared" si="3"/>
        <v>1</v>
      </c>
      <c r="AB16" s="1558">
        <f t="shared" si="4"/>
        <v>1</v>
      </c>
      <c r="AC16" s="1558">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514" t="s">
        <v>540</v>
      </c>
      <c r="Q17" s="1559" t="str">
        <f t="shared" si="6"/>
        <v>产业集聚程度</v>
      </c>
      <c r="R17" s="1560" t="s">
        <v>8</v>
      </c>
      <c r="S17" s="1561">
        <f t="shared" si="0"/>
        <v>100</v>
      </c>
      <c r="T17" s="1560" t="s">
        <v>8</v>
      </c>
      <c r="U17" s="1561">
        <f t="shared" si="1"/>
        <v>100</v>
      </c>
      <c r="V17" s="1560" t="s">
        <v>8</v>
      </c>
      <c r="W17" s="1561">
        <f t="shared" si="2"/>
        <v>100</v>
      </c>
      <c r="X17" s="1554"/>
      <c r="Y17" s="351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515"/>
      <c r="Q18" s="1559"/>
      <c r="R18" s="1560"/>
      <c r="S18" s="1561"/>
      <c r="T18" s="1560"/>
      <c r="U18" s="1561"/>
      <c r="V18" s="1560"/>
      <c r="W18" s="1561"/>
      <c r="X18" s="1554"/>
      <c r="Y18" s="351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515"/>
      <c r="Q19" s="1559" t="str">
        <f>B19</f>
        <v>交通便捷度</v>
      </c>
      <c r="R19" s="1560" t="s">
        <v>8</v>
      </c>
      <c r="S19" s="1561">
        <f>F19</f>
        <v>100</v>
      </c>
      <c r="T19" s="1560" t="s">
        <v>8</v>
      </c>
      <c r="U19" s="1561">
        <f>H19</f>
        <v>100</v>
      </c>
      <c r="V19" s="1560" t="s">
        <v>8</v>
      </c>
      <c r="W19" s="1561">
        <f>J19</f>
        <v>100</v>
      </c>
      <c r="X19" s="1554"/>
      <c r="Y19" s="351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515"/>
      <c r="Q20" s="1559"/>
      <c r="R20" s="1560"/>
      <c r="S20" s="1561"/>
      <c r="T20" s="1560"/>
      <c r="U20" s="1561"/>
      <c r="V20" s="1560"/>
      <c r="W20" s="1561"/>
      <c r="X20" s="1554"/>
      <c r="Y20" s="351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515"/>
      <c r="Q21" s="1559" t="str">
        <f t="shared" ref="Q21:Q35" si="8">B21</f>
        <v>区域土地利用方向</v>
      </c>
      <c r="R21" s="1560" t="s">
        <v>8</v>
      </c>
      <c r="S21" s="1561">
        <f>F21</f>
        <v>100</v>
      </c>
      <c r="T21" s="1560" t="s">
        <v>8</v>
      </c>
      <c r="U21" s="1561">
        <f>H21</f>
        <v>100</v>
      </c>
      <c r="V21" s="1560" t="s">
        <v>8</v>
      </c>
      <c r="W21" s="1561">
        <f>J21</f>
        <v>100</v>
      </c>
      <c r="X21" s="1554"/>
      <c r="Y21" s="351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515"/>
      <c r="Q22" s="1559"/>
      <c r="R22" s="1560"/>
      <c r="S22" s="1561"/>
      <c r="T22" s="1560"/>
      <c r="U22" s="1561"/>
      <c r="V22" s="1560"/>
      <c r="W22" s="1561"/>
      <c r="X22" s="1554"/>
      <c r="Y22" s="351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515"/>
      <c r="Q23" s="1559" t="str">
        <f t="shared" si="8"/>
        <v>环境状况</v>
      </c>
      <c r="R23" s="1560" t="s">
        <v>8</v>
      </c>
      <c r="S23" s="1561">
        <f>F23</f>
        <v>100</v>
      </c>
      <c r="T23" s="1560" t="s">
        <v>8</v>
      </c>
      <c r="U23" s="1561">
        <f>H23</f>
        <v>100</v>
      </c>
      <c r="V23" s="1560" t="s">
        <v>8</v>
      </c>
      <c r="W23" s="1561">
        <f>J23</f>
        <v>100</v>
      </c>
      <c r="X23" s="1554"/>
      <c r="Y23" s="351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515"/>
      <c r="Q24" s="1559"/>
      <c r="R24" s="1560"/>
      <c r="S24" s="1561"/>
      <c r="T24" s="1560"/>
      <c r="U24" s="1561"/>
      <c r="V24" s="1560"/>
      <c r="W24" s="1561"/>
      <c r="X24" s="1554"/>
      <c r="Y24" s="3515"/>
      <c r="Z24" s="1562"/>
      <c r="AA24" s="1563">
        <v>1</v>
      </c>
      <c r="AB24" s="1563">
        <v>1</v>
      </c>
      <c r="AC24" s="1563">
        <v>1</v>
      </c>
    </row>
    <row r="25" spans="1:29" s="1216" customFormat="1" ht="42.75">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515"/>
      <c r="Q25" s="1147" t="str">
        <f t="shared" si="8"/>
        <v>公共配套设施</v>
      </c>
      <c r="R25" s="1555" t="s">
        <v>8</v>
      </c>
      <c r="S25" s="1556">
        <f>F25</f>
        <v>100</v>
      </c>
      <c r="T25" s="1555" t="s">
        <v>8</v>
      </c>
      <c r="U25" s="1556">
        <f>H25</f>
        <v>100</v>
      </c>
      <c r="V25" s="1555" t="s">
        <v>8</v>
      </c>
      <c r="W25" s="1556">
        <f>J25</f>
        <v>100</v>
      </c>
      <c r="X25" s="1557"/>
      <c r="Y25" s="3515"/>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515"/>
      <c r="Q26" s="1147"/>
      <c r="R26" s="1555"/>
      <c r="S26" s="1556"/>
      <c r="T26" s="1555"/>
      <c r="U26" s="1556"/>
      <c r="V26" s="1555"/>
      <c r="W26" s="1556"/>
      <c r="X26" s="1557"/>
      <c r="Y26" s="3515"/>
      <c r="Z26" s="1146"/>
      <c r="AA26" s="1558">
        <v>1</v>
      </c>
      <c r="AB26" s="1558">
        <v>1</v>
      </c>
      <c r="AC26" s="1558">
        <v>1</v>
      </c>
    </row>
    <row r="27" spans="1:29" s="1216" customFormat="1" ht="28.5">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515"/>
      <c r="Q27" s="2541" t="str">
        <f t="shared" ref="Q27" si="9">B27</f>
        <v>基础设施水平</v>
      </c>
      <c r="R27" s="1555" t="s">
        <v>8</v>
      </c>
      <c r="S27" s="1556">
        <f>F27</f>
        <v>100</v>
      </c>
      <c r="T27" s="1555" t="s">
        <v>8</v>
      </c>
      <c r="U27" s="1556">
        <f>H27</f>
        <v>100</v>
      </c>
      <c r="V27" s="1555" t="s">
        <v>8</v>
      </c>
      <c r="W27" s="1556">
        <f>J27</f>
        <v>100</v>
      </c>
      <c r="X27" s="1557"/>
      <c r="Y27" s="3515"/>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515"/>
      <c r="Q28" s="2541"/>
      <c r="R28" s="1555"/>
      <c r="S28" s="1556"/>
      <c r="T28" s="1555"/>
      <c r="U28" s="1556"/>
      <c r="V28" s="1555"/>
      <c r="W28" s="1556"/>
      <c r="X28" s="1557"/>
      <c r="Y28" s="3515"/>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51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515"/>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515"/>
      <c r="Q30" s="1559" t="str">
        <f t="shared" si="8"/>
        <v>毗邻道路的类型与等级</v>
      </c>
      <c r="R30" s="1560" t="s">
        <v>8</v>
      </c>
      <c r="S30" s="1561">
        <f t="shared" si="10"/>
        <v>100</v>
      </c>
      <c r="T30" s="1560" t="s">
        <v>8</v>
      </c>
      <c r="U30" s="1561">
        <f t="shared" si="11"/>
        <v>100</v>
      </c>
      <c r="V30" s="1560" t="s">
        <v>8</v>
      </c>
      <c r="W30" s="1561">
        <f t="shared" si="12"/>
        <v>100</v>
      </c>
      <c r="X30" s="1554"/>
      <c r="Y30" s="351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515"/>
      <c r="Q31" s="1559"/>
      <c r="R31" s="1560"/>
      <c r="S31" s="1561"/>
      <c r="T31" s="1560"/>
      <c r="U31" s="1561"/>
      <c r="V31" s="1560"/>
      <c r="W31" s="1561"/>
      <c r="X31" s="1554"/>
      <c r="Y31" s="3515"/>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515"/>
      <c r="Q32" s="1559" t="str">
        <f t="shared" si="8"/>
        <v>土地级别</v>
      </c>
      <c r="R32" s="1560" t="s">
        <v>8</v>
      </c>
      <c r="S32" s="1561">
        <f t="shared" si="10"/>
        <v>100</v>
      </c>
      <c r="T32" s="1560" t="s">
        <v>8</v>
      </c>
      <c r="U32" s="1561">
        <f t="shared" si="11"/>
        <v>100</v>
      </c>
      <c r="V32" s="1560" t="s">
        <v>8</v>
      </c>
      <c r="W32" s="1561">
        <f t="shared" si="12"/>
        <v>100</v>
      </c>
      <c r="X32" s="1554"/>
      <c r="Y32" s="351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515"/>
      <c r="Q33" s="1559">
        <f t="shared" si="8"/>
        <v>111</v>
      </c>
      <c r="R33" s="1560" t="s">
        <v>8</v>
      </c>
      <c r="S33" s="1561">
        <f t="shared" si="10"/>
        <v>100</v>
      </c>
      <c r="T33" s="1560" t="s">
        <v>8</v>
      </c>
      <c r="U33" s="1561">
        <f t="shared" si="11"/>
        <v>100</v>
      </c>
      <c r="V33" s="1560" t="s">
        <v>8</v>
      </c>
      <c r="W33" s="1561">
        <f t="shared" si="12"/>
        <v>100</v>
      </c>
      <c r="X33" s="1554"/>
      <c r="Y33" s="351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516" t="s">
        <v>550</v>
      </c>
      <c r="Q34" s="1559">
        <f t="shared" si="8"/>
        <v>111</v>
      </c>
      <c r="R34" s="1560" t="s">
        <v>8</v>
      </c>
      <c r="S34" s="1561">
        <f t="shared" si="10"/>
        <v>100</v>
      </c>
      <c r="T34" s="1560" t="s">
        <v>8</v>
      </c>
      <c r="U34" s="1561">
        <f t="shared" si="11"/>
        <v>100</v>
      </c>
      <c r="V34" s="1560" t="s">
        <v>8</v>
      </c>
      <c r="W34" s="1561">
        <f t="shared" si="12"/>
        <v>100</v>
      </c>
      <c r="X34" s="1554"/>
      <c r="Y34" s="3517"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517"/>
      <c r="Q35" s="1559">
        <f t="shared" si="8"/>
        <v>111</v>
      </c>
      <c r="R35" s="1564" t="s">
        <v>8</v>
      </c>
      <c r="S35" s="1565">
        <f t="shared" si="10"/>
        <v>100</v>
      </c>
      <c r="T35" s="1564" t="s">
        <v>8</v>
      </c>
      <c r="U35" s="1565">
        <f t="shared" si="11"/>
        <v>100</v>
      </c>
      <c r="V35" s="1564" t="s">
        <v>8</v>
      </c>
      <c r="W35" s="1565">
        <f t="shared" si="12"/>
        <v>100</v>
      </c>
      <c r="X35" s="1566"/>
      <c r="Y35" s="3517"/>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517"/>
      <c r="Q36" s="1559" t="str">
        <f>B36</f>
        <v>宗地面积</v>
      </c>
      <c r="R36" s="1560" t="s">
        <v>8</v>
      </c>
      <c r="S36" s="1561" t="e">
        <f t="shared" si="10"/>
        <v>#N/A</v>
      </c>
      <c r="T36" s="1560" t="s">
        <v>8</v>
      </c>
      <c r="U36" s="1561" t="e">
        <f t="shared" si="11"/>
        <v>#N/A</v>
      </c>
      <c r="V36" s="1560" t="s">
        <v>8</v>
      </c>
      <c r="W36" s="1561" t="e">
        <f t="shared" si="12"/>
        <v>#N/A</v>
      </c>
      <c r="X36" s="1554"/>
      <c r="Y36" s="351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517"/>
      <c r="Q37" s="1559" t="str">
        <f t="shared" ref="Q37:Q42" si="14">B37</f>
        <v>宗地形状</v>
      </c>
      <c r="R37" s="1560" t="s">
        <v>8</v>
      </c>
      <c r="S37" s="1561">
        <f t="shared" si="10"/>
        <v>100</v>
      </c>
      <c r="T37" s="1560" t="s">
        <v>8</v>
      </c>
      <c r="U37" s="1561">
        <f t="shared" si="11"/>
        <v>100</v>
      </c>
      <c r="V37" s="1560" t="s">
        <v>8</v>
      </c>
      <c r="W37" s="1561">
        <f t="shared" si="12"/>
        <v>100</v>
      </c>
      <c r="X37" s="1554"/>
      <c r="Y37" s="3517"/>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517"/>
      <c r="Q38" s="1559" t="str">
        <f t="shared" si="14"/>
        <v>宗地开发程度</v>
      </c>
      <c r="R38" s="1555" t="s">
        <v>8</v>
      </c>
      <c r="S38" s="1556">
        <f t="shared" si="10"/>
        <v>100</v>
      </c>
      <c r="T38" s="1555" t="s">
        <v>8</v>
      </c>
      <c r="U38" s="1556">
        <f t="shared" si="11"/>
        <v>100</v>
      </c>
      <c r="V38" s="1555" t="s">
        <v>8</v>
      </c>
      <c r="W38" s="1556">
        <f t="shared" si="12"/>
        <v>100</v>
      </c>
      <c r="X38" s="1557"/>
      <c r="Y38" s="351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7" t="s">
        <v>601</v>
      </c>
      <c r="Q39" s="1559" t="str">
        <f t="shared" si="14"/>
        <v>工程地质条件</v>
      </c>
      <c r="R39" s="1560" t="s">
        <v>8</v>
      </c>
      <c r="S39" s="1561">
        <f t="shared" si="10"/>
        <v>100</v>
      </c>
      <c r="T39" s="1560" t="s">
        <v>8</v>
      </c>
      <c r="U39" s="1561">
        <f t="shared" si="11"/>
        <v>100</v>
      </c>
      <c r="V39" s="1560" t="s">
        <v>8</v>
      </c>
      <c r="W39" s="1561">
        <f t="shared" si="12"/>
        <v>100</v>
      </c>
      <c r="X39" s="1554"/>
      <c r="Y39" s="351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517"/>
      <c r="Q40" s="1559">
        <f t="shared" si="14"/>
        <v>111</v>
      </c>
      <c r="R40" s="1560" t="s">
        <v>8</v>
      </c>
      <c r="S40" s="1561">
        <f t="shared" si="10"/>
        <v>100</v>
      </c>
      <c r="T40" s="1560" t="s">
        <v>8</v>
      </c>
      <c r="U40" s="1561">
        <f t="shared" si="11"/>
        <v>100</v>
      </c>
      <c r="V40" s="1560" t="s">
        <v>8</v>
      </c>
      <c r="W40" s="1561">
        <f t="shared" si="12"/>
        <v>100</v>
      </c>
      <c r="X40" s="1554"/>
      <c r="Y40" s="351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517"/>
      <c r="Q41" s="1559">
        <f t="shared" si="14"/>
        <v>111</v>
      </c>
      <c r="R41" s="1560" t="s">
        <v>8</v>
      </c>
      <c r="S41" s="1561">
        <f t="shared" si="10"/>
        <v>100</v>
      </c>
      <c r="T41" s="1560" t="s">
        <v>8</v>
      </c>
      <c r="U41" s="1561">
        <f t="shared" si="11"/>
        <v>100</v>
      </c>
      <c r="V41" s="1560" t="s">
        <v>8</v>
      </c>
      <c r="W41" s="1561">
        <f t="shared" si="12"/>
        <v>100</v>
      </c>
      <c r="X41" s="1554"/>
      <c r="Y41" s="351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517"/>
      <c r="Q42" s="1559">
        <f t="shared" si="14"/>
        <v>111</v>
      </c>
      <c r="R42" s="1564" t="s">
        <v>8</v>
      </c>
      <c r="S42" s="1565">
        <f t="shared" si="10"/>
        <v>100</v>
      </c>
      <c r="T42" s="1564" t="s">
        <v>8</v>
      </c>
      <c r="U42" s="1565">
        <f t="shared" si="11"/>
        <v>100</v>
      </c>
      <c r="V42" s="1564" t="s">
        <v>8</v>
      </c>
      <c r="W42" s="1565">
        <f t="shared" si="12"/>
        <v>100</v>
      </c>
      <c r="X42" s="1566"/>
      <c r="Y42" s="3517"/>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8"/>
      <c r="M43" s="2118"/>
      <c r="N43" s="2118"/>
      <c r="O43" s="2129"/>
      <c r="P43" s="3480" t="str">
        <f>A43</f>
        <v>成交单价</v>
      </c>
      <c r="Q43" s="3480"/>
      <c r="R43" s="3481">
        <f>E43</f>
        <v>0</v>
      </c>
      <c r="S43" s="3481"/>
      <c r="T43" s="3481">
        <f>G43</f>
        <v>0</v>
      </c>
      <c r="U43" s="3481"/>
      <c r="V43" s="3481">
        <f>I43</f>
        <v>0</v>
      </c>
      <c r="W43" s="3481"/>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80" t="str">
        <f>A44</f>
        <v>比较价格（元/平方米）</v>
      </c>
      <c r="Q44" s="3480"/>
      <c r="R44" s="3482" t="e">
        <f>ROUND(PRODUCT(R43,AA9:AA42),0)</f>
        <v>#DIV/0!</v>
      </c>
      <c r="S44" s="3482"/>
      <c r="T44" s="3482" t="e">
        <f>ROUND(PRODUCT(T43,AB9:AB42),0)</f>
        <v>#DIV/0!</v>
      </c>
      <c r="U44" s="3482"/>
      <c r="V44" s="3482" t="e">
        <f>ROUND(PRODUCT(V43,AC9:AC42),0)</f>
        <v>#DIV/0!</v>
      </c>
      <c r="W44" s="3482"/>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8"/>
      <c r="M45" s="2118"/>
      <c r="N45" s="2118"/>
      <c r="O45" s="2129"/>
      <c r="P45" s="3477" t="str">
        <f>A45</f>
        <v>估价对象XX用房的比较价格（楼面单价，元/平方米）</v>
      </c>
      <c r="Q45" s="3478"/>
      <c r="R45" s="3479" t="e">
        <f>ROUND(AVERAGE(R44:V44),0)</f>
        <v>#DIV/0!</v>
      </c>
      <c r="S45" s="3479"/>
      <c r="T45" s="3479"/>
      <c r="U45" s="3479"/>
      <c r="V45" s="3479"/>
      <c r="W45" s="3479"/>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524" t="s">
        <v>2281</v>
      </c>
      <c r="H52" s="3525"/>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46653.79</v>
      </c>
      <c r="F53" s="1934" t="e">
        <f t="shared" ref="F53:F62" si="15">ROUND(B53*E53/10000,0)</f>
        <v>#DIV/0!</v>
      </c>
      <c r="G53" s="3526"/>
      <c r="H53" s="3527"/>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528"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528"/>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528"/>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528"/>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46810.61</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30008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2530</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40"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541"/>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30" t="s">
        <v>2779</v>
      </c>
      <c r="X8" s="3531"/>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541"/>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29"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41"/>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41"/>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29"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540"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29"/>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42"/>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29"/>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42"/>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4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40" t="s">
        <v>1838</v>
      </c>
      <c r="B16" s="1424" t="s">
        <v>950</v>
      </c>
      <c r="C16" s="1052" t="e">
        <f>ROUND(IF(F17="与级别开发程度一致",0,(G17-E17)/C17),0)</f>
        <v>#DIV/0!</v>
      </c>
      <c r="D16" s="3537" t="s">
        <v>954</v>
      </c>
      <c r="E16" s="3538"/>
      <c r="F16" s="3537" t="s">
        <v>951</v>
      </c>
      <c r="G16" s="3538"/>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54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39" t="str">
        <f>IF(H19="季度增幅（自定义）",SUMIF(N21:N24,E2,O21:O24),"")</f>
        <v/>
      </c>
      <c r="J19" s="1460"/>
      <c r="K19" s="3150"/>
      <c r="L19" s="2991" t="s">
        <v>2837</v>
      </c>
      <c r="M19" s="2992">
        <f>ROUND(SUMIF(地价!B2:F2,E2,地价!B26:F26),0)</f>
        <v>0</v>
      </c>
      <c r="N19" s="2741" t="s">
        <v>1676</v>
      </c>
      <c r="O19" s="2740">
        <f>ROUNDDOWN(DATEDIF(E19,G19,"M")/3,0)</f>
        <v>22</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0</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0</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0</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0</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0</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47"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4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4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4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45" t="s">
        <v>1633</v>
      </c>
      <c r="B90" s="3545"/>
      <c r="C90" s="3545"/>
      <c r="D90" s="3545"/>
      <c r="E90" s="3545"/>
      <c r="F90" s="3545"/>
      <c r="G90" s="3545"/>
      <c r="H90" s="3545"/>
      <c r="I90" s="3545"/>
      <c r="J90" s="3545"/>
      <c r="K90" s="2413"/>
      <c r="L90" s="2413"/>
      <c r="M90" s="2413"/>
      <c r="N90" s="2413"/>
    </row>
    <row r="91" spans="1:40">
      <c r="A91" s="3546" t="s">
        <v>1443</v>
      </c>
      <c r="B91" s="3546" t="s">
        <v>1634</v>
      </c>
      <c r="C91" s="1136" t="s">
        <v>1635</v>
      </c>
      <c r="D91" s="1137"/>
      <c r="E91" s="1137"/>
      <c r="F91" s="1137"/>
      <c r="G91" s="1137"/>
      <c r="H91" s="1137"/>
      <c r="I91" s="1137"/>
      <c r="J91" s="1138"/>
      <c r="K91" s="1130"/>
      <c r="L91" s="1130"/>
      <c r="M91" s="1130"/>
      <c r="N91" s="1130"/>
    </row>
    <row r="92" spans="1:40">
      <c r="A92" s="3546"/>
      <c r="B92" s="354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3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32"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33"/>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33"/>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33"/>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33"/>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33"/>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33"/>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33"/>
      <c r="B108" s="353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4"/>
      <c r="B109" s="3536"/>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39" t="s">
        <v>1639</v>
      </c>
      <c r="B110" s="3539"/>
      <c r="C110" s="3539"/>
      <c r="D110" s="3539"/>
      <c r="E110" s="3539"/>
      <c r="F110" s="3539"/>
      <c r="G110" s="3539"/>
      <c r="H110" s="3539"/>
      <c r="I110" s="3539"/>
      <c r="J110" s="3539"/>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46" t="s">
        <v>1007</v>
      </c>
      <c r="B18" s="1150" t="s">
        <v>1446</v>
      </c>
      <c r="C18" s="1127" t="s">
        <v>1447</v>
      </c>
      <c r="D18" s="1128"/>
      <c r="E18" s="1150">
        <v>1</v>
      </c>
      <c r="F18" s="1129" t="s">
        <v>1448</v>
      </c>
      <c r="G18" s="1130"/>
      <c r="H18" s="1101"/>
      <c r="I18" s="1101"/>
    </row>
    <row r="19" spans="1:9" s="1585" customFormat="1" ht="19.5" customHeight="1">
      <c r="A19" s="3546"/>
      <c r="B19" s="3546" t="s">
        <v>1449</v>
      </c>
      <c r="C19" s="1127" t="s">
        <v>1450</v>
      </c>
      <c r="D19" s="1128"/>
      <c r="E19" s="1150">
        <v>0.9</v>
      </c>
      <c r="F19" s="1129" t="s">
        <v>1451</v>
      </c>
      <c r="G19" s="1130"/>
      <c r="H19" s="1101"/>
      <c r="I19" s="1101"/>
    </row>
    <row r="20" spans="1:9" s="1585" customFormat="1" ht="19.5" customHeight="1">
      <c r="A20" s="3546"/>
      <c r="B20" s="3546"/>
      <c r="C20" s="1127" t="s">
        <v>1452</v>
      </c>
      <c r="D20" s="1128"/>
      <c r="E20" s="1150">
        <v>1.1000000000000001</v>
      </c>
      <c r="F20" s="1129" t="s">
        <v>1453</v>
      </c>
      <c r="G20" s="1130"/>
      <c r="H20" s="1101"/>
      <c r="I20" s="1101"/>
    </row>
    <row r="21" spans="1:9" s="1585" customFormat="1" ht="19.5" customHeight="1">
      <c r="A21" s="3546"/>
      <c r="B21" s="3546"/>
      <c r="C21" s="1127" t="s">
        <v>1454</v>
      </c>
      <c r="D21" s="1128"/>
      <c r="E21" s="1150">
        <v>0.8</v>
      </c>
      <c r="F21" s="1129" t="s">
        <v>1455</v>
      </c>
      <c r="G21" s="1130"/>
      <c r="H21" s="1101"/>
      <c r="I21" s="1101"/>
    </row>
    <row r="22" spans="1:9" s="1585" customFormat="1" ht="19.5" customHeight="1">
      <c r="A22" s="3546"/>
      <c r="B22" s="3546"/>
      <c r="C22" s="1127" t="s">
        <v>1456</v>
      </c>
      <c r="D22" s="1128"/>
      <c r="E22" s="1150">
        <v>0.5</v>
      </c>
      <c r="F22" s="1129"/>
      <c r="G22" s="1130"/>
      <c r="H22" s="1101"/>
      <c r="I22" s="1101"/>
    </row>
    <row r="23" spans="1:9" s="1585" customFormat="1" ht="19.5" customHeight="1">
      <c r="A23" s="3546" t="s">
        <v>1029</v>
      </c>
      <c r="B23" s="1150" t="s">
        <v>1446</v>
      </c>
      <c r="C23" s="1127" t="s">
        <v>1457</v>
      </c>
      <c r="D23" s="1128"/>
      <c r="E23" s="1150">
        <v>1</v>
      </c>
      <c r="F23" s="1129" t="s">
        <v>1458</v>
      </c>
      <c r="G23" s="1130"/>
      <c r="H23" s="1101"/>
      <c r="I23" s="1101"/>
    </row>
    <row r="24" spans="1:9" s="1585" customFormat="1" ht="19.5" customHeight="1">
      <c r="A24" s="3546"/>
      <c r="B24" s="3546" t="s">
        <v>1449</v>
      </c>
      <c r="C24" s="1127" t="s">
        <v>1459</v>
      </c>
      <c r="D24" s="1128"/>
      <c r="E24" s="1150">
        <v>0.5</v>
      </c>
      <c r="F24" s="1129"/>
      <c r="G24" s="1130"/>
      <c r="H24" s="1101"/>
      <c r="I24" s="1101"/>
    </row>
    <row r="25" spans="1:9" s="1585" customFormat="1" ht="19.5" customHeight="1">
      <c r="A25" s="3546"/>
      <c r="B25" s="3546"/>
      <c r="C25" s="1127" t="s">
        <v>1460</v>
      </c>
      <c r="D25" s="1128"/>
      <c r="E25" s="1150">
        <v>1.1000000000000001</v>
      </c>
      <c r="F25" s="1129"/>
      <c r="G25" s="1130"/>
      <c r="H25" s="1101"/>
      <c r="I25" s="1101"/>
    </row>
    <row r="26" spans="1:9" s="1585" customFormat="1" ht="19.5" customHeight="1">
      <c r="A26" s="3546"/>
      <c r="B26" s="3546"/>
      <c r="C26" s="1127" t="s">
        <v>1461</v>
      </c>
      <c r="D26" s="1128"/>
      <c r="E26" s="1150">
        <v>1.1000000000000001</v>
      </c>
      <c r="F26" s="1129"/>
      <c r="G26" s="1130"/>
      <c r="H26" s="1101"/>
      <c r="I26" s="1101"/>
    </row>
    <row r="27" spans="1:9" s="1585" customFormat="1" ht="19.5" customHeight="1">
      <c r="A27" s="3546"/>
      <c r="B27" s="3546"/>
      <c r="C27" s="1127" t="s">
        <v>1462</v>
      </c>
      <c r="D27" s="1128"/>
      <c r="E27" s="1150">
        <v>0.9</v>
      </c>
      <c r="F27" s="1129" t="s">
        <v>1463</v>
      </c>
      <c r="G27" s="1130"/>
      <c r="H27" s="1101"/>
      <c r="I27" s="1101"/>
    </row>
    <row r="28" spans="1:9" s="1585" customFormat="1" ht="19.5" customHeight="1">
      <c r="A28" s="3546"/>
      <c r="B28" s="3546"/>
      <c r="C28" s="1127" t="s">
        <v>1464</v>
      </c>
      <c r="D28" s="1128"/>
      <c r="E28" s="1150">
        <v>0.9</v>
      </c>
      <c r="F28" s="1129" t="s">
        <v>1465</v>
      </c>
      <c r="G28" s="1130"/>
      <c r="H28" s="1101"/>
      <c r="I28" s="1101"/>
    </row>
    <row r="29" spans="1:9" s="1585" customFormat="1" ht="19.5" customHeight="1">
      <c r="A29" s="3546"/>
      <c r="B29" s="3546"/>
      <c r="C29" s="1127" t="s">
        <v>1466</v>
      </c>
      <c r="D29" s="1128"/>
      <c r="E29" s="1150">
        <v>0.9</v>
      </c>
      <c r="F29" s="1129" t="s">
        <v>1467</v>
      </c>
      <c r="G29" s="1130"/>
      <c r="H29" s="1101"/>
      <c r="I29" s="1101"/>
    </row>
    <row r="30" spans="1:9" s="1585" customFormat="1" ht="19.5" customHeight="1">
      <c r="A30" s="3546"/>
      <c r="B30" s="3546"/>
      <c r="C30" s="1127" t="s">
        <v>1468</v>
      </c>
      <c r="D30" s="1128"/>
      <c r="E30" s="1150">
        <v>0.9</v>
      </c>
      <c r="F30" s="1129" t="s">
        <v>1469</v>
      </c>
      <c r="G30" s="1130"/>
      <c r="H30" s="1101"/>
      <c r="I30" s="1101"/>
    </row>
    <row r="31" spans="1:9" s="1585" customFormat="1" ht="19.5" customHeight="1">
      <c r="A31" s="3546"/>
      <c r="B31" s="3546"/>
      <c r="C31" s="1127" t="s">
        <v>1470</v>
      </c>
      <c r="D31" s="1128"/>
      <c r="E31" s="1150">
        <v>0.8</v>
      </c>
      <c r="F31" s="1129" t="s">
        <v>1471</v>
      </c>
      <c r="G31" s="1130"/>
      <c r="H31" s="1101"/>
      <c r="I31" s="1101"/>
    </row>
    <row r="32" spans="1:9" s="1585" customFormat="1" ht="19.5" customHeight="1">
      <c r="A32" s="3546"/>
      <c r="B32" s="3546"/>
      <c r="C32" s="1127" t="s">
        <v>1472</v>
      </c>
      <c r="D32" s="1128"/>
      <c r="E32" s="1150">
        <v>0.8</v>
      </c>
      <c r="F32" s="1129" t="s">
        <v>1473</v>
      </c>
      <c r="G32" s="1130"/>
      <c r="H32" s="1101"/>
      <c r="I32" s="1101"/>
    </row>
    <row r="33" spans="1:9" s="1585" customFormat="1" ht="19.5" customHeight="1">
      <c r="A33" s="3546" t="s">
        <v>1474</v>
      </c>
      <c r="B33" s="1150" t="s">
        <v>1446</v>
      </c>
      <c r="C33" s="1127" t="s">
        <v>1475</v>
      </c>
      <c r="D33" s="1128"/>
      <c r="E33" s="1150">
        <v>1</v>
      </c>
      <c r="F33" s="1129" t="s">
        <v>1476</v>
      </c>
      <c r="G33" s="1130"/>
      <c r="H33" s="1101"/>
      <c r="I33" s="1101"/>
    </row>
    <row r="34" spans="1:9" s="1585" customFormat="1" ht="19.5" customHeight="1">
      <c r="A34" s="3546"/>
      <c r="B34" s="1150" t="s">
        <v>1449</v>
      </c>
      <c r="C34" s="1127" t="s">
        <v>1477</v>
      </c>
      <c r="D34" s="1128"/>
      <c r="E34" s="1150">
        <v>1.5</v>
      </c>
      <c r="F34" s="1129" t="s">
        <v>1478</v>
      </c>
      <c r="G34" s="1130"/>
      <c r="H34" s="1101"/>
      <c r="I34" s="1101"/>
    </row>
    <row r="35" spans="1:9" s="1585" customFormat="1" ht="19.5" customHeight="1">
      <c r="A35" s="3546" t="s">
        <v>1432</v>
      </c>
      <c r="B35" s="1150" t="s">
        <v>1446</v>
      </c>
      <c r="C35" s="1127" t="s">
        <v>1479</v>
      </c>
      <c r="D35" s="1128"/>
      <c r="E35" s="1150">
        <v>1</v>
      </c>
      <c r="F35" s="1129" t="s">
        <v>1480</v>
      </c>
      <c r="G35" s="1130"/>
      <c r="H35" s="1101"/>
      <c r="I35" s="1101"/>
    </row>
    <row r="36" spans="1:9" s="1585" customFormat="1" ht="19.5" customHeight="1">
      <c r="A36" s="3546"/>
      <c r="B36" s="3546" t="s">
        <v>1449</v>
      </c>
      <c r="C36" s="1127" t="s">
        <v>1481</v>
      </c>
      <c r="D36" s="1128"/>
      <c r="E36" s="1150">
        <v>1</v>
      </c>
      <c r="F36" s="1129" t="s">
        <v>1482</v>
      </c>
      <c r="G36" s="1130"/>
      <c r="H36" s="1101"/>
      <c r="I36" s="1101"/>
    </row>
    <row r="37" spans="1:9" s="1585" customFormat="1" ht="19.5" customHeight="1">
      <c r="A37" s="3546"/>
      <c r="B37" s="3546"/>
      <c r="C37" s="1127" t="s">
        <v>1483</v>
      </c>
      <c r="D37" s="1128"/>
      <c r="E37" s="1150">
        <v>1.5</v>
      </c>
      <c r="F37" s="1129" t="s">
        <v>1484</v>
      </c>
      <c r="G37" s="1130"/>
      <c r="H37" s="1101"/>
      <c r="I37" s="1101"/>
    </row>
    <row r="38" spans="1:9" s="1585" customFormat="1" ht="19.5" customHeight="1">
      <c r="A38" s="3546"/>
      <c r="B38" s="3546"/>
      <c r="C38" s="1127" t="s">
        <v>1485</v>
      </c>
      <c r="D38" s="1128"/>
      <c r="E38" s="1150">
        <v>1</v>
      </c>
      <c r="F38" s="1129" t="s">
        <v>1486</v>
      </c>
      <c r="G38" s="1130"/>
      <c r="H38" s="1101"/>
      <c r="I38" s="1101"/>
    </row>
    <row r="39" spans="1:9" s="1585" customFormat="1" ht="19.5" customHeight="1">
      <c r="A39" s="3546"/>
      <c r="B39" s="354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46" t="s">
        <v>1501</v>
      </c>
      <c r="C61" s="1064" t="s">
        <v>1502</v>
      </c>
      <c r="D61" s="1064" t="s">
        <v>1503</v>
      </c>
      <c r="E61" s="1135">
        <v>0.5</v>
      </c>
      <c r="F61" s="1150">
        <v>80</v>
      </c>
      <c r="H61" s="1101">
        <f>SUMIF(C59:C119,基准地价!C8,E59:E119)</f>
        <v>0</v>
      </c>
    </row>
    <row r="62" spans="1:8" s="1101" customFormat="1" ht="24">
      <c r="A62" s="1150">
        <v>2</v>
      </c>
      <c r="B62" s="3546"/>
      <c r="C62" s="1064" t="s">
        <v>1504</v>
      </c>
      <c r="D62" s="1064" t="s">
        <v>1505</v>
      </c>
      <c r="E62" s="1135">
        <v>0.5</v>
      </c>
      <c r="F62" s="1150">
        <v>80</v>
      </c>
    </row>
    <row r="63" spans="1:8" s="1101" customFormat="1" ht="36">
      <c r="A63" s="1150">
        <v>3</v>
      </c>
      <c r="B63" s="3546"/>
      <c r="C63" s="1064" t="s">
        <v>1506</v>
      </c>
      <c r="D63" s="1064" t="s">
        <v>1507</v>
      </c>
      <c r="E63" s="1135">
        <v>0.5</v>
      </c>
      <c r="F63" s="1150">
        <v>80</v>
      </c>
    </row>
    <row r="64" spans="1:8" s="1101" customFormat="1" ht="36">
      <c r="A64" s="1150">
        <v>4</v>
      </c>
      <c r="B64" s="3546"/>
      <c r="C64" s="1064" t="s">
        <v>1508</v>
      </c>
      <c r="D64" s="1064" t="s">
        <v>1509</v>
      </c>
      <c r="E64" s="1135">
        <v>0.4</v>
      </c>
      <c r="F64" s="1150">
        <v>60</v>
      </c>
    </row>
    <row r="65" spans="1:6" s="1101" customFormat="1" ht="36">
      <c r="A65" s="1150">
        <v>5</v>
      </c>
      <c r="B65" s="3546"/>
      <c r="C65" s="1064" t="s">
        <v>1510</v>
      </c>
      <c r="D65" s="1064" t="s">
        <v>1511</v>
      </c>
      <c r="E65" s="1135">
        <v>0.2</v>
      </c>
      <c r="F65" s="1150">
        <v>30</v>
      </c>
    </row>
    <row r="66" spans="1:6" s="1101" customFormat="1" ht="36">
      <c r="A66" s="1150">
        <v>6</v>
      </c>
      <c r="B66" s="3546"/>
      <c r="C66" s="1064" t="s">
        <v>1512</v>
      </c>
      <c r="D66" s="1064" t="s">
        <v>1513</v>
      </c>
      <c r="E66" s="1135">
        <v>0.3</v>
      </c>
      <c r="F66" s="1150">
        <v>50</v>
      </c>
    </row>
    <row r="67" spans="1:6" s="1101" customFormat="1" ht="36">
      <c r="A67" s="1150">
        <v>7</v>
      </c>
      <c r="B67" s="3546"/>
      <c r="C67" s="1064" t="s">
        <v>1514</v>
      </c>
      <c r="D67" s="1064" t="s">
        <v>1515</v>
      </c>
      <c r="E67" s="1135">
        <v>0.2</v>
      </c>
      <c r="F67" s="1150">
        <v>30</v>
      </c>
    </row>
    <row r="68" spans="1:6" s="1101" customFormat="1" ht="36">
      <c r="A68" s="1150">
        <v>8</v>
      </c>
      <c r="B68" s="3546"/>
      <c r="C68" s="1064" t="s">
        <v>1516</v>
      </c>
      <c r="D68" s="1064" t="s">
        <v>1517</v>
      </c>
      <c r="E68" s="1135">
        <v>0.2</v>
      </c>
      <c r="F68" s="1150">
        <v>30</v>
      </c>
    </row>
    <row r="69" spans="1:6" s="1101" customFormat="1" ht="36">
      <c r="A69" s="1150">
        <v>9</v>
      </c>
      <c r="B69" s="3546"/>
      <c r="C69" s="1064" t="s">
        <v>1518</v>
      </c>
      <c r="D69" s="1064" t="s">
        <v>1519</v>
      </c>
      <c r="E69" s="1135">
        <v>0.2</v>
      </c>
      <c r="F69" s="1150">
        <v>30</v>
      </c>
    </row>
    <row r="70" spans="1:6" s="1101" customFormat="1" ht="48">
      <c r="A70" s="1150">
        <v>10</v>
      </c>
      <c r="B70" s="3546"/>
      <c r="C70" s="1064" t="s">
        <v>1520</v>
      </c>
      <c r="D70" s="1064" t="s">
        <v>1521</v>
      </c>
      <c r="E70" s="1135">
        <v>0.2</v>
      </c>
      <c r="F70" s="1150">
        <v>30</v>
      </c>
    </row>
    <row r="71" spans="1:6" s="1101" customFormat="1" ht="48">
      <c r="A71" s="1150">
        <v>11</v>
      </c>
      <c r="B71" s="3546"/>
      <c r="C71" s="1064" t="s">
        <v>1522</v>
      </c>
      <c r="D71" s="1064" t="s">
        <v>1523</v>
      </c>
      <c r="E71" s="1135">
        <v>0.2</v>
      </c>
      <c r="F71" s="1150">
        <v>30</v>
      </c>
    </row>
    <row r="72" spans="1:6" s="1101" customFormat="1" ht="36">
      <c r="A72" s="1150">
        <v>12</v>
      </c>
      <c r="B72" s="3546"/>
      <c r="C72" s="1064" t="s">
        <v>1524</v>
      </c>
      <c r="D72" s="1064" t="s">
        <v>1525</v>
      </c>
      <c r="E72" s="1135">
        <v>0.5</v>
      </c>
      <c r="F72" s="1150">
        <v>80</v>
      </c>
    </row>
    <row r="73" spans="1:6" s="1101" customFormat="1" ht="24">
      <c r="A73" s="1150">
        <v>13</v>
      </c>
      <c r="B73" s="3546"/>
      <c r="C73" s="1064" t="s">
        <v>1526</v>
      </c>
      <c r="D73" s="1064" t="s">
        <v>1527</v>
      </c>
      <c r="E73" s="1135">
        <v>0.4</v>
      </c>
      <c r="F73" s="1150">
        <v>60</v>
      </c>
    </row>
    <row r="74" spans="1:6" s="1101" customFormat="1" ht="24">
      <c r="A74" s="1150">
        <v>14</v>
      </c>
      <c r="B74" s="3546"/>
      <c r="C74" s="1064" t="s">
        <v>1528</v>
      </c>
      <c r="D74" s="1064" t="s">
        <v>1529</v>
      </c>
      <c r="E74" s="1135">
        <v>0.2</v>
      </c>
      <c r="F74" s="1150">
        <v>30</v>
      </c>
    </row>
    <row r="75" spans="1:6" s="1101" customFormat="1" ht="24">
      <c r="A75" s="1150">
        <v>15</v>
      </c>
      <c r="B75" s="3546"/>
      <c r="C75" s="1064" t="s">
        <v>1530</v>
      </c>
      <c r="D75" s="1064" t="s">
        <v>1531</v>
      </c>
      <c r="E75" s="1135">
        <v>0.2</v>
      </c>
      <c r="F75" s="1150">
        <v>30</v>
      </c>
    </row>
    <row r="76" spans="1:6" s="1101" customFormat="1" ht="24">
      <c r="A76" s="1150">
        <v>16</v>
      </c>
      <c r="B76" s="3546" t="s">
        <v>1532</v>
      </c>
      <c r="C76" s="1064" t="s">
        <v>1533</v>
      </c>
      <c r="D76" s="1064" t="s">
        <v>1534</v>
      </c>
      <c r="E76" s="1135">
        <v>0.5</v>
      </c>
      <c r="F76" s="1150">
        <v>80</v>
      </c>
    </row>
    <row r="77" spans="1:6" s="1101" customFormat="1" ht="24">
      <c r="A77" s="1150">
        <v>17</v>
      </c>
      <c r="B77" s="3546"/>
      <c r="C77" s="1064" t="s">
        <v>1535</v>
      </c>
      <c r="D77" s="1064" t="s">
        <v>1536</v>
      </c>
      <c r="E77" s="1135">
        <v>0.5</v>
      </c>
      <c r="F77" s="1150">
        <v>80</v>
      </c>
    </row>
    <row r="78" spans="1:6" s="1101" customFormat="1" ht="24">
      <c r="A78" s="1150">
        <v>18</v>
      </c>
      <c r="B78" s="3546"/>
      <c r="C78" s="1064" t="s">
        <v>1537</v>
      </c>
      <c r="D78" s="1064" t="s">
        <v>1538</v>
      </c>
      <c r="E78" s="1135">
        <v>0.2</v>
      </c>
      <c r="F78" s="1150">
        <v>30</v>
      </c>
    </row>
    <row r="79" spans="1:6" s="1101" customFormat="1" ht="24">
      <c r="A79" s="1150">
        <v>19</v>
      </c>
      <c r="B79" s="3546"/>
      <c r="C79" s="1064" t="s">
        <v>1539</v>
      </c>
      <c r="D79" s="1064" t="s">
        <v>1540</v>
      </c>
      <c r="E79" s="1135">
        <v>0.5</v>
      </c>
      <c r="F79" s="1150">
        <v>80</v>
      </c>
    </row>
    <row r="80" spans="1:6" s="1101" customFormat="1" ht="36">
      <c r="A80" s="1150">
        <v>20</v>
      </c>
      <c r="B80" s="3546"/>
      <c r="C80" s="1064" t="s">
        <v>1541</v>
      </c>
      <c r="D80" s="1064" t="s">
        <v>1542</v>
      </c>
      <c r="E80" s="1135">
        <v>0.2</v>
      </c>
      <c r="F80" s="1150">
        <v>30</v>
      </c>
    </row>
    <row r="81" spans="1:6" s="1101" customFormat="1" ht="36">
      <c r="A81" s="1150">
        <v>21</v>
      </c>
      <c r="B81" s="3546"/>
      <c r="C81" s="1064" t="s">
        <v>1543</v>
      </c>
      <c r="D81" s="1064" t="s">
        <v>1544</v>
      </c>
      <c r="E81" s="1135">
        <v>0.2</v>
      </c>
      <c r="F81" s="1150">
        <v>30</v>
      </c>
    </row>
    <row r="82" spans="1:6" s="1101" customFormat="1" ht="48">
      <c r="A82" s="1150">
        <v>22</v>
      </c>
      <c r="B82" s="3546"/>
      <c r="C82" s="1064" t="s">
        <v>1545</v>
      </c>
      <c r="D82" s="1064" t="s">
        <v>1546</v>
      </c>
      <c r="E82" s="1135">
        <v>0.2</v>
      </c>
      <c r="F82" s="1150">
        <v>30</v>
      </c>
    </row>
    <row r="83" spans="1:6" s="1101" customFormat="1" ht="48">
      <c r="A83" s="1150">
        <v>23</v>
      </c>
      <c r="B83" s="3546"/>
      <c r="C83" s="1064" t="s">
        <v>1547</v>
      </c>
      <c r="D83" s="1064" t="s">
        <v>1548</v>
      </c>
      <c r="E83" s="1135">
        <v>0.2</v>
      </c>
      <c r="F83" s="1150">
        <v>30</v>
      </c>
    </row>
    <row r="84" spans="1:6" s="1101" customFormat="1" ht="36">
      <c r="A84" s="1150">
        <v>24</v>
      </c>
      <c r="B84" s="3546"/>
      <c r="C84" s="1064" t="s">
        <v>1549</v>
      </c>
      <c r="D84" s="1064" t="s">
        <v>1550</v>
      </c>
      <c r="E84" s="1135">
        <v>0.2</v>
      </c>
      <c r="F84" s="1150">
        <v>30</v>
      </c>
    </row>
    <row r="85" spans="1:6" s="1101" customFormat="1" ht="36">
      <c r="A85" s="1150">
        <v>25</v>
      </c>
      <c r="B85" s="3546"/>
      <c r="C85" s="1064" t="s">
        <v>1551</v>
      </c>
      <c r="D85" s="1064" t="s">
        <v>1552</v>
      </c>
      <c r="E85" s="1135">
        <v>0.5</v>
      </c>
      <c r="F85" s="1150">
        <v>80</v>
      </c>
    </row>
    <row r="86" spans="1:6" s="1101" customFormat="1" ht="36">
      <c r="A86" s="1150">
        <v>26</v>
      </c>
      <c r="B86" s="3546"/>
      <c r="C86" s="1064" t="s">
        <v>1553</v>
      </c>
      <c r="D86" s="1064" t="s">
        <v>1554</v>
      </c>
      <c r="E86" s="1135">
        <v>0.2</v>
      </c>
      <c r="F86" s="1150">
        <v>30</v>
      </c>
    </row>
    <row r="87" spans="1:6" s="1101" customFormat="1" ht="36">
      <c r="A87" s="1150">
        <v>27</v>
      </c>
      <c r="B87" s="3546"/>
      <c r="C87" s="1064" t="s">
        <v>1555</v>
      </c>
      <c r="D87" s="1064" t="s">
        <v>1556</v>
      </c>
      <c r="E87" s="1135">
        <v>0.2</v>
      </c>
      <c r="F87" s="1150">
        <v>30</v>
      </c>
    </row>
    <row r="88" spans="1:6" s="1101" customFormat="1" ht="36">
      <c r="A88" s="1150">
        <v>28</v>
      </c>
      <c r="B88" s="3546"/>
      <c r="C88" s="1064" t="s">
        <v>1557</v>
      </c>
      <c r="D88" s="1064" t="s">
        <v>1558</v>
      </c>
      <c r="E88" s="1135">
        <v>0.2</v>
      </c>
      <c r="F88" s="1150">
        <v>30</v>
      </c>
    </row>
    <row r="89" spans="1:6" s="1101" customFormat="1" ht="24">
      <c r="A89" s="1150">
        <v>29</v>
      </c>
      <c r="B89" s="3546"/>
      <c r="C89" s="1064" t="s">
        <v>1559</v>
      </c>
      <c r="D89" s="1064" t="s">
        <v>1560</v>
      </c>
      <c r="E89" s="1135">
        <v>0.2</v>
      </c>
      <c r="F89" s="1150">
        <v>30</v>
      </c>
    </row>
    <row r="90" spans="1:6" s="1101" customFormat="1" ht="24">
      <c r="A90" s="1150">
        <v>30</v>
      </c>
      <c r="B90" s="3546"/>
      <c r="C90" s="1064" t="s">
        <v>1561</v>
      </c>
      <c r="D90" s="1064" t="s">
        <v>1562</v>
      </c>
      <c r="E90" s="1135">
        <v>0.2</v>
      </c>
      <c r="F90" s="1150">
        <v>30</v>
      </c>
    </row>
    <row r="91" spans="1:6" s="1101" customFormat="1" ht="36">
      <c r="A91" s="1150">
        <v>31</v>
      </c>
      <c r="B91" s="3546"/>
      <c r="C91" s="1064" t="s">
        <v>1563</v>
      </c>
      <c r="D91" s="1064" t="s">
        <v>1564</v>
      </c>
      <c r="E91" s="1135">
        <v>0.2</v>
      </c>
      <c r="F91" s="1150">
        <v>30</v>
      </c>
    </row>
    <row r="92" spans="1:6" s="1101" customFormat="1" ht="24">
      <c r="A92" s="1150">
        <v>32</v>
      </c>
      <c r="B92" s="3546" t="s">
        <v>1565</v>
      </c>
      <c r="C92" s="1150" t="s">
        <v>1566</v>
      </c>
      <c r="D92" s="1064" t="s">
        <v>1567</v>
      </c>
      <c r="E92" s="1135">
        <v>0.2</v>
      </c>
      <c r="F92" s="1150">
        <v>30</v>
      </c>
    </row>
    <row r="93" spans="1:6" s="1101" customFormat="1" ht="36">
      <c r="A93" s="1150">
        <v>33</v>
      </c>
      <c r="B93" s="3546"/>
      <c r="C93" s="1150" t="s">
        <v>1568</v>
      </c>
      <c r="D93" s="1064" t="s">
        <v>1569</v>
      </c>
      <c r="E93" s="1135">
        <v>0.2</v>
      </c>
      <c r="F93" s="1150">
        <v>30</v>
      </c>
    </row>
    <row r="94" spans="1:6" s="1101" customFormat="1" ht="48">
      <c r="A94" s="1150">
        <v>34</v>
      </c>
      <c r="B94" s="3546"/>
      <c r="C94" s="1150" t="s">
        <v>1570</v>
      </c>
      <c r="D94" s="1064" t="s">
        <v>1571</v>
      </c>
      <c r="E94" s="1135">
        <v>0.2</v>
      </c>
      <c r="F94" s="1150">
        <v>30</v>
      </c>
    </row>
    <row r="95" spans="1:6" s="1101" customFormat="1" ht="36">
      <c r="A95" s="1150">
        <v>35</v>
      </c>
      <c r="B95" s="3546"/>
      <c r="C95" s="1150" t="s">
        <v>1572</v>
      </c>
      <c r="D95" s="1064" t="s">
        <v>1573</v>
      </c>
      <c r="E95" s="1135">
        <v>0.2</v>
      </c>
      <c r="F95" s="1150">
        <v>30</v>
      </c>
    </row>
    <row r="96" spans="1:6" s="1101" customFormat="1" ht="48">
      <c r="A96" s="1150">
        <v>36</v>
      </c>
      <c r="B96" s="3546"/>
      <c r="C96" s="1064" t="s">
        <v>1574</v>
      </c>
      <c r="D96" s="1064" t="s">
        <v>1575</v>
      </c>
      <c r="E96" s="1135">
        <v>0.2</v>
      </c>
      <c r="F96" s="1150">
        <v>30</v>
      </c>
    </row>
    <row r="97" spans="1:6" s="1101" customFormat="1" ht="36">
      <c r="A97" s="1150">
        <v>37</v>
      </c>
      <c r="B97" s="3546"/>
      <c r="C97" s="1150" t="s">
        <v>1576</v>
      </c>
      <c r="D97" s="1064" t="s">
        <v>1577</v>
      </c>
      <c r="E97" s="1135">
        <v>0.2</v>
      </c>
      <c r="F97" s="1150">
        <v>30</v>
      </c>
    </row>
    <row r="98" spans="1:6" s="1101" customFormat="1" ht="36">
      <c r="A98" s="1150">
        <v>38</v>
      </c>
      <c r="B98" s="3546"/>
      <c r="C98" s="1150" t="s">
        <v>1578</v>
      </c>
      <c r="D98" s="1064" t="s">
        <v>1579</v>
      </c>
      <c r="E98" s="1135">
        <v>0.2</v>
      </c>
      <c r="F98" s="1150">
        <v>30</v>
      </c>
    </row>
    <row r="99" spans="1:6" s="1101" customFormat="1" ht="36">
      <c r="A99" s="1150">
        <v>39</v>
      </c>
      <c r="B99" s="3546" t="s">
        <v>1580</v>
      </c>
      <c r="C99" s="1150" t="s">
        <v>1581</v>
      </c>
      <c r="D99" s="1064" t="s">
        <v>1582</v>
      </c>
      <c r="E99" s="1135">
        <v>0.3</v>
      </c>
      <c r="F99" s="1150">
        <v>50</v>
      </c>
    </row>
    <row r="100" spans="1:6" s="1101" customFormat="1" ht="24">
      <c r="A100" s="1150">
        <v>40</v>
      </c>
      <c r="B100" s="3546"/>
      <c r="C100" s="1150" t="s">
        <v>1583</v>
      </c>
      <c r="D100" s="1064" t="s">
        <v>1584</v>
      </c>
      <c r="E100" s="1135">
        <v>0.2</v>
      </c>
      <c r="F100" s="1150">
        <v>30</v>
      </c>
    </row>
    <row r="101" spans="1:6" s="1101" customFormat="1" ht="36">
      <c r="A101" s="1150">
        <v>41</v>
      </c>
      <c r="B101" s="354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46" t="s">
        <v>1595</v>
      </c>
      <c r="C105" s="1150" t="s">
        <v>1596</v>
      </c>
      <c r="D105" s="1064" t="s">
        <v>1597</v>
      </c>
      <c r="E105" s="1135">
        <v>0.2</v>
      </c>
      <c r="F105" s="1150">
        <v>30</v>
      </c>
    </row>
    <row r="106" spans="1:6" s="1101" customFormat="1" ht="36">
      <c r="A106" s="1150">
        <v>46</v>
      </c>
      <c r="B106" s="3546"/>
      <c r="C106" s="1150" t="s">
        <v>1598</v>
      </c>
      <c r="D106" s="1064" t="s">
        <v>1599</v>
      </c>
      <c r="E106" s="1135">
        <v>0.2</v>
      </c>
      <c r="F106" s="1150">
        <v>30</v>
      </c>
    </row>
    <row r="107" spans="1:6" s="1101" customFormat="1" ht="36">
      <c r="A107" s="1150">
        <v>47</v>
      </c>
      <c r="B107" s="3546" t="s">
        <v>1600</v>
      </c>
      <c r="C107" s="1150" t="s">
        <v>1601</v>
      </c>
      <c r="D107" s="1064" t="s">
        <v>1602</v>
      </c>
      <c r="E107" s="1135">
        <v>0.3</v>
      </c>
      <c r="F107" s="1150">
        <v>50</v>
      </c>
    </row>
    <row r="108" spans="1:6" s="1101" customFormat="1" ht="36">
      <c r="A108" s="1150">
        <v>48</v>
      </c>
      <c r="B108" s="354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46" t="s">
        <v>1611</v>
      </c>
      <c r="C111" s="1150" t="s">
        <v>1612</v>
      </c>
      <c r="D111" s="1064" t="s">
        <v>1613</v>
      </c>
      <c r="E111" s="1135">
        <v>0.2</v>
      </c>
      <c r="F111" s="1150">
        <v>30</v>
      </c>
    </row>
    <row r="112" spans="1:6" s="1101" customFormat="1" ht="24">
      <c r="A112" s="1150">
        <v>52</v>
      </c>
      <c r="B112" s="3546"/>
      <c r="C112" s="1150" t="s">
        <v>1614</v>
      </c>
      <c r="D112" s="1064" t="s">
        <v>1615</v>
      </c>
      <c r="E112" s="1135">
        <v>0.2</v>
      </c>
      <c r="F112" s="1150">
        <v>30</v>
      </c>
    </row>
    <row r="113" spans="1:14" s="1101" customFormat="1" ht="24">
      <c r="A113" s="1150">
        <v>53</v>
      </c>
      <c r="B113" s="354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46" t="s">
        <v>1624</v>
      </c>
      <c r="C116" s="1150" t="s">
        <v>1625</v>
      </c>
      <c r="D116" s="1064" t="s">
        <v>1626</v>
      </c>
      <c r="E116" s="1135">
        <v>0.2</v>
      </c>
      <c r="F116" s="1150">
        <v>30</v>
      </c>
    </row>
    <row r="117" spans="1:14" ht="36">
      <c r="A117" s="1150">
        <v>57</v>
      </c>
      <c r="B117" s="354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45" t="s">
        <v>1633</v>
      </c>
      <c r="B121" s="3545"/>
      <c r="C121" s="3545"/>
      <c r="D121" s="3545"/>
      <c r="E121" s="3545"/>
      <c r="F121" s="3545"/>
      <c r="G121" s="3545"/>
      <c r="H121" s="3545"/>
      <c r="I121" s="3545"/>
      <c r="J121" s="354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50" t="s">
        <v>1039</v>
      </c>
      <c r="B1" s="3550"/>
      <c r="C1" s="3550"/>
      <c r="D1" s="3550"/>
      <c r="E1" s="3550"/>
      <c r="F1" s="355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51" t="s">
        <v>1052</v>
      </c>
      <c r="B2" s="3551"/>
      <c r="C2" s="3551"/>
      <c r="D2" s="3551"/>
      <c r="E2" s="3551"/>
      <c r="F2" s="355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54" t="s">
        <v>2076</v>
      </c>
      <c r="B1" s="3554"/>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62" t="s">
        <v>2573</v>
      </c>
      <c r="C1" s="3562"/>
      <c r="D1" s="3562"/>
      <c r="E1" s="3562"/>
      <c r="F1" s="3562"/>
      <c r="G1" s="3561" t="s">
        <v>2574</v>
      </c>
      <c r="H1" s="3561"/>
      <c r="I1" s="3561"/>
      <c r="J1" s="3561"/>
      <c r="K1" s="3561"/>
      <c r="L1" s="3561"/>
      <c r="N1" s="3561" t="s">
        <v>2575</v>
      </c>
      <c r="O1" s="3561"/>
      <c r="P1" s="3561"/>
      <c r="Q1" s="3561"/>
      <c r="R1" s="2617"/>
      <c r="S1" s="3561" t="s">
        <v>2576</v>
      </c>
      <c r="T1" s="3561"/>
      <c r="U1" s="3561"/>
      <c r="V1" s="3561"/>
      <c r="X1" s="3560" t="s">
        <v>2636</v>
      </c>
      <c r="Y1" s="3561"/>
      <c r="Z1" s="3561"/>
      <c r="AA1" s="3561"/>
      <c r="AB1" s="3561"/>
      <c r="AD1" s="3560" t="s">
        <v>2640</v>
      </c>
      <c r="AE1" s="3561"/>
      <c r="AF1" s="3561"/>
      <c r="AG1" s="3561"/>
      <c r="AH1" s="3561"/>
    </row>
    <row r="2" spans="1:34" s="2718" customFormat="1" ht="14.2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25">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6">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6"/>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6"/>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57"/>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55">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6"/>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56"/>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57"/>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55">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6"/>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6"/>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59"/>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5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6"/>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6"/>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59"/>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5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6"/>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6"/>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59"/>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2580</v>
      </c>
      <c r="B27" s="2623">
        <v>299</v>
      </c>
      <c r="C27" s="2623">
        <v>252</v>
      </c>
      <c r="D27" s="2623">
        <f t="shared" si="76"/>
        <v>252</v>
      </c>
      <c r="E27" s="2623">
        <v>409</v>
      </c>
      <c r="F27" s="2624">
        <v>227</v>
      </c>
      <c r="G27" s="3563">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64"/>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64"/>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65"/>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2584</v>
      </c>
      <c r="B31" s="2661">
        <v>278</v>
      </c>
      <c r="C31" s="2661">
        <v>234</v>
      </c>
      <c r="D31" s="2661">
        <f t="shared" si="76"/>
        <v>234</v>
      </c>
      <c r="E31" s="2661">
        <v>379</v>
      </c>
      <c r="F31" s="2662">
        <v>220</v>
      </c>
      <c r="G31" s="355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56"/>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56"/>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2587</v>
      </c>
      <c r="B34" s="2631">
        <f>B33/(1+N33)</f>
        <v>275.19025476197027</v>
      </c>
      <c r="C34" s="2663">
        <v>232</v>
      </c>
      <c r="D34" s="2663">
        <f t="shared" si="76"/>
        <v>232</v>
      </c>
      <c r="E34" s="2631">
        <f t="shared" si="87"/>
        <v>375.65990977608692</v>
      </c>
      <c r="F34" s="2631">
        <f t="shared" si="87"/>
        <v>214.12518283971252</v>
      </c>
      <c r="G34" s="3559"/>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2588</v>
      </c>
      <c r="B35" s="2623">
        <v>275</v>
      </c>
      <c r="C35" s="2623">
        <v>232</v>
      </c>
      <c r="D35" s="2623">
        <f t="shared" si="76"/>
        <v>232</v>
      </c>
      <c r="E35" s="2623">
        <v>376</v>
      </c>
      <c r="F35" s="2624">
        <v>213</v>
      </c>
      <c r="G35" s="355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6">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56">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59">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2592</v>
      </c>
      <c r="B39" s="2623">
        <v>269</v>
      </c>
      <c r="C39" s="2623">
        <v>221</v>
      </c>
      <c r="D39" s="2623">
        <f t="shared" si="76"/>
        <v>221</v>
      </c>
      <c r="E39" s="2623">
        <v>373</v>
      </c>
      <c r="F39" s="2624">
        <v>196</v>
      </c>
      <c r="G39" s="355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6">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56">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59">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2596</v>
      </c>
      <c r="B43" s="2623">
        <v>220</v>
      </c>
      <c r="C43" s="2623">
        <v>187</v>
      </c>
      <c r="D43" s="2623">
        <f t="shared" si="76"/>
        <v>187</v>
      </c>
      <c r="E43" s="2623">
        <v>301</v>
      </c>
      <c r="F43" s="2624">
        <v>168</v>
      </c>
      <c r="G43" s="355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6">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56">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59">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2600</v>
      </c>
      <c r="B47" s="2661">
        <v>214</v>
      </c>
      <c r="C47" s="2661">
        <v>188</v>
      </c>
      <c r="D47" s="2661">
        <f t="shared" si="76"/>
        <v>188</v>
      </c>
      <c r="E47" s="2661">
        <v>289</v>
      </c>
      <c r="F47" s="2662">
        <v>166</v>
      </c>
      <c r="G47" s="355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6">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56">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59">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2604</v>
      </c>
      <c r="B51" s="2623">
        <v>188</v>
      </c>
      <c r="C51" s="2623">
        <v>165</v>
      </c>
      <c r="D51" s="2623">
        <f t="shared" si="76"/>
        <v>165</v>
      </c>
      <c r="E51" s="2623">
        <v>254</v>
      </c>
      <c r="F51" s="2624">
        <v>148</v>
      </c>
      <c r="G51" s="355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6">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56">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59">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2608</v>
      </c>
      <c r="B55" s="2645">
        <v>159</v>
      </c>
      <c r="C55" s="2645">
        <v>141</v>
      </c>
      <c r="D55" s="2645">
        <f t="shared" si="76"/>
        <v>141</v>
      </c>
      <c r="E55" s="2645">
        <v>195</v>
      </c>
      <c r="F55" s="2646">
        <v>122</v>
      </c>
      <c r="G55" s="355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6">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56">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59">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2612</v>
      </c>
      <c r="B59" s="2645">
        <v>138</v>
      </c>
      <c r="C59" s="2645">
        <v>131</v>
      </c>
      <c r="D59" s="2645">
        <f t="shared" si="76"/>
        <v>131</v>
      </c>
      <c r="E59" s="2645">
        <v>155</v>
      </c>
      <c r="F59" s="2646">
        <v>114</v>
      </c>
      <c r="G59" s="355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6">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56">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59">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2616</v>
      </c>
      <c r="B63" s="2661">
        <v>121</v>
      </c>
      <c r="C63" s="2661">
        <v>122</v>
      </c>
      <c r="D63" s="2661">
        <f t="shared" si="76"/>
        <v>122</v>
      </c>
      <c r="E63" s="2661">
        <v>124</v>
      </c>
      <c r="F63" s="2662">
        <v>107</v>
      </c>
      <c r="G63" s="355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6">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56">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59">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2620</v>
      </c>
      <c r="B67" s="2682">
        <v>111</v>
      </c>
      <c r="C67" s="2682">
        <v>114</v>
      </c>
      <c r="D67" s="2682">
        <f t="shared" si="76"/>
        <v>114</v>
      </c>
      <c r="E67" s="2682">
        <v>108</v>
      </c>
      <c r="F67" s="2683">
        <v>104</v>
      </c>
      <c r="G67" s="3558">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56">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56">
        <v>2003</v>
      </c>
      <c r="H69" s="2622">
        <v>2</v>
      </c>
      <c r="I69" s="2684"/>
      <c r="J69" s="2684"/>
      <c r="K69" s="2684"/>
      <c r="L69" s="2684"/>
      <c r="X69" s="2676"/>
      <c r="Y69" s="2676"/>
      <c r="Z69" s="2676"/>
    </row>
    <row r="70" spans="1:26" ht="13.5" thickBot="1">
      <c r="A70" s="2618" t="s">
        <v>2623</v>
      </c>
      <c r="B70" s="2686">
        <f t="shared" si="112"/>
        <v>107.25</v>
      </c>
      <c r="C70" s="2686">
        <f t="shared" si="112"/>
        <v>108.75</v>
      </c>
      <c r="D70" s="2686">
        <f t="shared" si="76"/>
        <v>108.75</v>
      </c>
      <c r="E70" s="2686">
        <f t="shared" si="113"/>
        <v>105.75</v>
      </c>
      <c r="F70" s="2686">
        <f t="shared" si="113"/>
        <v>102.5</v>
      </c>
      <c r="G70" s="3559">
        <v>2003</v>
      </c>
      <c r="H70" s="2687">
        <v>1</v>
      </c>
      <c r="I70" s="2684"/>
      <c r="J70" s="2684"/>
      <c r="K70" s="2684"/>
      <c r="L70" s="2684"/>
      <c r="S70" s="2626"/>
      <c r="T70" s="2627"/>
      <c r="U70" s="2627"/>
      <c r="X70" s="2676"/>
      <c r="Y70" s="2676"/>
      <c r="Z70" s="2676"/>
    </row>
    <row r="71" spans="1:26" ht="13.5" thickBot="1">
      <c r="A71" s="2618" t="s">
        <v>2624</v>
      </c>
      <c r="B71" s="2688">
        <v>106</v>
      </c>
      <c r="C71" s="2688">
        <v>107</v>
      </c>
      <c r="D71" s="2688">
        <f t="shared" si="76"/>
        <v>107</v>
      </c>
      <c r="E71" s="2688">
        <v>105</v>
      </c>
      <c r="F71" s="2689">
        <v>102</v>
      </c>
      <c r="G71" s="3558">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56">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56">
        <v>2002</v>
      </c>
      <c r="H73" s="2622">
        <v>2</v>
      </c>
      <c r="I73" s="2684"/>
      <c r="J73" s="2684"/>
      <c r="K73" s="2684"/>
      <c r="L73" s="2684"/>
      <c r="X73" s="2676"/>
      <c r="Y73" s="2676"/>
      <c r="Z73" s="2676"/>
    </row>
    <row r="74" spans="1:26" s="2653" customFormat="1" ht="13.5" thickBot="1">
      <c r="A74" s="2649" t="s">
        <v>2627</v>
      </c>
      <c r="B74" s="2690">
        <f t="shared" si="114"/>
        <v>103</v>
      </c>
      <c r="C74" s="2690">
        <f t="shared" si="114"/>
        <v>104</v>
      </c>
      <c r="D74" s="2690">
        <f t="shared" si="76"/>
        <v>104</v>
      </c>
      <c r="E74" s="2690">
        <f t="shared" si="115"/>
        <v>103.5</v>
      </c>
      <c r="F74" s="2690">
        <f t="shared" si="115"/>
        <v>100.5</v>
      </c>
      <c r="G74" s="3559">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5"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5"/>
      <c r="C5" s="1865"/>
      <c r="D5" s="1865"/>
      <c r="E5" s="1865"/>
      <c r="F5" s="3053"/>
    </row>
    <row r="6" spans="1:6" ht="28.5">
      <c r="A6" s="3057" t="s">
        <v>2940</v>
      </c>
      <c r="B6" s="3054" t="s">
        <v>2937</v>
      </c>
      <c r="C6" s="3055"/>
      <c r="D6" s="1865"/>
      <c r="E6" s="3054" t="s">
        <v>2938</v>
      </c>
      <c r="F6" s="3054" t="s">
        <v>2942</v>
      </c>
    </row>
    <row r="7" spans="1:6" ht="14.25">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2935</v>
      </c>
      <c r="D9" s="1865"/>
      <c r="E9" s="3059" t="e">
        <f t="shared" ca="1" si="1"/>
        <v>#REF!</v>
      </c>
      <c r="F9" s="3059" t="e">
        <f t="shared" ca="1" si="2"/>
        <v>#REF!</v>
      </c>
    </row>
    <row r="10" spans="1:6" ht="14.25">
      <c r="A10" s="260"/>
      <c r="B10" s="3058" t="e">
        <f t="shared" ca="1" si="0"/>
        <v>#REF!</v>
      </c>
      <c r="C10" s="3054" t="s">
        <v>2935</v>
      </c>
      <c r="D10" s="1865"/>
      <c r="E10" s="3059" t="e">
        <f t="shared" ca="1" si="1"/>
        <v>#REF!</v>
      </c>
      <c r="F10" s="3059" t="e">
        <f t="shared" ca="1" si="2"/>
        <v>#REF!</v>
      </c>
    </row>
    <row r="11" spans="1:6" ht="14.25">
      <c r="A11" s="260"/>
      <c r="B11" s="3058" t="e">
        <f t="shared" ca="1" si="0"/>
        <v>#REF!</v>
      </c>
      <c r="C11" s="3054" t="s">
        <v>2935</v>
      </c>
      <c r="D11" s="1865"/>
      <c r="E11" s="3059" t="e">
        <f t="shared" ca="1" si="1"/>
        <v>#REF!</v>
      </c>
      <c r="F11" s="3059" t="e">
        <f t="shared" ca="1" si="2"/>
        <v>#REF!</v>
      </c>
    </row>
    <row r="12" spans="1:6" ht="14.25">
      <c r="A12" s="260"/>
      <c r="B12" s="3058" t="e">
        <f t="shared" ca="1" si="0"/>
        <v>#REF!</v>
      </c>
      <c r="C12" s="3054" t="s">
        <v>2935</v>
      </c>
      <c r="D12" s="1865"/>
      <c r="E12" s="3059" t="e">
        <f t="shared" ca="1" si="1"/>
        <v>#REF!</v>
      </c>
      <c r="F12" s="3059" t="e">
        <f t="shared" ca="1" si="2"/>
        <v>#REF!</v>
      </c>
    </row>
    <row r="13" spans="1:6" ht="14.25">
      <c r="A13" s="260"/>
      <c r="B13" s="3058" t="e">
        <f t="shared" ca="1" si="0"/>
        <v>#REF!</v>
      </c>
      <c r="C13" s="3054" t="s">
        <v>2935</v>
      </c>
      <c r="D13" s="1865"/>
      <c r="E13" s="3059" t="e">
        <f t="shared" ca="1" si="1"/>
        <v>#REF!</v>
      </c>
      <c r="F13" s="3059" t="e">
        <f t="shared" ca="1" si="2"/>
        <v>#REF!</v>
      </c>
    </row>
    <row r="14" spans="1:6" ht="14.25">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67" t="s">
        <v>2460</v>
      </c>
      <c r="C8" s="1809">
        <f ca="1">ROUND(F8*F10*F9*(1-F11)/10000,0)</f>
        <v>0</v>
      </c>
      <c r="D8" s="1806" t="s">
        <v>2531</v>
      </c>
      <c r="E8" s="61" t="s">
        <v>637</v>
      </c>
      <c r="F8" s="785">
        <f ca="1">INDIRECT("'数据-取费表'!u"&amp;$G$1)</f>
        <v>0</v>
      </c>
      <c r="G8" s="1579"/>
      <c r="H8" s="2467" t="s">
        <v>1824</v>
      </c>
      <c r="I8" s="3567" t="s">
        <v>2460</v>
      </c>
      <c r="J8" s="783">
        <f ca="1">ROUND(M8*M10*M9*(1-M11)/10000,0)</f>
        <v>0</v>
      </c>
      <c r="K8" s="341" t="s">
        <v>2531</v>
      </c>
      <c r="L8" s="784" t="s">
        <v>1738</v>
      </c>
      <c r="M8" s="785">
        <f ca="1">INDIRECT("'数据-取费表'!z"&amp;$G$1)</f>
        <v>0</v>
      </c>
    </row>
    <row r="9" spans="1:25" ht="18" customHeight="1">
      <c r="A9" s="2463"/>
      <c r="B9" s="3568"/>
      <c r="C9" s="1810"/>
      <c r="D9" s="1807"/>
      <c r="E9" s="61" t="s">
        <v>638</v>
      </c>
      <c r="F9" s="785">
        <f ca="1">IF(INDIRECT("'数据-取费表'!ah"&amp;$G$1)="",INDIRECT("'数据-取费表'!k"&amp;$G$1),INDIRECT("'数据-取费表'!ah"&amp;$G$1))</f>
        <v>0</v>
      </c>
      <c r="G9" s="1579"/>
      <c r="H9" s="2452"/>
      <c r="I9" s="3568"/>
      <c r="J9" s="788"/>
      <c r="K9" s="789"/>
      <c r="L9" s="784" t="s">
        <v>1739</v>
      </c>
      <c r="M9" s="785">
        <f ca="1">F9</f>
        <v>0</v>
      </c>
    </row>
    <row r="10" spans="1:25" ht="18" customHeight="1">
      <c r="A10" s="2456"/>
      <c r="B10" s="3569"/>
      <c r="C10" s="1810"/>
      <c r="D10" s="1807"/>
      <c r="E10" s="61" t="s">
        <v>639</v>
      </c>
      <c r="F10" s="785">
        <f ca="1">INDIRECT("'数据-取费表'!ai"&amp;$G$1)</f>
        <v>0</v>
      </c>
      <c r="G10" s="1579"/>
      <c r="H10" s="2452"/>
      <c r="I10" s="3569"/>
      <c r="J10" s="788"/>
      <c r="K10" s="789"/>
      <c r="L10" s="784" t="s">
        <v>1740</v>
      </c>
      <c r="M10" s="785">
        <f ca="1">INDIRECT("'数据-取费表'!ai"&amp;$G$1)</f>
        <v>0</v>
      </c>
    </row>
    <row r="11" spans="1:25" ht="18" customHeight="1">
      <c r="A11" s="786"/>
      <c r="B11" s="3570"/>
      <c r="C11" s="1810"/>
      <c r="D11" s="1807"/>
      <c r="E11" s="61" t="s">
        <v>640</v>
      </c>
      <c r="F11" s="794">
        <f ca="1">INDIRECT("'数据-取费表'!w"&amp;$G$1)</f>
        <v>0</v>
      </c>
      <c r="G11" s="1579"/>
      <c r="H11" s="2468"/>
      <c r="I11" s="3569"/>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66"/>
      <c r="J36" s="2063"/>
      <c r="K36" s="2064"/>
      <c r="L36" s="2063"/>
      <c r="M36" s="2063"/>
    </row>
    <row r="37" spans="1:18" ht="18" customHeight="1">
      <c r="A37" s="815"/>
      <c r="B37" s="793"/>
      <c r="C37" s="69"/>
      <c r="D37" s="816"/>
      <c r="E37" s="784" t="s">
        <v>674</v>
      </c>
      <c r="F37" s="785">
        <f ca="1">INDIRECT("'数据-取费表'!r"&amp;$G$1)</f>
        <v>0</v>
      </c>
      <c r="G37" s="2046"/>
      <c r="H37" s="2049"/>
      <c r="I37" s="3566"/>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2968</v>
      </c>
      <c r="J54" s="3101">
        <f ca="1">IF(M48="住宅",MAX(J52,L49-'数据-取费表'!B20),MIN(J52,L49-'数据-取费表'!B20))</f>
        <v>-1</v>
      </c>
      <c r="K54" s="3571"/>
      <c r="L54" s="3572"/>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56.25">
      <c r="A7" s="1779" t="s">
        <v>2743</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2931</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workbookViewId="0">
      <selection activeCell="B5" sqref="A4:XFD5"/>
    </sheetView>
  </sheetViews>
  <sheetFormatPr defaultRowHeight="13.5"/>
  <cols>
    <col min="1" max="1" width="75.375" style="2893" customWidth="1"/>
    <col min="2" max="2" width="6.25" style="2893" customWidth="1"/>
    <col min="3" max="5" width="13.875" style="2893" customWidth="1"/>
    <col min="6" max="6" width="10.87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4">
      <c r="A1" s="2893" t="s">
        <v>3063</v>
      </c>
      <c r="B1" s="2893" t="s">
        <v>3064</v>
      </c>
      <c r="C1" s="2893" t="s">
        <v>3065</v>
      </c>
      <c r="D1" s="2893" t="s">
        <v>3066</v>
      </c>
      <c r="E1" s="2893" t="s">
        <v>3067</v>
      </c>
      <c r="F1" s="2893" t="s">
        <v>2029</v>
      </c>
      <c r="G1" s="2893" t="s">
        <v>3068</v>
      </c>
      <c r="H1" s="2893" t="s">
        <v>3069</v>
      </c>
      <c r="I1" s="2893" t="s">
        <v>3070</v>
      </c>
      <c r="J1" s="2893" t="s">
        <v>3071</v>
      </c>
      <c r="K1" s="2893" t="s">
        <v>3072</v>
      </c>
      <c r="L1" s="2893" t="s">
        <v>3073</v>
      </c>
      <c r="M1" s="2893" t="s">
        <v>3074</v>
      </c>
      <c r="N1" s="2893" t="s">
        <v>3075</v>
      </c>
    </row>
    <row r="2" spans="1:14">
      <c r="A2" s="2893" t="s">
        <v>3076</v>
      </c>
      <c r="B2" s="2893" t="s">
        <v>3077</v>
      </c>
      <c r="C2" s="2893" t="s">
        <v>3078</v>
      </c>
      <c r="D2" s="2893">
        <v>64461.5</v>
      </c>
      <c r="E2" s="2893">
        <v>96692.3</v>
      </c>
      <c r="F2" s="2893" t="s">
        <v>3079</v>
      </c>
      <c r="G2" s="2893" t="s">
        <v>3080</v>
      </c>
      <c r="H2" s="2893" t="s">
        <v>3081</v>
      </c>
      <c r="I2" s="2893">
        <v>43770</v>
      </c>
      <c r="J2" s="2893">
        <v>43770</v>
      </c>
      <c r="K2" s="2893">
        <v>4526.72</v>
      </c>
      <c r="L2" s="2893">
        <v>0</v>
      </c>
      <c r="M2" s="2893" t="s">
        <v>3082</v>
      </c>
      <c r="N2" s="2893" t="s">
        <v>3083</v>
      </c>
    </row>
    <row r="3" spans="1:14">
      <c r="A3" s="2893" t="s">
        <v>3084</v>
      </c>
      <c r="B3" s="2893" t="s">
        <v>3077</v>
      </c>
      <c r="C3" s="2893" t="s">
        <v>3078</v>
      </c>
      <c r="D3" s="2893">
        <v>163979.4</v>
      </c>
      <c r="E3" s="2893">
        <v>344356.7</v>
      </c>
      <c r="F3" s="2893" t="s">
        <v>3085</v>
      </c>
      <c r="G3" s="2893" t="s">
        <v>3080</v>
      </c>
      <c r="H3" s="2893" t="s">
        <v>3086</v>
      </c>
      <c r="I3" s="2893">
        <v>206614</v>
      </c>
      <c r="J3" s="2893">
        <v>206614</v>
      </c>
      <c r="K3" s="2893">
        <v>6000</v>
      </c>
      <c r="L3" s="2893">
        <v>0</v>
      </c>
      <c r="M3" s="2893" t="s">
        <v>3087</v>
      </c>
      <c r="N3" s="2893" t="s">
        <v>3083</v>
      </c>
    </row>
    <row r="4" spans="1:14" s="3280" customFormat="1">
      <c r="A4" s="3280" t="s">
        <v>3088</v>
      </c>
      <c r="B4" s="3280" t="s">
        <v>3077</v>
      </c>
      <c r="C4" s="3280" t="s">
        <v>3089</v>
      </c>
      <c r="D4" s="3280">
        <v>9997.2000000000007</v>
      </c>
      <c r="E4" s="3280">
        <v>34990.199999999997</v>
      </c>
      <c r="F4" s="3280" t="s">
        <v>3090</v>
      </c>
      <c r="G4" s="3280" t="s">
        <v>3091</v>
      </c>
      <c r="H4" s="3280" t="s">
        <v>3092</v>
      </c>
      <c r="I4" s="3280">
        <v>23794</v>
      </c>
      <c r="J4" s="3280">
        <v>34800</v>
      </c>
      <c r="K4" s="3280">
        <v>9945.6299999999992</v>
      </c>
      <c r="L4" s="3280">
        <v>46.26</v>
      </c>
      <c r="M4" s="3280" t="s">
        <v>3093</v>
      </c>
      <c r="N4" s="3280" t="s">
        <v>3094</v>
      </c>
    </row>
    <row r="5" spans="1:14" s="3280" customFormat="1">
      <c r="A5" s="3280" t="s">
        <v>3095</v>
      </c>
      <c r="B5" s="3280" t="s">
        <v>3077</v>
      </c>
      <c r="C5" s="3280" t="s">
        <v>3078</v>
      </c>
      <c r="D5" s="3280">
        <v>44997</v>
      </c>
      <c r="E5" s="3280">
        <v>44998</v>
      </c>
      <c r="F5" s="3280">
        <v>1</v>
      </c>
      <c r="G5" s="3280" t="s">
        <v>3091</v>
      </c>
      <c r="H5" s="3280" t="s">
        <v>3096</v>
      </c>
      <c r="I5" s="3280">
        <v>30599</v>
      </c>
      <c r="J5" s="3280">
        <v>39800</v>
      </c>
      <c r="K5" s="3280">
        <v>8844.84</v>
      </c>
      <c r="L5" s="3280">
        <v>30.07</v>
      </c>
      <c r="M5" s="3280" t="s">
        <v>3097</v>
      </c>
      <c r="N5" s="3280" t="s">
        <v>3083</v>
      </c>
    </row>
    <row r="6" spans="1:14" s="3195" customFormat="1">
      <c r="A6" s="3195" t="s">
        <v>3098</v>
      </c>
      <c r="B6" s="3195" t="s">
        <v>3077</v>
      </c>
      <c r="C6" s="3195" t="s">
        <v>3078</v>
      </c>
      <c r="D6" s="3195">
        <v>95092.4</v>
      </c>
      <c r="E6" s="3195">
        <v>142638.6</v>
      </c>
      <c r="F6" s="3195" t="s">
        <v>3079</v>
      </c>
      <c r="G6" s="3195" t="s">
        <v>3091</v>
      </c>
      <c r="H6" s="3195" t="s">
        <v>3099</v>
      </c>
      <c r="I6" s="3195">
        <v>78452</v>
      </c>
      <c r="J6" s="3195">
        <v>123000</v>
      </c>
      <c r="K6" s="3195">
        <v>8623.19</v>
      </c>
      <c r="L6" s="3195">
        <v>56.78</v>
      </c>
      <c r="M6" s="3195" t="s">
        <v>3100</v>
      </c>
      <c r="N6" s="3195" t="s">
        <v>3083</v>
      </c>
    </row>
    <row r="7" spans="1:14" s="3195" customFormat="1">
      <c r="A7" s="3195" t="s">
        <v>3101</v>
      </c>
      <c r="B7" s="3195" t="s">
        <v>3077</v>
      </c>
      <c r="C7" s="3195" t="s">
        <v>3078</v>
      </c>
      <c r="D7" s="3195">
        <v>103259.6</v>
      </c>
      <c r="E7" s="3195">
        <v>154889.4</v>
      </c>
      <c r="F7" s="3195" t="s">
        <v>3102</v>
      </c>
      <c r="G7" s="3195" t="s">
        <v>3091</v>
      </c>
      <c r="H7" s="3195" t="s">
        <v>3099</v>
      </c>
      <c r="I7" s="3195">
        <v>85190</v>
      </c>
      <c r="J7" s="3195">
        <v>128000</v>
      </c>
      <c r="K7" s="3195">
        <v>8263.9500000000007</v>
      </c>
      <c r="L7" s="3195">
        <v>50.25</v>
      </c>
      <c r="M7" s="3195" t="s">
        <v>3103</v>
      </c>
      <c r="N7" s="3195" t="s">
        <v>3083</v>
      </c>
    </row>
    <row r="8" spans="1:14">
      <c r="A8" s="2893" t="s">
        <v>3104</v>
      </c>
      <c r="B8" s="2893" t="s">
        <v>3077</v>
      </c>
      <c r="C8" s="2893" t="s">
        <v>3078</v>
      </c>
      <c r="D8" s="2893">
        <v>55157.599999999999</v>
      </c>
      <c r="E8" s="2893">
        <v>82736.399999999994</v>
      </c>
      <c r="F8" s="2893" t="s">
        <v>3079</v>
      </c>
      <c r="G8" s="2893" t="s">
        <v>3091</v>
      </c>
      <c r="H8" s="2893" t="s">
        <v>3105</v>
      </c>
      <c r="I8" s="2893">
        <v>45506</v>
      </c>
      <c r="J8" s="2893">
        <v>68000</v>
      </c>
      <c r="K8" s="2893">
        <v>8218.8700000000008</v>
      </c>
      <c r="L8" s="2893">
        <v>49.43</v>
      </c>
      <c r="M8" s="2893" t="s">
        <v>3106</v>
      </c>
      <c r="N8" s="2893" t="s">
        <v>3083</v>
      </c>
    </row>
    <row r="9" spans="1:14">
      <c r="A9" s="2893" t="s">
        <v>3107</v>
      </c>
      <c r="B9" s="2893" t="s">
        <v>3077</v>
      </c>
      <c r="C9" s="2893" t="s">
        <v>3078</v>
      </c>
      <c r="D9" s="2893">
        <v>179847.6</v>
      </c>
      <c r="E9" s="2893">
        <v>383527.6</v>
      </c>
      <c r="F9" s="2893" t="s">
        <v>3108</v>
      </c>
      <c r="G9" s="2893" t="s">
        <v>3080</v>
      </c>
      <c r="H9" s="2893" t="s">
        <v>3109</v>
      </c>
      <c r="I9" s="2893">
        <v>191764</v>
      </c>
      <c r="J9" s="2893">
        <v>191764</v>
      </c>
      <c r="K9" s="2893">
        <v>5000.01</v>
      </c>
      <c r="L9" s="2893">
        <v>0</v>
      </c>
      <c r="M9" s="2893" t="s">
        <v>3110</v>
      </c>
      <c r="N9" s="2893" t="s">
        <v>3094</v>
      </c>
    </row>
    <row r="10" spans="1:14">
      <c r="A10" s="2893" t="s">
        <v>3111</v>
      </c>
      <c r="B10" s="2893" t="s">
        <v>3077</v>
      </c>
      <c r="C10" s="2893" t="s">
        <v>3089</v>
      </c>
      <c r="D10" s="2893">
        <v>132213.79999999999</v>
      </c>
      <c r="E10" s="2893">
        <v>184092.7</v>
      </c>
      <c r="F10" s="2893" t="s">
        <v>3112</v>
      </c>
      <c r="G10" s="2893" t="s">
        <v>3091</v>
      </c>
      <c r="H10" s="2893" t="s">
        <v>3113</v>
      </c>
      <c r="I10" s="2893">
        <v>82842</v>
      </c>
      <c r="J10" s="2893">
        <v>107000</v>
      </c>
      <c r="K10" s="2893">
        <v>5812.28</v>
      </c>
      <c r="L10" s="2893">
        <v>29.16</v>
      </c>
      <c r="M10" s="2893" t="s">
        <v>3114</v>
      </c>
      <c r="N10" s="2893" t="s">
        <v>3083</v>
      </c>
    </row>
    <row r="11" spans="1:14">
      <c r="A11" s="2893" t="s">
        <v>3115</v>
      </c>
      <c r="B11" s="2893" t="s">
        <v>3077</v>
      </c>
      <c r="C11" s="2893" t="s">
        <v>3078</v>
      </c>
      <c r="D11" s="2893">
        <v>67568.5</v>
      </c>
      <c r="E11" s="2893">
        <v>135137</v>
      </c>
      <c r="F11" s="2893" t="s">
        <v>3116</v>
      </c>
      <c r="G11" s="2893" t="s">
        <v>3091</v>
      </c>
      <c r="H11" s="2893" t="s">
        <v>3117</v>
      </c>
      <c r="I11" s="2893">
        <v>53650</v>
      </c>
      <c r="J11" s="2893">
        <v>67000</v>
      </c>
      <c r="K11" s="2893">
        <v>4957.93</v>
      </c>
      <c r="L11" s="2893">
        <v>24.88</v>
      </c>
      <c r="M11" s="2893" t="s">
        <v>3118</v>
      </c>
      <c r="N11" s="2893" t="s">
        <v>3083</v>
      </c>
    </row>
    <row r="12" spans="1:14">
      <c r="A12" s="2893" t="s">
        <v>3119</v>
      </c>
      <c r="B12" s="2893" t="s">
        <v>3077</v>
      </c>
      <c r="C12" s="2893" t="s">
        <v>3078</v>
      </c>
      <c r="D12" s="2893">
        <v>100409</v>
      </c>
      <c r="E12" s="2893">
        <v>212397.4</v>
      </c>
      <c r="F12" s="2893" t="s">
        <v>3120</v>
      </c>
      <c r="G12" s="2893" t="s">
        <v>3091</v>
      </c>
      <c r="H12" s="2893" t="s">
        <v>3121</v>
      </c>
      <c r="I12" s="2893">
        <v>95579</v>
      </c>
      <c r="J12" s="2893">
        <v>96500</v>
      </c>
      <c r="K12" s="2893">
        <v>4543.3599999999997</v>
      </c>
      <c r="L12" s="2893">
        <v>0.96</v>
      </c>
      <c r="M12" s="2893" t="s">
        <v>3122</v>
      </c>
      <c r="N12" s="2893" t="s">
        <v>3094</v>
      </c>
    </row>
    <row r="13" spans="1:14" s="3280" customFormat="1">
      <c r="A13" s="3280" t="s">
        <v>3123</v>
      </c>
      <c r="B13" s="3280" t="s">
        <v>3077</v>
      </c>
      <c r="C13" s="3280" t="s">
        <v>3078</v>
      </c>
      <c r="D13" s="3280">
        <v>25395</v>
      </c>
      <c r="E13" s="3280">
        <v>76185</v>
      </c>
      <c r="F13" s="3280" t="s">
        <v>3124</v>
      </c>
      <c r="G13" s="3280" t="s">
        <v>3091</v>
      </c>
      <c r="H13" s="3280" t="s">
        <v>3125</v>
      </c>
      <c r="I13" s="3280">
        <v>38093</v>
      </c>
      <c r="J13" s="3280">
        <v>76186</v>
      </c>
      <c r="K13" s="3280">
        <v>10000.120000000001</v>
      </c>
      <c r="L13" s="3280">
        <v>100</v>
      </c>
      <c r="M13" s="3280" t="s">
        <v>3126</v>
      </c>
      <c r="N13" s="3280" t="s">
        <v>3094</v>
      </c>
    </row>
    <row r="14" spans="1:14">
      <c r="A14" s="2893" t="s">
        <v>3127</v>
      </c>
      <c r="B14" s="2893" t="s">
        <v>3077</v>
      </c>
      <c r="C14" s="2893" t="s">
        <v>3089</v>
      </c>
      <c r="D14" s="2893">
        <v>169717</v>
      </c>
      <c r="E14" s="2893">
        <v>278900.8</v>
      </c>
      <c r="F14" s="2893" t="s">
        <v>3128</v>
      </c>
      <c r="G14" s="2893" t="s">
        <v>3091</v>
      </c>
      <c r="H14" s="2893" t="s">
        <v>3125</v>
      </c>
      <c r="I14" s="2893">
        <v>139451</v>
      </c>
      <c r="J14" s="2893">
        <v>140000</v>
      </c>
      <c r="K14" s="2893">
        <v>5019.71</v>
      </c>
      <c r="L14" s="2893">
        <v>0.39</v>
      </c>
      <c r="M14" s="2893" t="s">
        <v>3129</v>
      </c>
      <c r="N14" s="2893" t="s">
        <v>3083</v>
      </c>
    </row>
    <row r="15" spans="1:14">
      <c r="A15" s="2893" t="s">
        <v>3130</v>
      </c>
      <c r="B15" s="2893" t="s">
        <v>3077</v>
      </c>
      <c r="C15" s="2893" t="s">
        <v>3089</v>
      </c>
      <c r="D15" s="2893">
        <v>161804</v>
      </c>
      <c r="E15" s="2893">
        <v>239220.7</v>
      </c>
      <c r="F15" s="2893" t="s">
        <v>3131</v>
      </c>
      <c r="G15" s="2893" t="s">
        <v>3091</v>
      </c>
      <c r="H15" s="2893" t="s">
        <v>3125</v>
      </c>
      <c r="I15" s="2893">
        <v>119611</v>
      </c>
      <c r="J15" s="2893">
        <v>120500</v>
      </c>
      <c r="K15" s="2893">
        <v>5037.18</v>
      </c>
      <c r="L15" s="2893">
        <v>0.74</v>
      </c>
      <c r="M15" s="2893" t="s">
        <v>3114</v>
      </c>
      <c r="N15" s="2893" t="s">
        <v>3094</v>
      </c>
    </row>
    <row r="16" spans="1:14">
      <c r="A16" s="2893" t="s">
        <v>3132</v>
      </c>
      <c r="B16" s="2893" t="s">
        <v>3077</v>
      </c>
      <c r="C16" s="2893" t="s">
        <v>3078</v>
      </c>
      <c r="D16" s="2893">
        <v>11312</v>
      </c>
      <c r="E16" s="2893">
        <v>89365</v>
      </c>
      <c r="F16" s="2893" t="s">
        <v>3133</v>
      </c>
      <c r="G16" s="2893" t="s">
        <v>3080</v>
      </c>
      <c r="H16" s="2893" t="s">
        <v>3134</v>
      </c>
      <c r="I16" s="2893">
        <v>58088</v>
      </c>
      <c r="J16" s="2893">
        <v>58088</v>
      </c>
      <c r="K16" s="2893">
        <v>6500.07</v>
      </c>
      <c r="L16" s="2893">
        <v>0</v>
      </c>
      <c r="M16" s="2893" t="s">
        <v>3135</v>
      </c>
      <c r="N16" s="2893" t="s">
        <v>3136</v>
      </c>
    </row>
  </sheetData>
  <phoneticPr fontId="228"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119562</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9267</v>
      </c>
      <c r="C3" s="2088"/>
      <c r="D3" s="2088"/>
      <c r="E3" s="2088"/>
      <c r="F3" s="2088"/>
      <c r="G3" s="2088"/>
      <c r="H3" s="2088"/>
      <c r="I3" s="2088"/>
      <c r="J3" s="2088"/>
      <c r="K3" s="2088"/>
    </row>
    <row r="4" spans="1:31" s="2025" customFormat="1" ht="18" customHeight="1">
      <c r="A4" s="426" t="s">
        <v>468</v>
      </c>
      <c r="B4" s="427">
        <f ca="1">ROUND(B2*10000/IF(B1="",'数据-汇总表'!D3,INDIRECT("'数据-取费表'!R"&amp;$K$1)),0)</f>
        <v>39843</v>
      </c>
      <c r="C4" s="428"/>
      <c r="D4" s="422"/>
      <c r="E4" s="422"/>
      <c r="F4" s="422"/>
      <c r="G4" s="422"/>
      <c r="H4" s="422"/>
      <c r="I4" s="422"/>
      <c r="J4" s="422"/>
      <c r="K4" s="422"/>
    </row>
    <row r="5" spans="1:31" s="2025" customFormat="1" ht="18" customHeight="1" thickBot="1">
      <c r="A5" s="429"/>
      <c r="B5" s="430">
        <f ca="1">ROUND(B2/(IF(B1="",'数据-汇总表'!D3,INDIRECT("'数据-取费表'!R"&amp;$K$1))/666.67),0)</f>
        <v>2656</v>
      </c>
      <c r="C5" s="431" t="s">
        <v>469</v>
      </c>
      <c r="D5" s="422"/>
      <c r="E5" s="422"/>
      <c r="F5" s="422"/>
      <c r="G5" s="422"/>
      <c r="H5" s="422"/>
      <c r="I5" s="422"/>
      <c r="J5" s="422"/>
      <c r="K5" s="422"/>
    </row>
    <row r="6" spans="1:31" s="2095" customFormat="1" ht="16.5" customHeight="1">
      <c r="A6" s="2782" t="s">
        <v>1842</v>
      </c>
      <c r="B6" s="2783"/>
      <c r="C6" s="2784">
        <f>SUM(C10:K10)</f>
        <v>197471</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4596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46653.79</v>
      </c>
      <c r="D9" s="441">
        <f>SUMIF('数据-汇总表'!$C19:$C33,'剩余法-待开发'!D7,'数据-汇总表'!$E19:$E33)</f>
        <v>46810.61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175955</v>
      </c>
      <c r="D10" s="2980">
        <f>'不动产比较法-车位'!B2</f>
        <v>21516</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28949</v>
      </c>
      <c r="D13" s="2798"/>
      <c r="E13" s="2799"/>
      <c r="F13" s="2800"/>
      <c r="G13" s="2766"/>
      <c r="H13" s="2767"/>
      <c r="I13" s="2767"/>
      <c r="J13" s="2767"/>
      <c r="K13" s="2768"/>
    </row>
    <row r="14" spans="1:31" s="2100" customFormat="1" ht="13.5" customHeight="1">
      <c r="A14" s="2796" t="s">
        <v>1849</v>
      </c>
      <c r="B14" s="2797" t="s">
        <v>480</v>
      </c>
      <c r="C14" s="53">
        <f ca="1">ROUND(C13*F14,0)</f>
        <v>868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1935</v>
      </c>
      <c r="D16" s="2798">
        <f ca="1">IF(B1="",'数据-汇总表'!E3,INDIRECT("'数据-取费表'!K"&amp;$K$1)+INDIRECT("'数据-取费表'!S"&amp;$K$1))</f>
        <v>129023.22</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32839</v>
      </c>
      <c r="D18" s="2807"/>
      <c r="E18" s="468"/>
      <c r="F18" s="468"/>
      <c r="G18" s="2770" t="s">
        <v>2427</v>
      </c>
      <c r="H18" s="2771"/>
      <c r="I18" s="2771"/>
      <c r="J18" s="2771"/>
      <c r="K18" s="2772"/>
    </row>
    <row r="19" spans="1:14" s="2100" customFormat="1" ht="13.5" customHeight="1">
      <c r="A19" s="2804" t="s">
        <v>1854</v>
      </c>
      <c r="B19" s="2805" t="s">
        <v>488</v>
      </c>
      <c r="C19" s="2762">
        <f ca="1">ROUND(D19*E19/10000,0)</f>
        <v>1419</v>
      </c>
      <c r="D19" s="2808">
        <f ca="1">D16</f>
        <v>129023.22</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3742</v>
      </c>
      <c r="D20" s="2808"/>
      <c r="E20" s="2762"/>
      <c r="F20" s="2809"/>
      <c r="G20" s="3036"/>
      <c r="H20" s="2764"/>
      <c r="I20" s="2765" t="s">
        <v>2647</v>
      </c>
      <c r="J20" s="2771"/>
      <c r="K20" s="2772"/>
    </row>
    <row r="21" spans="1:14" s="2100" customFormat="1" ht="13.5" customHeight="1">
      <c r="A21" s="2796" t="s">
        <v>1856</v>
      </c>
      <c r="B21" s="2797" t="s">
        <v>491</v>
      </c>
      <c r="C21" s="53">
        <f ca="1">ROUND(D21*E21/10000,0)</f>
        <v>1353</v>
      </c>
      <c r="D21" s="2798">
        <f ca="1">IF(B1="",'数据-汇总表'!E5,IF(INDIRECT("'数据-取费表'!c"&amp;$K$1)="住宅",INDIRECT("'数据-取费表'!k"&amp;$K$1),0))</f>
        <v>46653.79</v>
      </c>
      <c r="E21" s="53">
        <f>'数据-取费表'!B27</f>
        <v>290</v>
      </c>
      <c r="F21" s="2801"/>
      <c r="G21" s="26"/>
      <c r="H21" s="51"/>
      <c r="I21" s="51"/>
      <c r="J21" s="51"/>
      <c r="K21" s="2773"/>
    </row>
    <row r="22" spans="1:14" s="2100" customFormat="1" ht="13.5" customHeight="1">
      <c r="A22" s="2796" t="s">
        <v>1857</v>
      </c>
      <c r="B22" s="2797" t="s">
        <v>492</v>
      </c>
      <c r="C22" s="53">
        <f ca="1">ROUND(D22*E22/10000,0)</f>
        <v>2389</v>
      </c>
      <c r="D22" s="2798">
        <f ca="1">IF(B1="",'数据-汇总表'!E6,IF(INDIRECT("'数据-取费表'!c"&amp;$K$1)="住宅",INDIRECT("'数据-取费表'!s"&amp;$K$1),INDIRECT("'数据-取费表'!k"&amp;$K$1)+INDIRECT("'数据-取费表'!s"&amp;$K$1)))</f>
        <v>82369.429999999993</v>
      </c>
      <c r="E22" s="53">
        <f>'数据-取费表'!B28</f>
        <v>290</v>
      </c>
      <c r="F22" s="2801"/>
      <c r="G22" s="26"/>
      <c r="H22" s="51"/>
      <c r="I22" s="51"/>
      <c r="J22" s="51"/>
      <c r="K22" s="2773"/>
    </row>
    <row r="23" spans="1:14" s="2100" customFormat="1" ht="13.5" customHeight="1">
      <c r="A23" s="2804" t="s">
        <v>1858</v>
      </c>
      <c r="B23" s="2986" t="s">
        <v>2830</v>
      </c>
      <c r="C23" s="2806">
        <f ca="1">ROUND((C18+C19+C20)*F23,0)</f>
        <v>760</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ROUND(C6*F24,0)</f>
        <v>3949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929</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929</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10532</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54170</v>
      </c>
      <c r="D30" s="477">
        <f ca="1">C32</f>
        <v>7.3800000000000004E-2</v>
      </c>
      <c r="E30" s="469" t="s">
        <v>495</v>
      </c>
      <c r="F30" s="471"/>
      <c r="G30" s="2774" t="s">
        <v>2962</v>
      </c>
      <c r="H30" s="2767"/>
      <c r="I30" s="2767"/>
      <c r="J30" s="2767"/>
      <c r="K30" s="2768"/>
    </row>
    <row r="31" spans="1:14" s="2104" customFormat="1" ht="13.5" customHeight="1">
      <c r="A31" s="803" t="s">
        <v>1856</v>
      </c>
      <c r="B31" s="2812"/>
      <c r="C31" s="450">
        <f ca="1">C18+C19+C20+C23+C24+C26+C29</f>
        <v>54170</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2829</v>
      </c>
      <c r="B33" s="2983" t="s">
        <v>2827</v>
      </c>
      <c r="C33" s="478">
        <f ca="1">C35</f>
        <v>3844</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3844</v>
      </c>
      <c r="D35" s="1615"/>
      <c r="E35" s="2818"/>
      <c r="F35" s="1616"/>
      <c r="G35" s="2776"/>
      <c r="H35" s="2777"/>
      <c r="I35" s="2777"/>
      <c r="J35" s="2777"/>
      <c r="K35" s="2778"/>
    </row>
    <row r="36" spans="1:11" s="2069" customFormat="1" ht="13.5" customHeight="1" thickBot="1">
      <c r="A36" s="284" t="s">
        <v>1844</v>
      </c>
      <c r="B36" s="2780"/>
      <c r="C36" s="2819">
        <f ca="1">ROUND((C6-C30-C33)/(1+D30+D33),0)</f>
        <v>119562</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48" sqref="G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3164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175955</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46653.79</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86" t="s">
        <v>522</v>
      </c>
      <c r="D4" s="3487"/>
      <c r="E4" s="3520" t="s">
        <v>523</v>
      </c>
      <c r="F4" s="3521"/>
      <c r="G4" s="3486" t="s">
        <v>524</v>
      </c>
      <c r="H4" s="3487"/>
      <c r="I4" s="3486" t="s">
        <v>525</v>
      </c>
      <c r="J4" s="3487"/>
      <c r="K4" s="853"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3" t="s">
        <v>524</v>
      </c>
      <c r="AC4" s="3483" t="s">
        <v>525</v>
      </c>
    </row>
    <row r="5" spans="1:29" ht="15">
      <c r="A5" s="515"/>
      <c r="B5" s="516"/>
      <c r="C5" s="3502" t="s">
        <v>2919</v>
      </c>
      <c r="D5" s="3503"/>
      <c r="E5" s="3577" t="s">
        <v>3151</v>
      </c>
      <c r="F5" s="3523"/>
      <c r="G5" s="3576" t="s">
        <v>3436</v>
      </c>
      <c r="H5" s="3503"/>
      <c r="I5" s="3576" t="s">
        <v>3435</v>
      </c>
      <c r="J5" s="3503"/>
      <c r="K5" s="85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85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19"/>
      <c r="M7" s="2120"/>
      <c r="N7" s="2120"/>
      <c r="O7" s="2120"/>
      <c r="P7" s="3511" t="s">
        <v>530</v>
      </c>
      <c r="Q7" s="3513"/>
      <c r="R7" s="1555" t="s">
        <v>13</v>
      </c>
      <c r="S7" s="1556">
        <f t="shared" ref="S7:S15" si="0">F7</f>
        <v>100</v>
      </c>
      <c r="T7" s="1555" t="s">
        <v>13</v>
      </c>
      <c r="U7" s="1556">
        <f t="shared" ref="U7:U15" si="1">H7</f>
        <v>100</v>
      </c>
      <c r="V7" s="1555" t="s">
        <v>13</v>
      </c>
      <c r="W7" s="1556">
        <f t="shared" ref="W7:W15" si="2">J7</f>
        <v>100</v>
      </c>
      <c r="X7" s="1557"/>
      <c r="Y7" s="3511" t="s">
        <v>530</v>
      </c>
      <c r="Z7" s="3512"/>
      <c r="AA7" s="1558">
        <f>D7/F7</f>
        <v>1</v>
      </c>
      <c r="AB7" s="1558">
        <f>D7/H7</f>
        <v>1</v>
      </c>
      <c r="AC7" s="1558">
        <f>D7/J7</f>
        <v>1</v>
      </c>
    </row>
    <row r="8" spans="1:29" s="1216" customFormat="1" ht="15.75" thickBot="1">
      <c r="A8" s="2867"/>
      <c r="B8" s="2874" t="s">
        <v>531</v>
      </c>
      <c r="C8" s="525" t="s">
        <v>576</v>
      </c>
      <c r="D8" s="520">
        <v>100</v>
      </c>
      <c r="E8" s="856" t="s">
        <v>3060</v>
      </c>
      <c r="F8" s="522">
        <f>SUMIF(61:61,E8,62:62)-SUMIF(61:61,C8,62:62)+100</f>
        <v>100</v>
      </c>
      <c r="G8" s="525" t="s">
        <v>3060</v>
      </c>
      <c r="H8" s="520">
        <f>SUMIF(61:61,G8,62:62)-SUMIF(61:61,C8,62:62)+100</f>
        <v>100</v>
      </c>
      <c r="I8" s="856" t="s">
        <v>3060</v>
      </c>
      <c r="J8" s="520">
        <f>SUMIF(61:61,I8,62:62)-SUMIF(61:61,C8,62:62)+100</f>
        <v>100</v>
      </c>
      <c r="K8" s="855"/>
      <c r="L8" s="2119"/>
      <c r="M8" s="2120"/>
      <c r="N8" s="2120"/>
      <c r="O8" s="2120"/>
      <c r="P8" s="3511" t="s">
        <v>533</v>
      </c>
      <c r="Q8" s="3512"/>
      <c r="R8" s="1555" t="s">
        <v>13</v>
      </c>
      <c r="S8" s="1556">
        <f t="shared" si="0"/>
        <v>100</v>
      </c>
      <c r="T8" s="1555" t="s">
        <v>13</v>
      </c>
      <c r="U8" s="1556">
        <f t="shared" si="1"/>
        <v>100</v>
      </c>
      <c r="V8" s="1555" t="s">
        <v>13</v>
      </c>
      <c r="W8" s="1556">
        <f t="shared" si="2"/>
        <v>100</v>
      </c>
      <c r="X8" s="1557"/>
      <c r="Y8" s="3511" t="s">
        <v>533</v>
      </c>
      <c r="Z8" s="3512"/>
      <c r="AA8" s="1558">
        <f t="shared" ref="AA8:AA46" si="3">D8/F8</f>
        <v>1</v>
      </c>
      <c r="AB8" s="1558">
        <f t="shared" ref="AB8:AB46" si="4">D8/H8</f>
        <v>1</v>
      </c>
      <c r="AC8" s="1558">
        <f t="shared" ref="AC8:AC46" si="5">D8/J8</f>
        <v>1</v>
      </c>
    </row>
    <row r="9" spans="1:29" s="1216" customFormat="1" ht="15">
      <c r="A9" s="2868"/>
      <c r="B9" s="2875" t="s">
        <v>2752</v>
      </c>
      <c r="C9" s="3194" t="s">
        <v>3061</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t="s">
        <v>3062</v>
      </c>
      <c r="D10" s="255">
        <v>100</v>
      </c>
      <c r="E10" s="862" t="s">
        <v>3440</v>
      </c>
      <c r="F10" s="863">
        <f>SUMIF(65:65,E10,66:66)-SUMIF(65:65,C10,66:66)+100</f>
        <v>102</v>
      </c>
      <c r="G10" s="861" t="s">
        <v>3440</v>
      </c>
      <c r="H10" s="255">
        <f>SUMIF(65:65,G10,66:66)-SUMIF(65:65,C10,66:66)+100</f>
        <v>102</v>
      </c>
      <c r="I10" s="861" t="s">
        <v>3440</v>
      </c>
      <c r="J10" s="255">
        <f>SUMIF(65:65,I10,66:66)-SUMIF(65:65,C10,66:66)+100</f>
        <v>102</v>
      </c>
      <c r="K10" s="864">
        <v>2</v>
      </c>
      <c r="L10" s="2122"/>
      <c r="M10" s="2162"/>
      <c r="N10" s="2162"/>
      <c r="O10" s="2123"/>
      <c r="P10" s="3480"/>
      <c r="Q10" s="1147" t="str">
        <f t="shared" si="6"/>
        <v>土地使用年限（年）</v>
      </c>
      <c r="R10" s="1555" t="s">
        <v>8</v>
      </c>
      <c r="S10" s="1556">
        <f t="shared" si="0"/>
        <v>102</v>
      </c>
      <c r="T10" s="1555" t="s">
        <v>8</v>
      </c>
      <c r="U10" s="1556">
        <f t="shared" si="1"/>
        <v>102</v>
      </c>
      <c r="V10" s="1555" t="s">
        <v>8</v>
      </c>
      <c r="W10" s="1556">
        <f t="shared" si="2"/>
        <v>102</v>
      </c>
      <c r="X10" s="1557"/>
      <c r="Y10" s="3422"/>
      <c r="Z10" s="1146" t="str">
        <f t="shared" si="7"/>
        <v>土地使用年限（年）</v>
      </c>
      <c r="AA10" s="1558">
        <f t="shared" si="3"/>
        <v>0.98039215686274506</v>
      </c>
      <c r="AB10" s="1558">
        <f t="shared" si="4"/>
        <v>0.98039215686274506</v>
      </c>
      <c r="AC10" s="1558">
        <f t="shared" si="5"/>
        <v>0.98039215686274506</v>
      </c>
    </row>
    <row r="11" spans="1:29" ht="15.75" thickBot="1">
      <c r="A11" s="2870"/>
      <c r="B11" s="2874" t="s">
        <v>2754</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80"/>
      <c r="Q11" s="1147" t="str">
        <f t="shared" si="6"/>
        <v>容积率</v>
      </c>
      <c r="R11" s="1555" t="s">
        <v>11</v>
      </c>
      <c r="S11" s="1556">
        <f t="shared" si="0"/>
        <v>94</v>
      </c>
      <c r="T11" s="1555" t="s">
        <v>11</v>
      </c>
      <c r="U11" s="1556">
        <f t="shared" si="1"/>
        <v>94</v>
      </c>
      <c r="V11" s="1555" t="s">
        <v>11</v>
      </c>
      <c r="W11" s="1556">
        <f t="shared" si="2"/>
        <v>85</v>
      </c>
      <c r="X11" s="1557"/>
      <c r="Y11" s="3422"/>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80"/>
      <c r="Q12" s="1147">
        <f t="shared" si="6"/>
        <v>111</v>
      </c>
      <c r="R12" s="1555" t="s">
        <v>11</v>
      </c>
      <c r="S12" s="1556">
        <f t="shared" si="0"/>
        <v>100</v>
      </c>
      <c r="T12" s="1555" t="s">
        <v>11</v>
      </c>
      <c r="U12" s="1556">
        <f t="shared" si="1"/>
        <v>100</v>
      </c>
      <c r="V12" s="1555" t="s">
        <v>11</v>
      </c>
      <c r="W12" s="1556">
        <f t="shared" si="2"/>
        <v>100</v>
      </c>
      <c r="X12" s="1557"/>
      <c r="Y12" s="3422"/>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80"/>
      <c r="Q13" s="1147">
        <f t="shared" si="6"/>
        <v>111</v>
      </c>
      <c r="R13" s="1555" t="s">
        <v>11</v>
      </c>
      <c r="S13" s="1556">
        <f t="shared" si="0"/>
        <v>100</v>
      </c>
      <c r="T13" s="1555" t="s">
        <v>11</v>
      </c>
      <c r="U13" s="1556">
        <f t="shared" si="1"/>
        <v>100</v>
      </c>
      <c r="V13" s="1555" t="s">
        <v>11</v>
      </c>
      <c r="W13" s="1556">
        <f t="shared" si="2"/>
        <v>100</v>
      </c>
      <c r="X13" s="1557"/>
      <c r="Y13" s="3422"/>
      <c r="Z13" s="1146">
        <f t="shared" si="7"/>
        <v>111</v>
      </c>
      <c r="AA13" s="1558">
        <f t="shared" si="3"/>
        <v>1</v>
      </c>
      <c r="AB13" s="1558">
        <f t="shared" si="4"/>
        <v>1</v>
      </c>
      <c r="AC13" s="1558">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80"/>
      <c r="Q14" s="1147">
        <f t="shared" si="6"/>
        <v>111</v>
      </c>
      <c r="R14" s="1555" t="s">
        <v>11</v>
      </c>
      <c r="S14" s="1556">
        <f t="shared" si="0"/>
        <v>100</v>
      </c>
      <c r="T14" s="1555" t="s">
        <v>11</v>
      </c>
      <c r="U14" s="1556">
        <f t="shared" si="1"/>
        <v>100</v>
      </c>
      <c r="V14" s="1555" t="s">
        <v>11</v>
      </c>
      <c r="W14" s="1556">
        <f t="shared" si="2"/>
        <v>100</v>
      </c>
      <c r="X14" s="1557"/>
      <c r="Y14" s="3422"/>
      <c r="Z14" s="1146">
        <f t="shared" si="7"/>
        <v>111</v>
      </c>
      <c r="AA14" s="1558">
        <f t="shared" si="3"/>
        <v>1</v>
      </c>
      <c r="AB14" s="1558">
        <f t="shared" si="4"/>
        <v>1</v>
      </c>
      <c r="AC14" s="1558">
        <f t="shared" si="5"/>
        <v>1</v>
      </c>
    </row>
    <row r="15" spans="1:29" ht="114">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3152</v>
      </c>
      <c r="F15" s="551">
        <f>SUMIF(76:76,E16,77:77)-SUMIF(76:76,C16,77:77)+100</f>
        <v>100</v>
      </c>
      <c r="G15" s="3200" t="s">
        <v>3437</v>
      </c>
      <c r="H15" s="549">
        <f>SUMIF(76:76,G16,77:77)-SUMIF(76:76,C16,77:77)+100</f>
        <v>100</v>
      </c>
      <c r="I15" s="3200"/>
      <c r="J15" s="549">
        <f>SUMIF(76:76,I16,77:77)-SUMIF(76:76,C16,77:77)+100</f>
        <v>102</v>
      </c>
      <c r="K15" s="868">
        <v>2</v>
      </c>
      <c r="L15" s="2126"/>
      <c r="M15" s="2118"/>
      <c r="N15" s="2118"/>
      <c r="O15" s="2125"/>
      <c r="P15" s="3514" t="s">
        <v>540</v>
      </c>
      <c r="Q15" s="1559" t="str">
        <f t="shared" si="6"/>
        <v>居住社区成熟度</v>
      </c>
      <c r="R15" s="1560" t="s">
        <v>11</v>
      </c>
      <c r="S15" s="1561">
        <f t="shared" si="0"/>
        <v>100</v>
      </c>
      <c r="T15" s="1560" t="s">
        <v>11</v>
      </c>
      <c r="U15" s="1561">
        <f t="shared" si="1"/>
        <v>100</v>
      </c>
      <c r="V15" s="1560" t="s">
        <v>11</v>
      </c>
      <c r="W15" s="1561">
        <f t="shared" si="2"/>
        <v>102</v>
      </c>
      <c r="X15" s="1554"/>
      <c r="Y15" s="3514" t="s">
        <v>540</v>
      </c>
      <c r="Z15" s="1562" t="str">
        <f t="shared" si="7"/>
        <v>居住社区成熟度</v>
      </c>
      <c r="AA15" s="1563">
        <f t="shared" si="3"/>
        <v>1</v>
      </c>
      <c r="AB15" s="1563">
        <f t="shared" si="4"/>
        <v>1</v>
      </c>
      <c r="AC15" s="1563">
        <f t="shared" si="5"/>
        <v>0.98039215686274506</v>
      </c>
    </row>
    <row r="16" spans="1:29" ht="15">
      <c r="A16" s="532"/>
      <c r="B16" s="869"/>
      <c r="C16" s="576" t="s">
        <v>3137</v>
      </c>
      <c r="D16" s="555"/>
      <c r="E16" s="556" t="s">
        <v>3137</v>
      </c>
      <c r="F16" s="557"/>
      <c r="G16" s="558" t="s">
        <v>3137</v>
      </c>
      <c r="H16" s="559"/>
      <c r="I16" s="556" t="s">
        <v>3139</v>
      </c>
      <c r="J16" s="555"/>
      <c r="K16" s="870"/>
      <c r="L16" s="2126"/>
      <c r="M16" s="2118"/>
      <c r="N16" s="2118"/>
      <c r="O16" s="2125"/>
      <c r="P16" s="3515"/>
      <c r="Q16" s="1559"/>
      <c r="R16" s="1560"/>
      <c r="S16" s="1561"/>
      <c r="T16" s="1560"/>
      <c r="U16" s="1561"/>
      <c r="V16" s="1560"/>
      <c r="W16" s="1561"/>
      <c r="X16" s="1554"/>
      <c r="Y16" s="3515"/>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3153</v>
      </c>
      <c r="F17" s="563">
        <f>SUMIF(78:78,E18,79:79)-SUMIF(78:78,C18,79:79)+100</f>
        <v>100</v>
      </c>
      <c r="G17" s="562" t="s">
        <v>3438</v>
      </c>
      <c r="H17" s="565">
        <f>SUMIF(78:78,G18,79:79)-SUMIF(78:78,C18,79:79)+100</f>
        <v>100</v>
      </c>
      <c r="I17" s="562"/>
      <c r="J17" s="565">
        <f>SUMIF(78:78,I18,79:79)-SUMIF(78:78,C18,79:79)+100</f>
        <v>100</v>
      </c>
      <c r="K17" s="868">
        <v>2</v>
      </c>
      <c r="L17" s="2126"/>
      <c r="M17" s="2118"/>
      <c r="N17" s="2118"/>
      <c r="O17" s="2125"/>
      <c r="P17" s="3515"/>
      <c r="Q17" s="1559" t="str">
        <f>B17</f>
        <v>交通便捷度</v>
      </c>
      <c r="R17" s="1560" t="s">
        <v>11</v>
      </c>
      <c r="S17" s="1561">
        <f>F17</f>
        <v>100</v>
      </c>
      <c r="T17" s="1560" t="s">
        <v>11</v>
      </c>
      <c r="U17" s="1561">
        <f>H17</f>
        <v>100</v>
      </c>
      <c r="V17" s="1560" t="s">
        <v>11</v>
      </c>
      <c r="W17" s="1561">
        <f>J17</f>
        <v>100</v>
      </c>
      <c r="X17" s="1554"/>
      <c r="Y17" s="3515"/>
      <c r="Z17" s="1562" t="str">
        <f>Q17</f>
        <v>交通便捷度</v>
      </c>
      <c r="AA17" s="1563">
        <f t="shared" si="3"/>
        <v>1</v>
      </c>
      <c r="AB17" s="1563">
        <f t="shared" si="4"/>
        <v>1</v>
      </c>
      <c r="AC17" s="1563">
        <f t="shared" si="5"/>
        <v>1</v>
      </c>
    </row>
    <row r="18" spans="1:29" ht="15">
      <c r="A18" s="532"/>
      <c r="B18" s="595"/>
      <c r="C18" s="873" t="s">
        <v>3139</v>
      </c>
      <c r="D18" s="559"/>
      <c r="E18" s="568" t="s">
        <v>3139</v>
      </c>
      <c r="F18" s="563"/>
      <c r="G18" s="569" t="s">
        <v>3139</v>
      </c>
      <c r="H18" s="555"/>
      <c r="I18" s="568" t="s">
        <v>3139</v>
      </c>
      <c r="J18" s="555"/>
      <c r="K18" s="870"/>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3" t="s">
        <v>2543</v>
      </c>
      <c r="C19" s="872" t="str">
        <f>估价对象房地状况!C7</f>
        <v>估价对象所在区域公共配套设施齐备情况较好。</v>
      </c>
      <c r="D19" s="565">
        <v>100</v>
      </c>
      <c r="E19" s="3201" t="s">
        <v>3154</v>
      </c>
      <c r="F19" s="571">
        <f>SUMIF(80:80,E20,81:81)-SUMIF(80:80,C20,81:81)+100</f>
        <v>100</v>
      </c>
      <c r="G19" s="3201" t="s">
        <v>3154</v>
      </c>
      <c r="H19" s="559">
        <f>SUMIF(80:80,G20,81:81)-SUMIF(80:80,C20,81:81)+100</f>
        <v>100</v>
      </c>
      <c r="I19" s="3201" t="s">
        <v>3154</v>
      </c>
      <c r="J19" s="559">
        <f>SUMIF(80:80,I20,81:81)-SUMIF(80:80,C20,81:81)+100</f>
        <v>100</v>
      </c>
      <c r="K19" s="868">
        <v>2</v>
      </c>
      <c r="L19" s="2126"/>
      <c r="M19" s="2118"/>
      <c r="N19" s="2118"/>
      <c r="O19" s="2125"/>
      <c r="P19" s="3515"/>
      <c r="Q19" s="1559" t="str">
        <f>B19</f>
        <v>公共配套设施</v>
      </c>
      <c r="R19" s="1560" t="s">
        <v>11</v>
      </c>
      <c r="S19" s="1561">
        <f>F19</f>
        <v>100</v>
      </c>
      <c r="T19" s="1560" t="s">
        <v>11</v>
      </c>
      <c r="U19" s="1561">
        <f>H19</f>
        <v>100</v>
      </c>
      <c r="V19" s="1560" t="s">
        <v>11</v>
      </c>
      <c r="W19" s="1561">
        <f>J19</f>
        <v>100</v>
      </c>
      <c r="X19" s="1554"/>
      <c r="Y19" s="3515"/>
      <c r="Z19" s="1562" t="str">
        <f>Q19</f>
        <v>公共配套设施</v>
      </c>
      <c r="AA19" s="1563">
        <f t="shared" si="3"/>
        <v>1</v>
      </c>
      <c r="AB19" s="1563">
        <f t="shared" si="4"/>
        <v>1</v>
      </c>
      <c r="AC19" s="1563">
        <f t="shared" si="5"/>
        <v>1</v>
      </c>
    </row>
    <row r="20" spans="1:29" ht="15">
      <c r="A20" s="532"/>
      <c r="B20" s="595"/>
      <c r="C20" s="576" t="s">
        <v>3139</v>
      </c>
      <c r="D20" s="555"/>
      <c r="E20" s="556" t="s">
        <v>3139</v>
      </c>
      <c r="F20" s="557"/>
      <c r="G20" s="558" t="s">
        <v>3139</v>
      </c>
      <c r="H20" s="555"/>
      <c r="I20" s="556" t="s">
        <v>3139</v>
      </c>
      <c r="J20" s="555"/>
      <c r="K20" s="870"/>
      <c r="L20" s="2126"/>
      <c r="M20" s="2118"/>
      <c r="N20" s="2118"/>
      <c r="O20" s="2125"/>
      <c r="P20" s="3515"/>
      <c r="Q20" s="1559"/>
      <c r="R20" s="1560"/>
      <c r="S20" s="1561"/>
      <c r="T20" s="1560"/>
      <c r="U20" s="1561"/>
      <c r="V20" s="1560"/>
      <c r="W20" s="1561"/>
      <c r="X20" s="1554"/>
      <c r="Y20" s="3515"/>
      <c r="Z20" s="1562"/>
      <c r="AA20" s="1563">
        <v>1</v>
      </c>
      <c r="AB20" s="1563">
        <v>1</v>
      </c>
      <c r="AC20" s="1563">
        <v>1</v>
      </c>
    </row>
    <row r="21" spans="1:29" ht="42.75">
      <c r="A21" s="532"/>
      <c r="B21" s="2556" t="s">
        <v>2555</v>
      </c>
      <c r="C21" s="872" t="str">
        <f>估价对象房地状况!C8</f>
        <v>估价对象所在区域基础设施水平达“六通”。</v>
      </c>
      <c r="D21" s="565">
        <v>100</v>
      </c>
      <c r="E21" s="572" t="s">
        <v>3155</v>
      </c>
      <c r="F21" s="571">
        <f>SUMIF(82:82,E22,83:83)-SUMIF(82:82,C22,83:83)+100</f>
        <v>100</v>
      </c>
      <c r="G21" s="572" t="s">
        <v>3155</v>
      </c>
      <c r="H21" s="565">
        <f>SUMIF(82:82,G22,83:83)-SUMIF(82:82,C22,83:83)+100</f>
        <v>100</v>
      </c>
      <c r="I21" s="572" t="s">
        <v>3155</v>
      </c>
      <c r="J21" s="565">
        <f>SUMIF(82:82,I22,83:83)-SUMIF(82:82,C22,83:83)+100</f>
        <v>100</v>
      </c>
      <c r="K21" s="868">
        <v>2</v>
      </c>
      <c r="L21" s="2126"/>
      <c r="M21" s="2118"/>
      <c r="N21" s="2118"/>
      <c r="O21" s="2125"/>
      <c r="P21" s="3515"/>
      <c r="Q21" s="2542" t="str">
        <f>B21</f>
        <v>基础设施水平</v>
      </c>
      <c r="R21" s="1560" t="s">
        <v>11</v>
      </c>
      <c r="S21" s="1561">
        <f>F21</f>
        <v>100</v>
      </c>
      <c r="T21" s="1560" t="s">
        <v>11</v>
      </c>
      <c r="U21" s="1561">
        <f>H21</f>
        <v>100</v>
      </c>
      <c r="V21" s="1560" t="s">
        <v>11</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922"/>
      <c r="C22" s="873" t="s">
        <v>3140</v>
      </c>
      <c r="D22" s="555"/>
      <c r="E22" s="576" t="s">
        <v>3140</v>
      </c>
      <c r="F22" s="557"/>
      <c r="G22" s="576" t="s">
        <v>3140</v>
      </c>
      <c r="H22" s="555"/>
      <c r="I22" s="576" t="s">
        <v>3140</v>
      </c>
      <c r="J22" s="555"/>
      <c r="K22" s="2562"/>
      <c r="L22" s="2126"/>
      <c r="M22" s="2118"/>
      <c r="N22" s="2118"/>
      <c r="O22" s="2125"/>
      <c r="P22" s="3515"/>
      <c r="Q22" s="2542"/>
      <c r="R22" s="1560"/>
      <c r="S22" s="1561"/>
      <c r="T22" s="1560"/>
      <c r="U22" s="1561"/>
      <c r="V22" s="1560"/>
      <c r="W22" s="1561"/>
      <c r="X22" s="2544"/>
      <c r="Y22" s="3515"/>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3156</v>
      </c>
      <c r="F23" s="563">
        <f>SUMIF(84:84,E24,85:85)-SUMIF(84:84,C24,85:85)+100</f>
        <v>100</v>
      </c>
      <c r="G23" s="3198" t="s">
        <v>3439</v>
      </c>
      <c r="H23" s="559">
        <f>SUMIF(84:84,G24,85:85)-SUMIF(84:84,C24,85:85)+100</f>
        <v>100</v>
      </c>
      <c r="I23" s="3198"/>
      <c r="J23" s="559">
        <f>SUMIF(84:84,I24,85:85)-SUMIF(84:84,C24,85:85)+100</f>
        <v>102</v>
      </c>
      <c r="K23" s="868">
        <v>2</v>
      </c>
      <c r="L23" s="2126"/>
      <c r="M23" s="2118"/>
      <c r="N23" s="2118"/>
      <c r="O23" s="2125"/>
      <c r="P23" s="3515"/>
      <c r="Q23" s="1559" t="str">
        <f>B23</f>
        <v>自然及人文环境</v>
      </c>
      <c r="R23" s="1560" t="s">
        <v>11</v>
      </c>
      <c r="S23" s="1561">
        <f>F23</f>
        <v>100</v>
      </c>
      <c r="T23" s="1560" t="s">
        <v>11</v>
      </c>
      <c r="U23" s="1561">
        <f>H23</f>
        <v>100</v>
      </c>
      <c r="V23" s="1560" t="s">
        <v>11</v>
      </c>
      <c r="W23" s="1561">
        <f>J23</f>
        <v>102</v>
      </c>
      <c r="X23" s="1554"/>
      <c r="Y23" s="3515"/>
      <c r="Z23" s="1562" t="str">
        <f>Q23</f>
        <v>自然及人文环境</v>
      </c>
      <c r="AA23" s="1563">
        <f t="shared" si="3"/>
        <v>1</v>
      </c>
      <c r="AB23" s="1563">
        <f t="shared" si="4"/>
        <v>1</v>
      </c>
      <c r="AC23" s="1563">
        <f t="shared" si="5"/>
        <v>0.98039215686274506</v>
      </c>
    </row>
    <row r="24" spans="1:29" ht="15.75" thickBot="1">
      <c r="A24" s="532"/>
      <c r="B24" s="595"/>
      <c r="C24" s="576" t="s">
        <v>3137</v>
      </c>
      <c r="D24" s="555"/>
      <c r="E24" s="556" t="s">
        <v>3137</v>
      </c>
      <c r="F24" s="557"/>
      <c r="G24" s="558" t="s">
        <v>3137</v>
      </c>
      <c r="H24" s="555"/>
      <c r="I24" s="556" t="s">
        <v>3139</v>
      </c>
      <c r="J24" s="555"/>
      <c r="K24" s="870"/>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515"/>
      <c r="Q25" s="1559" t="str">
        <f t="shared" ref="Q25:Q46" si="11">B25</f>
        <v>楼层-1</v>
      </c>
      <c r="R25" s="1560" t="s">
        <v>11</v>
      </c>
      <c r="S25" s="1561">
        <f>F25</f>
        <v>100</v>
      </c>
      <c r="T25" s="1560" t="s">
        <v>11</v>
      </c>
      <c r="U25" s="1561">
        <f>H25</f>
        <v>100</v>
      </c>
      <c r="V25" s="1560" t="s">
        <v>11</v>
      </c>
      <c r="W25" s="1561">
        <f>J25</f>
        <v>100</v>
      </c>
      <c r="X25" s="1554"/>
      <c r="Y25" s="3515"/>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515"/>
      <c r="Q26" s="1559" t="str">
        <f t="shared" si="11"/>
        <v>朝向</v>
      </c>
      <c r="R26" s="1560" t="s">
        <v>11</v>
      </c>
      <c r="S26" s="1561">
        <f>F26</f>
        <v>100</v>
      </c>
      <c r="T26" s="1560" t="s">
        <v>11</v>
      </c>
      <c r="U26" s="1561">
        <f>H26</f>
        <v>100</v>
      </c>
      <c r="V26" s="1560" t="s">
        <v>11</v>
      </c>
      <c r="W26" s="1561">
        <f>J26</f>
        <v>100</v>
      </c>
      <c r="X26" s="1554"/>
      <c r="Y26" s="3515"/>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515"/>
      <c r="Q27" s="1147" t="str">
        <f t="shared" si="11"/>
        <v>道路级别</v>
      </c>
      <c r="R27" s="1555" t="s">
        <v>11</v>
      </c>
      <c r="S27" s="1556">
        <f>F27</f>
        <v>100</v>
      </c>
      <c r="T27" s="1555" t="s">
        <v>11</v>
      </c>
      <c r="U27" s="1556">
        <f>H27</f>
        <v>100</v>
      </c>
      <c r="V27" s="1555" t="s">
        <v>11</v>
      </c>
      <c r="W27" s="1556">
        <f>J27</f>
        <v>100</v>
      </c>
      <c r="X27" s="1557"/>
      <c r="Y27" s="3515"/>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515"/>
      <c r="Q28" s="1559">
        <f t="shared" si="11"/>
        <v>111</v>
      </c>
      <c r="R28" s="1560" t="s">
        <v>11</v>
      </c>
      <c r="S28" s="1561">
        <f t="shared" ref="S28:S46" si="12">F28</f>
        <v>100</v>
      </c>
      <c r="T28" s="1560" t="s">
        <v>11</v>
      </c>
      <c r="U28" s="1561">
        <f t="shared" ref="U28:U46" si="13">H28</f>
        <v>100</v>
      </c>
      <c r="V28" s="1560" t="s">
        <v>11</v>
      </c>
      <c r="W28" s="1561">
        <f t="shared" ref="W28:W46" si="14">J28</f>
        <v>100</v>
      </c>
      <c r="X28" s="1554"/>
      <c r="Y28" s="3515"/>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515"/>
      <c r="Q29" s="1559">
        <f t="shared" si="11"/>
        <v>111</v>
      </c>
      <c r="R29" s="1560" t="s">
        <v>11</v>
      </c>
      <c r="S29" s="1561">
        <f t="shared" si="12"/>
        <v>100</v>
      </c>
      <c r="T29" s="1560" t="s">
        <v>11</v>
      </c>
      <c r="U29" s="1561">
        <f t="shared" si="13"/>
        <v>100</v>
      </c>
      <c r="V29" s="1560" t="s">
        <v>11</v>
      </c>
      <c r="W29" s="1561">
        <f t="shared" si="14"/>
        <v>100</v>
      </c>
      <c r="X29" s="1554"/>
      <c r="Y29" s="3515"/>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515"/>
      <c r="Q30" s="1559">
        <f t="shared" si="11"/>
        <v>111</v>
      </c>
      <c r="R30" s="1560" t="s">
        <v>11</v>
      </c>
      <c r="S30" s="1561">
        <f t="shared" si="12"/>
        <v>100</v>
      </c>
      <c r="T30" s="1560" t="s">
        <v>11</v>
      </c>
      <c r="U30" s="1561">
        <f t="shared" si="13"/>
        <v>100</v>
      </c>
      <c r="V30" s="1560" t="s">
        <v>11</v>
      </c>
      <c r="W30" s="1561">
        <f t="shared" si="14"/>
        <v>100</v>
      </c>
      <c r="X30" s="1554"/>
      <c r="Y30" s="3515"/>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515"/>
      <c r="Q31" s="1559">
        <f t="shared" si="11"/>
        <v>111</v>
      </c>
      <c r="R31" s="1560" t="s">
        <v>11</v>
      </c>
      <c r="S31" s="1561">
        <f t="shared" si="12"/>
        <v>100</v>
      </c>
      <c r="T31" s="1560" t="s">
        <v>11</v>
      </c>
      <c r="U31" s="1561">
        <f t="shared" si="13"/>
        <v>100</v>
      </c>
      <c r="V31" s="1560" t="s">
        <v>11</v>
      </c>
      <c r="W31" s="1561">
        <f t="shared" si="14"/>
        <v>100</v>
      </c>
      <c r="X31" s="1554"/>
      <c r="Y31" s="3515"/>
      <c r="Z31" s="1562">
        <f t="shared" si="15"/>
        <v>111</v>
      </c>
      <c r="AA31" s="1563">
        <f t="shared" si="3"/>
        <v>1</v>
      </c>
      <c r="AB31" s="1563">
        <f t="shared" si="4"/>
        <v>1</v>
      </c>
      <c r="AC31" s="1563">
        <f t="shared" si="5"/>
        <v>1</v>
      </c>
    </row>
    <row r="32" spans="1:29" ht="15">
      <c r="A32" s="2861" t="s">
        <v>2751</v>
      </c>
      <c r="B32" s="172" t="s">
        <v>725</v>
      </c>
      <c r="C32" s="878" t="s">
        <v>3394</v>
      </c>
      <c r="D32" s="597">
        <v>100</v>
      </c>
      <c r="E32" s="879" t="s">
        <v>3157</v>
      </c>
      <c r="F32" s="575">
        <f>SUMIF(100:100,E32,101:101)-SUMIF(100:100,C32,101:101)+100</f>
        <v>95</v>
      </c>
      <c r="G32" s="878" t="s">
        <v>3157</v>
      </c>
      <c r="H32" s="597">
        <f>SUMIF(100:100,G32,101:101)-SUMIF(100:100,C32,101:101)+100</f>
        <v>95</v>
      </c>
      <c r="I32" s="879" t="s">
        <v>3157</v>
      </c>
      <c r="J32" s="540">
        <f>SUMIF(100:100,I32,101:101)-SUMIF(100:100,C32,101:101)+100</f>
        <v>95</v>
      </c>
      <c r="K32" s="3275">
        <v>5</v>
      </c>
      <c r="L32" s="2126"/>
      <c r="M32" s="2118"/>
      <c r="N32" s="2118"/>
      <c r="O32" s="2125"/>
      <c r="P32" s="3516" t="s">
        <v>550</v>
      </c>
      <c r="Q32" s="1559" t="str">
        <f t="shared" si="11"/>
        <v>建筑类型</v>
      </c>
      <c r="R32" s="1560" t="s">
        <v>11</v>
      </c>
      <c r="S32" s="1561">
        <f t="shared" si="12"/>
        <v>95</v>
      </c>
      <c r="T32" s="1560" t="s">
        <v>11</v>
      </c>
      <c r="U32" s="1561">
        <f t="shared" si="13"/>
        <v>95</v>
      </c>
      <c r="V32" s="1560" t="s">
        <v>11</v>
      </c>
      <c r="W32" s="1561">
        <f t="shared" si="14"/>
        <v>95</v>
      </c>
      <c r="X32" s="1554"/>
      <c r="Y32" s="3517"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517"/>
      <c r="Q33" s="1591" t="str">
        <f t="shared" si="11"/>
        <v>项目建筑规模</v>
      </c>
      <c r="R33" s="1564" t="s">
        <v>11</v>
      </c>
      <c r="S33" s="1565">
        <f t="shared" si="12"/>
        <v>100</v>
      </c>
      <c r="T33" s="1564" t="s">
        <v>11</v>
      </c>
      <c r="U33" s="1565">
        <f t="shared" si="13"/>
        <v>92</v>
      </c>
      <c r="V33" s="1564" t="s">
        <v>11</v>
      </c>
      <c r="W33" s="1565">
        <f t="shared" si="14"/>
        <v>100</v>
      </c>
      <c r="X33" s="1566"/>
      <c r="Y33" s="3517"/>
      <c r="Z33" s="1567" t="str">
        <f t="shared" si="15"/>
        <v>项目建筑规模</v>
      </c>
      <c r="AA33" s="1563">
        <f t="shared" si="3"/>
        <v>1</v>
      </c>
      <c r="AB33" s="1563">
        <f t="shared" si="4"/>
        <v>1.0869565217391304</v>
      </c>
      <c r="AC33" s="1563">
        <f t="shared" si="5"/>
        <v>1</v>
      </c>
    </row>
    <row r="34" spans="1:29" ht="15">
      <c r="A34" s="594"/>
      <c r="B34" s="527" t="s">
        <v>727</v>
      </c>
      <c r="C34" s="881" t="s">
        <v>3158</v>
      </c>
      <c r="D34" s="540">
        <v>100</v>
      </c>
      <c r="E34" s="882" t="s">
        <v>3158</v>
      </c>
      <c r="F34" s="575">
        <f>SUMIF(105:105,E34,106:106)-SUMIF(105:105,C34,106:106)+100</f>
        <v>100</v>
      </c>
      <c r="G34" s="881" t="s">
        <v>3158</v>
      </c>
      <c r="H34" s="540">
        <f>SUMIF(105:105,G34,106:106)-SUMIF(105:105,C34,106:106)+100</f>
        <v>100</v>
      </c>
      <c r="I34" s="882" t="s">
        <v>3158</v>
      </c>
      <c r="J34" s="540">
        <f>SUMIF(105:105,I34,106:106)-SUMIF(105:105,C34,106:106)+100</f>
        <v>100</v>
      </c>
      <c r="K34" s="864">
        <v>2</v>
      </c>
      <c r="L34" s="2126"/>
      <c r="M34" s="2118"/>
      <c r="N34" s="2118"/>
      <c r="O34" s="2125"/>
      <c r="P34" s="3517"/>
      <c r="Q34" s="1559" t="str">
        <f t="shared" si="11"/>
        <v>建筑结构</v>
      </c>
      <c r="R34" s="1560" t="s">
        <v>11</v>
      </c>
      <c r="S34" s="1561">
        <f t="shared" si="12"/>
        <v>100</v>
      </c>
      <c r="T34" s="1560" t="s">
        <v>11</v>
      </c>
      <c r="U34" s="1561">
        <f t="shared" si="13"/>
        <v>100</v>
      </c>
      <c r="V34" s="1560" t="s">
        <v>11</v>
      </c>
      <c r="W34" s="1561">
        <f t="shared" si="14"/>
        <v>100</v>
      </c>
      <c r="X34" s="1554"/>
      <c r="Y34" s="3517"/>
      <c r="Z34" s="1562" t="str">
        <f t="shared" si="15"/>
        <v>建筑结构</v>
      </c>
      <c r="AA34" s="1563">
        <f t="shared" si="3"/>
        <v>1</v>
      </c>
      <c r="AB34" s="1563">
        <f t="shared" si="4"/>
        <v>1</v>
      </c>
      <c r="AC34" s="1563">
        <f t="shared" si="5"/>
        <v>1</v>
      </c>
    </row>
    <row r="35" spans="1:29" ht="15">
      <c r="A35" s="594"/>
      <c r="B35" s="527" t="s">
        <v>728</v>
      </c>
      <c r="C35" s="599" t="s">
        <v>3159</v>
      </c>
      <c r="D35" s="540">
        <v>100</v>
      </c>
      <c r="E35" s="874" t="s">
        <v>3159</v>
      </c>
      <c r="F35" s="575">
        <f>SUMIF(107:107,E35,108:108)-SUMIF(107:107,C35,108:108)+100</f>
        <v>100</v>
      </c>
      <c r="G35" s="599" t="s">
        <v>3159</v>
      </c>
      <c r="H35" s="540">
        <f>SUMIF(107:107,G35,108:108)-SUMIF(107:107,C35,108:108)+100</f>
        <v>100</v>
      </c>
      <c r="I35" s="874" t="s">
        <v>3159</v>
      </c>
      <c r="J35" s="540">
        <f>SUMIF(107:107,I35,108:108)-SUMIF(107:107,C35,108:108)+100</f>
        <v>100</v>
      </c>
      <c r="K35" s="864">
        <v>2</v>
      </c>
      <c r="L35" s="2126"/>
      <c r="M35" s="2118"/>
      <c r="N35" s="2118"/>
      <c r="O35" s="2125"/>
      <c r="P35" s="3517"/>
      <c r="Q35" s="1559" t="str">
        <f t="shared" si="11"/>
        <v>建筑品质</v>
      </c>
      <c r="R35" s="1560" t="s">
        <v>11</v>
      </c>
      <c r="S35" s="1561">
        <f t="shared" si="12"/>
        <v>100</v>
      </c>
      <c r="T35" s="1560" t="s">
        <v>11</v>
      </c>
      <c r="U35" s="1561">
        <f t="shared" si="13"/>
        <v>100</v>
      </c>
      <c r="V35" s="1560" t="s">
        <v>11</v>
      </c>
      <c r="W35" s="1561">
        <f t="shared" si="14"/>
        <v>100</v>
      </c>
      <c r="X35" s="1554"/>
      <c r="Y35" s="3517"/>
      <c r="Z35" s="1562" t="str">
        <f t="shared" si="15"/>
        <v>建筑品质</v>
      </c>
      <c r="AA35" s="1563">
        <f t="shared" si="3"/>
        <v>1</v>
      </c>
      <c r="AB35" s="1563">
        <f t="shared" si="4"/>
        <v>1</v>
      </c>
      <c r="AC35" s="1563">
        <f t="shared" si="5"/>
        <v>1</v>
      </c>
    </row>
    <row r="36" spans="1:29" ht="15">
      <c r="A36" s="594"/>
      <c r="B36" s="527" t="s">
        <v>729</v>
      </c>
      <c r="C36" s="599" t="s">
        <v>3160</v>
      </c>
      <c r="D36" s="540">
        <v>100</v>
      </c>
      <c r="E36" s="874" t="s">
        <v>3160</v>
      </c>
      <c r="F36" s="575">
        <f>SUMIF(109:109,E36,110:110)-SUMIF(109:109,C36,110:110)+100</f>
        <v>100</v>
      </c>
      <c r="G36" s="599" t="s">
        <v>3160</v>
      </c>
      <c r="H36" s="540">
        <f>SUMIF(109:109,G36,110:110)-SUMIF(109:109,C36,110:110)+100</f>
        <v>100</v>
      </c>
      <c r="I36" s="874" t="s">
        <v>3160</v>
      </c>
      <c r="J36" s="540">
        <f>SUMIF(109:109,I36,110:110)-SUMIF(109:109,C36,110:110)+100</f>
        <v>100</v>
      </c>
      <c r="K36" s="864">
        <v>2</v>
      </c>
      <c r="L36" s="2126"/>
      <c r="M36" s="2118"/>
      <c r="N36" s="2118"/>
      <c r="O36" s="2125"/>
      <c r="P36" s="3517"/>
      <c r="Q36" s="1559" t="str">
        <f t="shared" si="11"/>
        <v>公共部分装修</v>
      </c>
      <c r="R36" s="1560" t="s">
        <v>11</v>
      </c>
      <c r="S36" s="1561">
        <f t="shared" si="12"/>
        <v>100</v>
      </c>
      <c r="T36" s="1560" t="s">
        <v>11</v>
      </c>
      <c r="U36" s="1561">
        <f t="shared" si="13"/>
        <v>100</v>
      </c>
      <c r="V36" s="1560" t="s">
        <v>11</v>
      </c>
      <c r="W36" s="1561">
        <f t="shared" si="14"/>
        <v>100</v>
      </c>
      <c r="X36" s="1554"/>
      <c r="Y36" s="351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517"/>
      <c r="Q37" s="1147" t="str">
        <f t="shared" si="11"/>
        <v>成新度</v>
      </c>
      <c r="R37" s="1555" t="s">
        <v>11</v>
      </c>
      <c r="S37" s="1556">
        <f t="shared" si="12"/>
        <v>100</v>
      </c>
      <c r="T37" s="1555" t="s">
        <v>11</v>
      </c>
      <c r="U37" s="1556">
        <f t="shared" si="13"/>
        <v>100</v>
      </c>
      <c r="V37" s="1555" t="s">
        <v>11</v>
      </c>
      <c r="W37" s="1556">
        <f t="shared" si="14"/>
        <v>100</v>
      </c>
      <c r="X37" s="1557"/>
      <c r="Y37" s="3517"/>
      <c r="Z37" s="1146" t="str">
        <f t="shared" si="15"/>
        <v>成新度</v>
      </c>
      <c r="AA37" s="1558">
        <f t="shared" si="3"/>
        <v>1</v>
      </c>
      <c r="AB37" s="1558">
        <f t="shared" si="4"/>
        <v>1</v>
      </c>
      <c r="AC37" s="1558">
        <f t="shared" si="5"/>
        <v>1</v>
      </c>
    </row>
    <row r="38" spans="1:29" ht="15">
      <c r="A38" s="594"/>
      <c r="B38" s="527" t="s">
        <v>731</v>
      </c>
      <c r="C38" s="599" t="s">
        <v>3161</v>
      </c>
      <c r="D38" s="540">
        <v>100</v>
      </c>
      <c r="E38" s="874" t="s">
        <v>3161</v>
      </c>
      <c r="F38" s="575">
        <f>SUMIF(114:114,E38,115:115)-SUMIF(114:114,C38,115:115)+100</f>
        <v>100</v>
      </c>
      <c r="G38" s="599" t="s">
        <v>3161</v>
      </c>
      <c r="H38" s="540">
        <f>SUMIF(114:114,G38,115:115)-SUMIF(114:114,C38,115:115)+100</f>
        <v>100</v>
      </c>
      <c r="I38" s="874" t="s">
        <v>3161</v>
      </c>
      <c r="J38" s="540">
        <f>SUMIF(114:114,I38,115:115)-SUMIF(114:114,C38,115:115)+100</f>
        <v>100</v>
      </c>
      <c r="K38" s="864">
        <v>2</v>
      </c>
      <c r="L38" s="2126"/>
      <c r="M38" s="2118"/>
      <c r="N38" s="2118"/>
      <c r="O38" s="2125"/>
      <c r="P38" s="3517" t="s">
        <v>550</v>
      </c>
      <c r="Q38" s="1559" t="str">
        <f t="shared" si="11"/>
        <v>物业管理</v>
      </c>
      <c r="R38" s="1560" t="s">
        <v>11</v>
      </c>
      <c r="S38" s="1561">
        <f t="shared" si="12"/>
        <v>100</v>
      </c>
      <c r="T38" s="1560" t="s">
        <v>11</v>
      </c>
      <c r="U38" s="1561">
        <f t="shared" si="13"/>
        <v>100</v>
      </c>
      <c r="V38" s="1560" t="s">
        <v>11</v>
      </c>
      <c r="W38" s="1561">
        <f t="shared" si="14"/>
        <v>100</v>
      </c>
      <c r="X38" s="1554"/>
      <c r="Y38" s="3517" t="s">
        <v>550</v>
      </c>
      <c r="Z38" s="1562" t="str">
        <f t="shared" si="15"/>
        <v>物业管理</v>
      </c>
      <c r="AA38" s="1563">
        <f t="shared" si="3"/>
        <v>1</v>
      </c>
      <c r="AB38" s="1563">
        <f t="shared" si="4"/>
        <v>1</v>
      </c>
      <c r="AC38" s="1563">
        <f t="shared" si="5"/>
        <v>1</v>
      </c>
    </row>
    <row r="39" spans="1:29" ht="15">
      <c r="A39" s="594"/>
      <c r="B39" s="1879" t="s">
        <v>2561</v>
      </c>
      <c r="C39" s="599" t="s">
        <v>3140</v>
      </c>
      <c r="D39" s="540">
        <v>100</v>
      </c>
      <c r="E39" s="874" t="s">
        <v>3140</v>
      </c>
      <c r="F39" s="575">
        <f>SUMIF(116:116,E39,117:117)-SUMIF(116:116,C39,117:117)+100</f>
        <v>100</v>
      </c>
      <c r="G39" s="599" t="s">
        <v>3140</v>
      </c>
      <c r="H39" s="540">
        <f>SUMIF(116:116,G39,117:117)-SUMIF(116:116,C39,117:117)+100</f>
        <v>100</v>
      </c>
      <c r="I39" s="874" t="s">
        <v>3140</v>
      </c>
      <c r="J39" s="540">
        <f>SUMIF(116:116,I39,117:117)-SUMIF(116:116,C39,117:117)+100</f>
        <v>100</v>
      </c>
      <c r="K39" s="864">
        <v>2</v>
      </c>
      <c r="L39" s="2126"/>
      <c r="M39" s="2118"/>
      <c r="N39" s="2118"/>
      <c r="O39" s="2125"/>
      <c r="P39" s="3517"/>
      <c r="Q39" s="1559" t="str">
        <f t="shared" si="11"/>
        <v>市政基础设施</v>
      </c>
      <c r="R39" s="1560" t="s">
        <v>11</v>
      </c>
      <c r="S39" s="1561">
        <f t="shared" si="12"/>
        <v>100</v>
      </c>
      <c r="T39" s="1560" t="s">
        <v>11</v>
      </c>
      <c r="U39" s="1561">
        <f t="shared" si="13"/>
        <v>100</v>
      </c>
      <c r="V39" s="1560" t="s">
        <v>11</v>
      </c>
      <c r="W39" s="1561">
        <f t="shared" si="14"/>
        <v>100</v>
      </c>
      <c r="X39" s="1554"/>
      <c r="Y39" s="3517"/>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517"/>
      <c r="Q40" s="1559" t="str">
        <f t="shared" si="11"/>
        <v>房型</v>
      </c>
      <c r="R40" s="1560" t="s">
        <v>11</v>
      </c>
      <c r="S40" s="1561">
        <f t="shared" si="12"/>
        <v>100</v>
      </c>
      <c r="T40" s="1560" t="s">
        <v>11</v>
      </c>
      <c r="U40" s="1561">
        <f t="shared" si="13"/>
        <v>100</v>
      </c>
      <c r="V40" s="1560" t="s">
        <v>11</v>
      </c>
      <c r="W40" s="1561">
        <f t="shared" si="14"/>
        <v>100</v>
      </c>
      <c r="X40" s="1554"/>
      <c r="Y40" s="3517"/>
      <c r="Z40" s="1562" t="str">
        <f t="shared" si="15"/>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517"/>
      <c r="Q41" s="1591" t="str">
        <f t="shared" si="11"/>
        <v>单套/主力户型建筑面积</v>
      </c>
      <c r="R41" s="1564" t="s">
        <v>11</v>
      </c>
      <c r="S41" s="1565">
        <f t="shared" si="12"/>
        <v>100</v>
      </c>
      <c r="T41" s="1564" t="s">
        <v>11</v>
      </c>
      <c r="U41" s="1565">
        <f t="shared" si="13"/>
        <v>100</v>
      </c>
      <c r="V41" s="1564" t="s">
        <v>11</v>
      </c>
      <c r="W41" s="1565">
        <f t="shared" si="14"/>
        <v>100</v>
      </c>
      <c r="X41" s="1566"/>
      <c r="Y41" s="3517"/>
      <c r="Z41" s="1567" t="str">
        <f t="shared" si="15"/>
        <v>单套/主力户型建筑面积</v>
      </c>
      <c r="AA41" s="1563">
        <f t="shared" si="3"/>
        <v>1</v>
      </c>
      <c r="AB41" s="1563">
        <f t="shared" si="4"/>
        <v>1</v>
      </c>
      <c r="AC41" s="1563">
        <f t="shared" si="5"/>
        <v>1</v>
      </c>
    </row>
    <row r="42" spans="1:29" ht="15">
      <c r="A42" s="594"/>
      <c r="B42" s="527" t="s">
        <v>734</v>
      </c>
      <c r="C42" s="599" t="s">
        <v>3160</v>
      </c>
      <c r="D42" s="540">
        <v>100</v>
      </c>
      <c r="E42" s="874" t="s">
        <v>3162</v>
      </c>
      <c r="F42" s="575">
        <f>SUMIF(122:122,E42,123:123)-SUMIF(122:122,C42,123:123)+100</f>
        <v>94</v>
      </c>
      <c r="G42" s="599" t="s">
        <v>3160</v>
      </c>
      <c r="H42" s="540">
        <f>SUMIF(122:122,G42,123:123)-SUMIF(122:122,C42,123:123)+100</f>
        <v>100</v>
      </c>
      <c r="I42" s="874" t="s">
        <v>3441</v>
      </c>
      <c r="J42" s="540">
        <f>SUMIF(122:122,I42,123:123)-SUMIF(122:122,C42,123:123)+100</f>
        <v>96</v>
      </c>
      <c r="K42" s="864">
        <v>2</v>
      </c>
      <c r="L42" s="2126"/>
      <c r="M42" s="2118"/>
      <c r="N42" s="2118"/>
      <c r="O42" s="2125"/>
      <c r="P42" s="3517"/>
      <c r="Q42" s="1559" t="str">
        <f t="shared" si="11"/>
        <v>内部装修</v>
      </c>
      <c r="R42" s="1560" t="s">
        <v>11</v>
      </c>
      <c r="S42" s="1561">
        <f t="shared" si="12"/>
        <v>94</v>
      </c>
      <c r="T42" s="1560" t="s">
        <v>11</v>
      </c>
      <c r="U42" s="1561">
        <f t="shared" si="13"/>
        <v>100</v>
      </c>
      <c r="V42" s="1560" t="s">
        <v>11</v>
      </c>
      <c r="W42" s="1561">
        <f t="shared" si="14"/>
        <v>96</v>
      </c>
      <c r="X42" s="1554"/>
      <c r="Y42" s="3517"/>
      <c r="Z42" s="1562" t="str">
        <f t="shared" si="15"/>
        <v>内部装修</v>
      </c>
      <c r="AA42" s="1563">
        <f t="shared" si="3"/>
        <v>1.0638297872340425</v>
      </c>
      <c r="AB42" s="1563">
        <f t="shared" si="4"/>
        <v>1</v>
      </c>
      <c r="AC42" s="1563">
        <f t="shared" si="5"/>
        <v>1.0416666666666667</v>
      </c>
    </row>
    <row r="43" spans="1:29" ht="27.75" thickBot="1">
      <c r="A43" s="594"/>
      <c r="B43" s="527" t="s">
        <v>735</v>
      </c>
      <c r="C43" s="599" t="s">
        <v>3139</v>
      </c>
      <c r="D43" s="540">
        <v>100</v>
      </c>
      <c r="E43" s="874" t="s">
        <v>3139</v>
      </c>
      <c r="F43" s="575">
        <f>SUMIF(124:124,E43,125:125)-SUMIF(124:124,C43,125:125)+100</f>
        <v>100</v>
      </c>
      <c r="G43" s="599" t="s">
        <v>3139</v>
      </c>
      <c r="H43" s="540">
        <f>SUMIF(124:124,G43,125:125)-SUMIF(124:124,C43,125:125)+100</f>
        <v>100</v>
      </c>
      <c r="I43" s="874" t="s">
        <v>3139</v>
      </c>
      <c r="J43" s="540">
        <f>SUMIF(124:124,I43,125:125)-SUMIF(124:124,C43,125:125)+100</f>
        <v>100</v>
      </c>
      <c r="K43" s="864">
        <v>2</v>
      </c>
      <c r="L43" s="2126"/>
      <c r="M43" s="2118"/>
      <c r="N43" s="2118"/>
      <c r="O43" s="2125"/>
      <c r="P43" s="3517"/>
      <c r="Q43" s="1559" t="str">
        <f t="shared" si="11"/>
        <v>内部装修维护情况</v>
      </c>
      <c r="R43" s="1560" t="s">
        <v>11</v>
      </c>
      <c r="S43" s="1561">
        <f t="shared" si="12"/>
        <v>100</v>
      </c>
      <c r="T43" s="1560" t="s">
        <v>11</v>
      </c>
      <c r="U43" s="1561">
        <f t="shared" si="13"/>
        <v>100</v>
      </c>
      <c r="V43" s="1560" t="s">
        <v>11</v>
      </c>
      <c r="W43" s="1561">
        <f t="shared" si="14"/>
        <v>100</v>
      </c>
      <c r="X43" s="1554"/>
      <c r="Y43" s="3517"/>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517"/>
      <c r="Q44" s="1147">
        <f t="shared" si="11"/>
        <v>111</v>
      </c>
      <c r="R44" s="1555" t="s">
        <v>11</v>
      </c>
      <c r="S44" s="1556">
        <f t="shared" si="12"/>
        <v>100</v>
      </c>
      <c r="T44" s="1555" t="s">
        <v>11</v>
      </c>
      <c r="U44" s="1556">
        <f t="shared" si="13"/>
        <v>100</v>
      </c>
      <c r="V44" s="1555" t="s">
        <v>11</v>
      </c>
      <c r="W44" s="1556">
        <f t="shared" si="14"/>
        <v>100</v>
      </c>
      <c r="X44" s="1557"/>
      <c r="Y44" s="3517"/>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517"/>
      <c r="Q45" s="1559">
        <f t="shared" si="11"/>
        <v>111</v>
      </c>
      <c r="R45" s="1560" t="s">
        <v>11</v>
      </c>
      <c r="S45" s="1561">
        <f t="shared" si="12"/>
        <v>100</v>
      </c>
      <c r="T45" s="1560" t="s">
        <v>11</v>
      </c>
      <c r="U45" s="1561">
        <f t="shared" si="13"/>
        <v>100</v>
      </c>
      <c r="V45" s="1560" t="s">
        <v>11</v>
      </c>
      <c r="W45" s="1561">
        <f t="shared" si="14"/>
        <v>100</v>
      </c>
      <c r="X45" s="1554"/>
      <c r="Y45" s="3517"/>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5"/>
      <c r="Q46" s="1559">
        <f t="shared" si="11"/>
        <v>111</v>
      </c>
      <c r="R46" s="1560" t="s">
        <v>10</v>
      </c>
      <c r="S46" s="1561">
        <f t="shared" si="12"/>
        <v>100</v>
      </c>
      <c r="T46" s="1560" t="s">
        <v>10</v>
      </c>
      <c r="U46" s="1561">
        <f t="shared" si="13"/>
        <v>100</v>
      </c>
      <c r="V46" s="1560" t="s">
        <v>10</v>
      </c>
      <c r="W46" s="1561">
        <f t="shared" si="14"/>
        <v>100</v>
      </c>
      <c r="X46" s="1554"/>
      <c r="Y46" s="3575"/>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30000</v>
      </c>
      <c r="J47" s="2595"/>
      <c r="K47" s="1592"/>
      <c r="L47" s="2128"/>
      <c r="M47" s="2129"/>
      <c r="N47" s="2118"/>
      <c r="O47" s="2129"/>
      <c r="P47" s="3480" t="str">
        <f>A47</f>
        <v>成交单价（元/平方米）</v>
      </c>
      <c r="Q47" s="3480"/>
      <c r="R47" s="3574">
        <f>E47</f>
        <v>35000</v>
      </c>
      <c r="S47" s="3574"/>
      <c r="T47" s="3574">
        <f>G47</f>
        <v>30000</v>
      </c>
      <c r="U47" s="3574"/>
      <c r="V47" s="3574">
        <f>I47</f>
        <v>30000</v>
      </c>
      <c r="W47" s="3574"/>
      <c r="X47" s="1546"/>
      <c r="Y47" s="1568"/>
      <c r="Z47" s="1546"/>
      <c r="AA47" s="1546"/>
      <c r="AB47" s="1546"/>
      <c r="AC47" s="1546"/>
    </row>
    <row r="48" spans="1:29" ht="15.75" thickBot="1">
      <c r="A48" s="615" t="s">
        <v>2756</v>
      </c>
      <c r="B48" s="888"/>
      <c r="C48" s="2596">
        <f>R49</f>
        <v>37715</v>
      </c>
      <c r="D48" s="2597"/>
      <c r="E48" s="2598">
        <f>R48</f>
        <v>40878</v>
      </c>
      <c r="F48" s="2598"/>
      <c r="G48" s="2596">
        <f>T48</f>
        <v>35800</v>
      </c>
      <c r="H48" s="2597"/>
      <c r="I48" s="2598">
        <f>V48</f>
        <v>36468</v>
      </c>
      <c r="J48" s="2597"/>
      <c r="K48" s="1593"/>
      <c r="L48" s="2128"/>
      <c r="M48" s="2129"/>
      <c r="N48" s="2129"/>
      <c r="O48" s="2129"/>
      <c r="P48" s="3480" t="str">
        <f>A48</f>
        <v>比较价格（元/平方米）</v>
      </c>
      <c r="Q48" s="3480"/>
      <c r="R48" s="3574">
        <f>IF(F1="售价",ROUND(PRODUCT(R47,AA7:AA46),0),ROUND(PRODUCT(R47,AA7:AA46),1))</f>
        <v>40878</v>
      </c>
      <c r="S48" s="3574"/>
      <c r="T48" s="3574">
        <f>IF(F1="售价",ROUND(PRODUCT(T47,AB7:AB46),0),ROUND(PRODUCT(T47,AB7:AB46),1))</f>
        <v>35800</v>
      </c>
      <c r="U48" s="3574"/>
      <c r="V48" s="3574">
        <f>IF(F1="售价",ROUND(PRODUCT(V47,AC7:AC46),0),ROUND(PRODUCT(V47,AC7:AC46),1))</f>
        <v>36468</v>
      </c>
      <c r="W48" s="3574"/>
      <c r="X48" s="1546"/>
      <c r="Y48" s="1546"/>
      <c r="Z48" s="1546"/>
      <c r="AA48" s="1546"/>
      <c r="AB48" s="1546"/>
      <c r="AC48" s="1546"/>
    </row>
    <row r="49" spans="1:29" ht="15.75" thickBot="1">
      <c r="A49" s="621" t="s">
        <v>2925</v>
      </c>
      <c r="B49" s="622"/>
      <c r="C49" s="2599">
        <f>R49</f>
        <v>37715</v>
      </c>
      <c r="D49" s="2599"/>
      <c r="E49" s="2599"/>
      <c r="F49" s="2599"/>
      <c r="G49" s="2599"/>
      <c r="H49" s="2599"/>
      <c r="I49" s="2599"/>
      <c r="J49" s="2599"/>
      <c r="K49" s="1594"/>
      <c r="L49" s="2128"/>
      <c r="M49" s="2129"/>
      <c r="N49" s="2129"/>
      <c r="O49" s="2129"/>
      <c r="P49" s="3477" t="str">
        <f>A49</f>
        <v>估价对象XX用房的比较价格（楼面单价，元/平方米）</v>
      </c>
      <c r="Q49" s="3478"/>
      <c r="R49" s="3573">
        <f>IF(F1="售价",ROUND(AVERAGE(R48:V48),0),ROUND(AVERAGE(R48:V48),1))</f>
        <v>37715</v>
      </c>
      <c r="S49" s="3573"/>
      <c r="T49" s="3573"/>
      <c r="U49" s="3573"/>
      <c r="V49" s="3573"/>
      <c r="W49" s="357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3042</v>
      </c>
      <c r="D100" s="3191" t="s">
        <v>3043</v>
      </c>
      <c r="E100" s="3191" t="s">
        <v>3044</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3045</v>
      </c>
      <c r="D105" s="3192" t="s">
        <v>3046</v>
      </c>
      <c r="E105" s="3193" t="s">
        <v>3047</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3048</v>
      </c>
      <c r="D107" s="3193" t="s">
        <v>3049</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3050</v>
      </c>
      <c r="D109" s="3192" t="s">
        <v>3051</v>
      </c>
      <c r="E109" s="3192" t="s">
        <v>3052</v>
      </c>
      <c r="F109" s="3193" t="s">
        <v>3163</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3053</v>
      </c>
      <c r="D114" s="3192" t="s">
        <v>3054</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3055</v>
      </c>
      <c r="D116" s="3192" t="s">
        <v>3056</v>
      </c>
      <c r="E116" s="3192" t="s">
        <v>3057</v>
      </c>
      <c r="F116" s="3192" t="s">
        <v>3058</v>
      </c>
      <c r="G116" s="3192" t="s">
        <v>3059</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3050</v>
      </c>
      <c r="D122" s="3192" t="s">
        <v>3051</v>
      </c>
      <c r="E122" s="3192" t="s">
        <v>3052</v>
      </c>
      <c r="F122" s="3193" t="s">
        <v>3163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86" t="s">
        <v>522</v>
      </c>
      <c r="D4" s="3487"/>
      <c r="E4" s="3520" t="s">
        <v>523</v>
      </c>
      <c r="F4" s="3521"/>
      <c r="G4" s="3486" t="s">
        <v>524</v>
      </c>
      <c r="H4" s="3487"/>
      <c r="I4" s="3486" t="s">
        <v>525</v>
      </c>
      <c r="J4" s="3487"/>
      <c r="K4" s="514"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1"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1"/>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1"/>
      <c r="AC6" s="3485"/>
    </row>
    <row r="7" spans="1:29" s="1216" customFormat="1" ht="15.75" thickBot="1">
      <c r="A7" s="2866"/>
      <c r="B7" s="2873"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511"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46" si="3">D8/F8</f>
        <v>#DIV/0!</v>
      </c>
      <c r="AB8" s="1558" t="e">
        <f t="shared" ref="AB8:AB46" si="4">D8/H8</f>
        <v>#DIV/0!</v>
      </c>
      <c r="AC8" s="1558"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99.75">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514" t="s">
        <v>540</v>
      </c>
      <c r="Q15" s="1559" t="str">
        <f t="shared" si="6"/>
        <v>商业繁华度</v>
      </c>
      <c r="R15" s="1560" t="s">
        <v>8</v>
      </c>
      <c r="S15" s="1561">
        <f t="shared" si="0"/>
        <v>100</v>
      </c>
      <c r="T15" s="1560" t="s">
        <v>8</v>
      </c>
      <c r="U15" s="1561">
        <f t="shared" si="1"/>
        <v>100</v>
      </c>
      <c r="V15" s="1560" t="s">
        <v>8</v>
      </c>
      <c r="W15" s="1561">
        <f t="shared" si="2"/>
        <v>100</v>
      </c>
      <c r="X15" s="1554"/>
      <c r="Y15" s="351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5"/>
      <c r="Q16" s="1559"/>
      <c r="R16" s="1560"/>
      <c r="S16" s="1561"/>
      <c r="T16" s="1560"/>
      <c r="U16" s="1561"/>
      <c r="V16" s="1560"/>
      <c r="W16" s="1561"/>
      <c r="X16" s="1554"/>
      <c r="Y16" s="3515"/>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515"/>
      <c r="Q20" s="1559"/>
      <c r="R20" s="1560"/>
      <c r="S20" s="1561"/>
      <c r="T20" s="1560"/>
      <c r="U20" s="1561"/>
      <c r="V20" s="1560"/>
      <c r="W20" s="1561"/>
      <c r="X20" s="1554"/>
      <c r="Y20" s="3515"/>
      <c r="Z20" s="1562"/>
      <c r="AA20" s="1563">
        <v>1</v>
      </c>
      <c r="AB20" s="1563">
        <v>1</v>
      </c>
      <c r="AC20" s="1563">
        <v>1</v>
      </c>
    </row>
    <row r="21" spans="1:29" ht="42.75">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515"/>
      <c r="Q22" s="2542"/>
      <c r="R22" s="1560"/>
      <c r="S22" s="1561"/>
      <c r="T22" s="1560"/>
      <c r="U22" s="1561"/>
      <c r="V22" s="1560"/>
      <c r="W22" s="1561"/>
      <c r="X22" s="2544"/>
      <c r="Y22" s="3515"/>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515"/>
      <c r="Q23" s="1559" t="str">
        <f>B23</f>
        <v>自然及人文环境</v>
      </c>
      <c r="R23" s="1560" t="s">
        <v>8</v>
      </c>
      <c r="S23" s="1561">
        <f>F23</f>
        <v>100</v>
      </c>
      <c r="T23" s="1560" t="s">
        <v>8</v>
      </c>
      <c r="U23" s="1561">
        <f>H23</f>
        <v>100</v>
      </c>
      <c r="V23" s="1560" t="s">
        <v>8</v>
      </c>
      <c r="W23" s="1561">
        <f>J23</f>
        <v>100</v>
      </c>
      <c r="X23" s="1554"/>
      <c r="Y23" s="351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515"/>
      <c r="Q25" s="1559" t="str">
        <f t="shared" ref="Q25:Q46" si="11">B25</f>
        <v>临街状况</v>
      </c>
      <c r="R25" s="1560" t="s">
        <v>8</v>
      </c>
      <c r="S25" s="1561">
        <f>F25</f>
        <v>100</v>
      </c>
      <c r="T25" s="1560" t="s">
        <v>8</v>
      </c>
      <c r="U25" s="1561">
        <f>H25</f>
        <v>100</v>
      </c>
      <c r="V25" s="1560" t="s">
        <v>8</v>
      </c>
      <c r="W25" s="1561">
        <f>J25</f>
        <v>100</v>
      </c>
      <c r="X25" s="1554"/>
      <c r="Y25" s="351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515"/>
      <c r="Q26" s="1559" t="str">
        <f t="shared" si="11"/>
        <v>平面位置/可视性</v>
      </c>
      <c r="R26" s="1560" t="s">
        <v>8</v>
      </c>
      <c r="S26" s="1561">
        <f>F26</f>
        <v>100</v>
      </c>
      <c r="T26" s="1560" t="s">
        <v>8</v>
      </c>
      <c r="U26" s="1561">
        <f>H26</f>
        <v>100</v>
      </c>
      <c r="V26" s="1560" t="s">
        <v>8</v>
      </c>
      <c r="W26" s="1561">
        <f>J26</f>
        <v>100</v>
      </c>
      <c r="X26" s="1554"/>
      <c r="Y26" s="351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515"/>
      <c r="Q27" s="1147" t="str">
        <f t="shared" si="11"/>
        <v>人流量</v>
      </c>
      <c r="R27" s="1555" t="s">
        <v>8</v>
      </c>
      <c r="S27" s="1556">
        <f>F27</f>
        <v>100</v>
      </c>
      <c r="T27" s="1555" t="s">
        <v>8</v>
      </c>
      <c r="U27" s="1556">
        <f>H27</f>
        <v>100</v>
      </c>
      <c r="V27" s="1555" t="s">
        <v>8</v>
      </c>
      <c r="W27" s="1556">
        <f>J27</f>
        <v>100</v>
      </c>
      <c r="X27" s="1557"/>
      <c r="Y27" s="351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51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51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515"/>
      <c r="Q29" s="1559">
        <f t="shared" si="11"/>
        <v>111</v>
      </c>
      <c r="R29" s="1560" t="s">
        <v>8</v>
      </c>
      <c r="S29" s="1561">
        <f t="shared" si="12"/>
        <v>100</v>
      </c>
      <c r="T29" s="1560" t="s">
        <v>8</v>
      </c>
      <c r="U29" s="1561">
        <f t="shared" si="13"/>
        <v>100</v>
      </c>
      <c r="V29" s="1560" t="s">
        <v>8</v>
      </c>
      <c r="W29" s="1561">
        <f t="shared" si="14"/>
        <v>100</v>
      </c>
      <c r="X29" s="1554"/>
      <c r="Y29" s="351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515"/>
      <c r="Q30" s="1559">
        <f t="shared" si="11"/>
        <v>111</v>
      </c>
      <c r="R30" s="1560" t="s">
        <v>8</v>
      </c>
      <c r="S30" s="1561">
        <f t="shared" si="12"/>
        <v>100</v>
      </c>
      <c r="T30" s="1560" t="s">
        <v>8</v>
      </c>
      <c r="U30" s="1561">
        <f t="shared" si="13"/>
        <v>100</v>
      </c>
      <c r="V30" s="1560" t="s">
        <v>8</v>
      </c>
      <c r="W30" s="1561">
        <f t="shared" si="14"/>
        <v>100</v>
      </c>
      <c r="X30" s="1554"/>
      <c r="Y30" s="351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515"/>
      <c r="Q31" s="1559">
        <f t="shared" si="11"/>
        <v>111</v>
      </c>
      <c r="R31" s="1560" t="s">
        <v>8</v>
      </c>
      <c r="S31" s="1561">
        <f t="shared" si="12"/>
        <v>100</v>
      </c>
      <c r="T31" s="1560" t="s">
        <v>8</v>
      </c>
      <c r="U31" s="1561">
        <f t="shared" si="13"/>
        <v>100</v>
      </c>
      <c r="V31" s="1560" t="s">
        <v>8</v>
      </c>
      <c r="W31" s="1561">
        <f t="shared" si="14"/>
        <v>100</v>
      </c>
      <c r="X31" s="1554"/>
      <c r="Y31" s="3515"/>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516" t="s">
        <v>550</v>
      </c>
      <c r="Q32" s="1559" t="str">
        <f t="shared" si="11"/>
        <v>商业类型</v>
      </c>
      <c r="R32" s="1560" t="s">
        <v>8</v>
      </c>
      <c r="S32" s="1561">
        <f t="shared" si="12"/>
        <v>100</v>
      </c>
      <c r="T32" s="1560" t="s">
        <v>8</v>
      </c>
      <c r="U32" s="1561">
        <f t="shared" si="13"/>
        <v>100</v>
      </c>
      <c r="V32" s="1560" t="s">
        <v>8</v>
      </c>
      <c r="W32" s="1561">
        <f t="shared" si="14"/>
        <v>100</v>
      </c>
      <c r="X32" s="1554"/>
      <c r="Y32" s="351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517"/>
      <c r="Q33" s="1591" t="str">
        <f t="shared" si="11"/>
        <v>项目建筑规模</v>
      </c>
      <c r="R33" s="1564" t="s">
        <v>8</v>
      </c>
      <c r="S33" s="1565" t="e">
        <f t="shared" si="12"/>
        <v>#N/A</v>
      </c>
      <c r="T33" s="1564" t="s">
        <v>8</v>
      </c>
      <c r="U33" s="1565" t="e">
        <f t="shared" si="13"/>
        <v>#N/A</v>
      </c>
      <c r="V33" s="1564" t="s">
        <v>8</v>
      </c>
      <c r="W33" s="1565" t="e">
        <f t="shared" si="14"/>
        <v>#N/A</v>
      </c>
      <c r="X33" s="1566"/>
      <c r="Y33" s="351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517"/>
      <c r="Q34" s="1559" t="str">
        <f t="shared" si="11"/>
        <v>建筑结构</v>
      </c>
      <c r="R34" s="1560" t="s">
        <v>8</v>
      </c>
      <c r="S34" s="1561">
        <f t="shared" si="12"/>
        <v>100</v>
      </c>
      <c r="T34" s="1560" t="s">
        <v>8</v>
      </c>
      <c r="U34" s="1561">
        <f t="shared" si="13"/>
        <v>100</v>
      </c>
      <c r="V34" s="1560" t="s">
        <v>8</v>
      </c>
      <c r="W34" s="1561">
        <f t="shared" si="14"/>
        <v>100</v>
      </c>
      <c r="X34" s="1554"/>
      <c r="Y34" s="351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517"/>
      <c r="Q35" s="1559" t="str">
        <f t="shared" si="11"/>
        <v>公共部分装修</v>
      </c>
      <c r="R35" s="1560" t="s">
        <v>8</v>
      </c>
      <c r="S35" s="1561">
        <f t="shared" si="12"/>
        <v>100</v>
      </c>
      <c r="T35" s="1560" t="s">
        <v>8</v>
      </c>
      <c r="U35" s="1561">
        <f t="shared" si="13"/>
        <v>100</v>
      </c>
      <c r="V35" s="1560" t="s">
        <v>8</v>
      </c>
      <c r="W35" s="1561">
        <f t="shared" si="14"/>
        <v>100</v>
      </c>
      <c r="X35" s="1554"/>
      <c r="Y35" s="351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517"/>
      <c r="Q36" s="1559" t="str">
        <f t="shared" si="11"/>
        <v>成新度</v>
      </c>
      <c r="R36" s="1560" t="s">
        <v>8</v>
      </c>
      <c r="S36" s="1561" t="e">
        <f t="shared" si="12"/>
        <v>#N/A</v>
      </c>
      <c r="T36" s="1560" t="s">
        <v>8</v>
      </c>
      <c r="U36" s="1561" t="e">
        <f t="shared" si="13"/>
        <v>#N/A</v>
      </c>
      <c r="V36" s="1560" t="s">
        <v>8</v>
      </c>
      <c r="W36" s="1561" t="e">
        <f t="shared" si="14"/>
        <v>#N/A</v>
      </c>
      <c r="X36" s="1554"/>
      <c r="Y36" s="3517"/>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517"/>
      <c r="Q37" s="1147" t="str">
        <f t="shared" si="11"/>
        <v>市政基础设施</v>
      </c>
      <c r="R37" s="1555" t="s">
        <v>8</v>
      </c>
      <c r="S37" s="1556">
        <f t="shared" si="12"/>
        <v>100</v>
      </c>
      <c r="T37" s="1555" t="s">
        <v>8</v>
      </c>
      <c r="U37" s="1556">
        <f t="shared" si="13"/>
        <v>100</v>
      </c>
      <c r="V37" s="1555" t="s">
        <v>8</v>
      </c>
      <c r="W37" s="1556">
        <f t="shared" si="14"/>
        <v>100</v>
      </c>
      <c r="X37" s="1557"/>
      <c r="Y37" s="351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517" t="s">
        <v>766</v>
      </c>
      <c r="Q38" s="1559" t="str">
        <f t="shared" si="11"/>
        <v>业态</v>
      </c>
      <c r="R38" s="1560" t="s">
        <v>8</v>
      </c>
      <c r="S38" s="1561">
        <f t="shared" si="12"/>
        <v>100</v>
      </c>
      <c r="T38" s="1560" t="s">
        <v>8</v>
      </c>
      <c r="U38" s="1561">
        <f t="shared" si="13"/>
        <v>100</v>
      </c>
      <c r="V38" s="1560" t="s">
        <v>8</v>
      </c>
      <c r="W38" s="1561">
        <f t="shared" si="14"/>
        <v>100</v>
      </c>
      <c r="X38" s="1554"/>
      <c r="Y38" s="351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7"/>
      <c r="Q39" s="1559" t="str">
        <f t="shared" si="11"/>
        <v>层高</v>
      </c>
      <c r="R39" s="1560" t="s">
        <v>8</v>
      </c>
      <c r="S39" s="1561">
        <f t="shared" si="12"/>
        <v>100</v>
      </c>
      <c r="T39" s="1560" t="s">
        <v>8</v>
      </c>
      <c r="U39" s="1561">
        <f t="shared" si="13"/>
        <v>100</v>
      </c>
      <c r="V39" s="1560" t="s">
        <v>8</v>
      </c>
      <c r="W39" s="1561">
        <f t="shared" si="14"/>
        <v>100</v>
      </c>
      <c r="X39" s="1554"/>
      <c r="Y39" s="351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517"/>
      <c r="Q40" s="1559" t="str">
        <f t="shared" si="11"/>
        <v>单套建筑面积</v>
      </c>
      <c r="R40" s="1560" t="s">
        <v>8</v>
      </c>
      <c r="S40" s="1561">
        <f t="shared" si="12"/>
        <v>100</v>
      </c>
      <c r="T40" s="1560" t="s">
        <v>8</v>
      </c>
      <c r="U40" s="1561">
        <f t="shared" si="13"/>
        <v>100</v>
      </c>
      <c r="V40" s="1560" t="s">
        <v>8</v>
      </c>
      <c r="W40" s="1561">
        <f t="shared" si="14"/>
        <v>100</v>
      </c>
      <c r="X40" s="1554"/>
      <c r="Y40" s="351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517"/>
      <c r="Q41" s="1591" t="str">
        <f t="shared" si="11"/>
        <v>进深比</v>
      </c>
      <c r="R41" s="1564" t="s">
        <v>8</v>
      </c>
      <c r="S41" s="1565">
        <f t="shared" si="12"/>
        <v>100</v>
      </c>
      <c r="T41" s="1564" t="s">
        <v>8</v>
      </c>
      <c r="U41" s="1565">
        <f t="shared" si="13"/>
        <v>100</v>
      </c>
      <c r="V41" s="1564" t="s">
        <v>8</v>
      </c>
      <c r="W41" s="1565">
        <f t="shared" si="14"/>
        <v>100</v>
      </c>
      <c r="X41" s="1566"/>
      <c r="Y41" s="351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517"/>
      <c r="Q42" s="1559" t="str">
        <f t="shared" si="11"/>
        <v>内部装修</v>
      </c>
      <c r="R42" s="1560" t="s">
        <v>8</v>
      </c>
      <c r="S42" s="1561">
        <f t="shared" si="12"/>
        <v>100</v>
      </c>
      <c r="T42" s="1560" t="s">
        <v>8</v>
      </c>
      <c r="U42" s="1561">
        <f t="shared" si="13"/>
        <v>100</v>
      </c>
      <c r="V42" s="1560" t="s">
        <v>8</v>
      </c>
      <c r="W42" s="1561">
        <f t="shared" si="14"/>
        <v>100</v>
      </c>
      <c r="X42" s="1554"/>
      <c r="Y42" s="351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517"/>
      <c r="Q43" s="1559" t="str">
        <f t="shared" si="11"/>
        <v>内部装修维护情况</v>
      </c>
      <c r="R43" s="1560" t="s">
        <v>8</v>
      </c>
      <c r="S43" s="1561">
        <f t="shared" si="12"/>
        <v>100</v>
      </c>
      <c r="T43" s="1560" t="s">
        <v>8</v>
      </c>
      <c r="U43" s="1561">
        <f t="shared" si="13"/>
        <v>100</v>
      </c>
      <c r="V43" s="1560" t="s">
        <v>8</v>
      </c>
      <c r="W43" s="1561">
        <f t="shared" si="14"/>
        <v>100</v>
      </c>
      <c r="X43" s="1554"/>
      <c r="Y43" s="351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517"/>
      <c r="Q44" s="1147">
        <f t="shared" si="11"/>
        <v>111</v>
      </c>
      <c r="R44" s="1555" t="s">
        <v>8</v>
      </c>
      <c r="S44" s="1556">
        <f t="shared" si="12"/>
        <v>100</v>
      </c>
      <c r="T44" s="1555" t="s">
        <v>8</v>
      </c>
      <c r="U44" s="1556">
        <f t="shared" si="13"/>
        <v>100</v>
      </c>
      <c r="V44" s="1555" t="s">
        <v>8</v>
      </c>
      <c r="W44" s="1556">
        <f t="shared" si="14"/>
        <v>100</v>
      </c>
      <c r="X44" s="1557"/>
      <c r="Y44" s="351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517"/>
      <c r="Q45" s="1559">
        <f t="shared" si="11"/>
        <v>111</v>
      </c>
      <c r="R45" s="1560" t="s">
        <v>8</v>
      </c>
      <c r="S45" s="1561">
        <f t="shared" si="12"/>
        <v>100</v>
      </c>
      <c r="T45" s="1560" t="s">
        <v>8</v>
      </c>
      <c r="U45" s="1561">
        <f t="shared" si="13"/>
        <v>100</v>
      </c>
      <c r="V45" s="1560" t="s">
        <v>8</v>
      </c>
      <c r="W45" s="1561">
        <f t="shared" si="14"/>
        <v>100</v>
      </c>
      <c r="X45" s="1554"/>
      <c r="Y45" s="351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5"/>
      <c r="Q46" s="1559">
        <f t="shared" si="11"/>
        <v>111</v>
      </c>
      <c r="R46" s="1560" t="s">
        <v>8</v>
      </c>
      <c r="S46" s="1561">
        <f t="shared" si="12"/>
        <v>100</v>
      </c>
      <c r="T46" s="1560" t="s">
        <v>8</v>
      </c>
      <c r="U46" s="1561">
        <f t="shared" si="13"/>
        <v>100</v>
      </c>
      <c r="V46" s="1560" t="s">
        <v>8</v>
      </c>
      <c r="W46" s="1561">
        <f t="shared" si="14"/>
        <v>100</v>
      </c>
      <c r="X46" s="1554"/>
      <c r="Y46" s="3575"/>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80" t="str">
        <f>A47</f>
        <v>成交单价（元/平方米）</v>
      </c>
      <c r="Q47" s="3480"/>
      <c r="R47" s="3574">
        <f>E47</f>
        <v>0</v>
      </c>
      <c r="S47" s="3574"/>
      <c r="T47" s="3574">
        <f>G47</f>
        <v>0</v>
      </c>
      <c r="U47" s="3574"/>
      <c r="V47" s="3574">
        <f>I47</f>
        <v>0</v>
      </c>
      <c r="W47" s="3574"/>
      <c r="X47" s="1546"/>
      <c r="Y47" s="1568"/>
      <c r="Z47" s="1546"/>
      <c r="AA47" s="1546"/>
      <c r="AB47" s="1546"/>
      <c r="AC47" s="1546"/>
    </row>
    <row r="48" spans="1:29" ht="15.7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80" t="str">
        <f>A48</f>
        <v>比较价格（元/平方米）</v>
      </c>
      <c r="Q48" s="3480"/>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546"/>
      <c r="Y48" s="1546"/>
      <c r="Z48" s="1546"/>
      <c r="AA48" s="1546"/>
      <c r="AB48" s="1546"/>
      <c r="AC48" s="1546"/>
    </row>
    <row r="49" spans="1:29" ht="15.75" thickBot="1">
      <c r="A49" s="621" t="s">
        <v>2925</v>
      </c>
      <c r="B49" s="622"/>
      <c r="C49" s="2599" t="e">
        <f>R49</f>
        <v>#DIV/0!</v>
      </c>
      <c r="D49" s="2599"/>
      <c r="E49" s="2599"/>
      <c r="F49" s="2599"/>
      <c r="G49" s="2599"/>
      <c r="H49" s="2599"/>
      <c r="I49" s="2599"/>
      <c r="J49" s="2599"/>
      <c r="K49" s="1599"/>
      <c r="L49" s="2128"/>
      <c r="M49" s="2129"/>
      <c r="N49" s="2118"/>
      <c r="O49" s="2129"/>
      <c r="P49" s="3477" t="str">
        <f>A49</f>
        <v>估价对象XX用房的比较价格（楼面单价，元/平方米）</v>
      </c>
      <c r="Q49" s="3478"/>
      <c r="R49" s="3573" t="e">
        <f>IF(F1="售价",ROUND(AVERAGE(R48:V48),0),ROUND(AVERAGE(R48:V48),1))</f>
        <v>#DIV/0!</v>
      </c>
      <c r="S49" s="3573"/>
      <c r="T49" s="3573"/>
      <c r="U49" s="3573"/>
      <c r="V49" s="3573"/>
      <c r="W49" s="357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3385</v>
      </c>
      <c r="E1" s="2350" t="s">
        <v>2371</v>
      </c>
      <c r="F1" s="2351">
        <f ca="1">J53</f>
        <v>22.77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-4823</v>
      </c>
      <c r="C2" s="2041"/>
      <c r="D2" s="2039"/>
      <c r="E2" s="2040"/>
      <c r="F2" s="2040"/>
      <c r="G2" s="1577"/>
      <c r="H2" s="2041"/>
      <c r="I2" s="2041"/>
      <c r="J2" s="2041"/>
      <c r="K2" s="2042"/>
      <c r="L2" s="2041"/>
      <c r="M2" s="2041"/>
    </row>
    <row r="3" spans="1:33" ht="18" customHeight="1" thickBot="1">
      <c r="A3" s="833" t="s">
        <v>1727</v>
      </c>
      <c r="B3" s="834">
        <f ca="1">IF(ISERROR(B2*10000/F43),0,ROUND(B2*10000/F43,0))</f>
        <v>-1030</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36</v>
      </c>
      <c r="D5" s="2459" t="s">
        <v>2458</v>
      </c>
      <c r="E5" s="2453"/>
      <c r="F5" s="2454"/>
      <c r="G5" s="1579"/>
      <c r="H5" s="781">
        <v>1</v>
      </c>
      <c r="I5" s="782" t="s">
        <v>2455</v>
      </c>
      <c r="J5" s="55">
        <f ca="1">J6+J10+J12</f>
        <v>0</v>
      </c>
      <c r="K5" s="2459" t="s">
        <v>2458</v>
      </c>
      <c r="L5" s="2453"/>
      <c r="M5" s="2454"/>
    </row>
    <row r="6" spans="1:33" ht="18" customHeight="1">
      <c r="A6" s="1814" t="s">
        <v>1824</v>
      </c>
      <c r="B6" s="3567" t="s">
        <v>2460</v>
      </c>
      <c r="C6" s="783">
        <f ca="1">ROUND(F6*F8*F7*(1-F9)/10000,0)</f>
        <v>36</v>
      </c>
      <c r="D6" s="2460" t="s">
        <v>2459</v>
      </c>
      <c r="E6" s="784" t="s">
        <v>1738</v>
      </c>
      <c r="F6" s="785">
        <f ca="1">INDIRECT("'数据-取费表'!u"&amp;$G$1)</f>
        <v>0.8</v>
      </c>
      <c r="G6" s="1579"/>
      <c r="H6" s="2467" t="s">
        <v>2465</v>
      </c>
      <c r="I6" s="3567" t="s">
        <v>2460</v>
      </c>
      <c r="J6" s="783">
        <f ca="1">ROUND(M6*M8*M7*(1-M9)/10000,0)</f>
        <v>0</v>
      </c>
      <c r="K6" s="341" t="s">
        <v>1737</v>
      </c>
      <c r="L6" s="784" t="s">
        <v>1738</v>
      </c>
      <c r="M6" s="785">
        <f ca="1">INDIRECT("'数据-取费表'!z"&amp;$G$1)</f>
        <v>0</v>
      </c>
    </row>
    <row r="7" spans="1:33" ht="18" customHeight="1">
      <c r="A7" s="2463"/>
      <c r="B7" s="3568"/>
      <c r="C7" s="788"/>
      <c r="D7" s="789"/>
      <c r="E7" s="784" t="s">
        <v>1739</v>
      </c>
      <c r="F7" s="785">
        <f ca="1">IF(INDIRECT("'数据-取费表'!ah"&amp;$G$1)="",INDIRECT("'数据-取费表'!k"&amp;$G$1),INDIRECT("'数据-取费表'!ah"&amp;$G$1))</f>
        <v>1377</v>
      </c>
      <c r="G7" s="1579"/>
      <c r="H7" s="2452"/>
      <c r="I7" s="3568"/>
      <c r="J7" s="788"/>
      <c r="K7" s="789"/>
      <c r="L7" s="784" t="s">
        <v>1739</v>
      </c>
      <c r="M7" s="785">
        <f ca="1">F7</f>
        <v>1377</v>
      </c>
    </row>
    <row r="8" spans="1:33" ht="18" customHeight="1">
      <c r="A8" s="2456"/>
      <c r="B8" s="3569"/>
      <c r="C8" s="788"/>
      <c r="D8" s="789"/>
      <c r="E8" s="784" t="s">
        <v>1740</v>
      </c>
      <c r="F8" s="785">
        <f ca="1">INDIRECT("'数据-取费表'!ai"&amp;$G$1)</f>
        <v>365</v>
      </c>
      <c r="G8" s="1579"/>
      <c r="H8" s="2452"/>
      <c r="I8" s="3569"/>
      <c r="J8" s="788"/>
      <c r="K8" s="789"/>
      <c r="L8" s="784" t="s">
        <v>1740</v>
      </c>
      <c r="M8" s="785">
        <f ca="1">INDIRECT("'数据-取费表'!ai"&amp;$G$1)</f>
        <v>365</v>
      </c>
    </row>
    <row r="9" spans="1:33" ht="18" customHeight="1">
      <c r="A9" s="786"/>
      <c r="B9" s="3570"/>
      <c r="C9" s="788"/>
      <c r="D9" s="789"/>
      <c r="E9" s="784" t="s">
        <v>1741</v>
      </c>
      <c r="F9" s="794">
        <f ca="1">INDIRECT("'数据-取费表'!w"&amp;$G$1)</f>
        <v>0.1</v>
      </c>
      <c r="G9" s="1579"/>
      <c r="H9" s="2468"/>
      <c r="I9" s="3569"/>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3386</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16392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12629</v>
      </c>
      <c r="D14" s="1963" t="s">
        <v>1745</v>
      </c>
      <c r="E14" s="1964"/>
      <c r="F14" s="805"/>
      <c r="G14" s="1579"/>
      <c r="H14" s="1635" t="s">
        <v>1830</v>
      </c>
      <c r="I14" s="2215" t="s">
        <v>2822</v>
      </c>
      <c r="J14" s="53">
        <f ca="1">C29</f>
        <v>16392</v>
      </c>
      <c r="K14" s="26"/>
      <c r="L14" s="801"/>
      <c r="M14" s="802"/>
    </row>
    <row r="15" spans="1:33" s="2048" customFormat="1" ht="18" customHeight="1" thickBot="1">
      <c r="A15" s="1634" t="s">
        <v>1885</v>
      </c>
      <c r="B15" s="784" t="s">
        <v>647</v>
      </c>
      <c r="C15" s="53">
        <f ca="1">ROUND(C14*F15,0)</f>
        <v>379</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1652</v>
      </c>
      <c r="K16" s="1805" t="s">
        <v>1750</v>
      </c>
      <c r="L16" s="2449"/>
      <c r="M16" s="2454"/>
    </row>
    <row r="17" spans="1:33" s="2048" customFormat="1" ht="18" customHeight="1">
      <c r="A17" s="1634" t="s">
        <v>1887</v>
      </c>
      <c r="B17" s="784" t="s">
        <v>653</v>
      </c>
      <c r="C17" s="53">
        <f ca="1">ROUND(F17*(F43+INDIRECT("'数据-取费表'!S"&amp;$G$1))/10000,0)</f>
        <v>947</v>
      </c>
      <c r="D17" s="784" t="s">
        <v>1751</v>
      </c>
      <c r="E17" s="784" t="s">
        <v>1752</v>
      </c>
      <c r="F17" s="56">
        <f>'数据-取费表'!B35</f>
        <v>150</v>
      </c>
      <c r="G17" s="1580"/>
      <c r="H17" s="1635" t="s">
        <v>1830</v>
      </c>
      <c r="I17" s="784" t="s">
        <v>656</v>
      </c>
      <c r="J17" s="53">
        <f ca="1">ROUND(IF(项目基本情况!B11="自然人",J5*M17,J18+J19+J20),0)</f>
        <v>1406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189</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14144</v>
      </c>
      <c r="D19" s="261" t="s">
        <v>1757</v>
      </c>
      <c r="E19" s="1966"/>
      <c r="F19" s="56"/>
      <c r="G19" s="1579"/>
      <c r="H19" s="1634" t="s">
        <v>1885</v>
      </c>
      <c r="I19" s="784" t="s">
        <v>1758</v>
      </c>
      <c r="J19" s="53">
        <f ca="1">IF(K19="按租金收入计税",ROUND(J5*M19,1),ROUND(C29*F33*0.7,1))</f>
        <v>1376.9</v>
      </c>
      <c r="K19" s="811" t="s">
        <v>665</v>
      </c>
      <c r="L19" s="784" t="s">
        <v>1747</v>
      </c>
      <c r="M19" s="809">
        <f>IF(K19="按租金收入计税",'数据-取费表'!B51,'数据-取费表'!B50)</f>
        <v>1.2E-2</v>
      </c>
    </row>
    <row r="20" spans="1:33" s="2048" customFormat="1" ht="18" customHeight="1">
      <c r="A20" s="1635" t="s">
        <v>1889</v>
      </c>
      <c r="B20" s="784" t="s">
        <v>666</v>
      </c>
      <c r="C20" s="53">
        <f ca="1">ROUND(C19*F20,0)</f>
        <v>283</v>
      </c>
      <c r="D20" s="812" t="s">
        <v>1759</v>
      </c>
      <c r="E20" s="784" t="s">
        <v>1747</v>
      </c>
      <c r="F20" s="809">
        <f>'数据-取费表'!B37</f>
        <v>0.02</v>
      </c>
      <c r="G20" s="1580"/>
      <c r="H20" s="1637" t="s">
        <v>1880</v>
      </c>
      <c r="I20" s="341" t="s">
        <v>1760</v>
      </c>
      <c r="J20" s="54">
        <f ca="1">ROUND(M20*M21/10000,0)</f>
        <v>29</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14686.669999999998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246</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314</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-1652</v>
      </c>
      <c r="K25" s="2511" t="s">
        <v>1777</v>
      </c>
      <c r="L25" s="2512"/>
      <c r="M25" s="2513"/>
    </row>
    <row r="26" spans="1:33" ht="18" customHeight="1">
      <c r="A26" s="1634" t="s">
        <v>1831</v>
      </c>
      <c r="B26" s="784" t="s">
        <v>2435</v>
      </c>
      <c r="C26" s="53">
        <f ca="1">ROUND((C19+C20)*F26,0)</f>
        <v>433</v>
      </c>
      <c r="D26" s="812" t="s">
        <v>1778</v>
      </c>
      <c r="E26" s="795" t="s">
        <v>1779</v>
      </c>
      <c r="F26" s="794">
        <f ca="1">INDIRECT("'数据-取费表'!q"&amp;$G$1)</f>
        <v>0.03</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16392</v>
      </c>
      <c r="D29" s="2508"/>
      <c r="E29" s="2509"/>
      <c r="F29" s="2510"/>
      <c r="G29" s="1580"/>
      <c r="H29" s="823" t="s">
        <v>1787</v>
      </c>
      <c r="I29" s="824" t="s">
        <v>1788</v>
      </c>
      <c r="J29" s="825">
        <f ca="1">ROUND(J26/(1+F40)^F41,0)</f>
        <v>0</v>
      </c>
      <c r="K29" s="826" t="s">
        <v>1789</v>
      </c>
      <c r="L29" s="827"/>
      <c r="M29" s="828">
        <f ca="1">INDIRECT("'数据-取费表'!k"&amp;$G$1)</f>
        <v>46810.61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307</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35.6</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1.9</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4.3</v>
      </c>
      <c r="D33" s="3276" t="s">
        <v>3442</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29.4</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14686.669999999998</v>
      </c>
      <c r="G35" s="2046"/>
      <c r="H35" s="2049"/>
      <c r="I35" s="837" t="s">
        <v>1814</v>
      </c>
      <c r="J35" s="838">
        <f ca="1">ROUND(C13*J36,0)</f>
        <v>1393</v>
      </c>
      <c r="K35" s="2062"/>
      <c r="L35" s="2061"/>
      <c r="M35" s="2061"/>
    </row>
    <row r="36" spans="1:18" ht="18" customHeight="1">
      <c r="A36" s="1635" t="s">
        <v>1889</v>
      </c>
      <c r="B36" s="784" t="s">
        <v>1802</v>
      </c>
      <c r="C36" s="53">
        <f ca="1">ROUND(C29*F36,1)</f>
        <v>245.9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24.6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0.4</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-271</v>
      </c>
      <c r="D39" s="2511" t="s">
        <v>1806</v>
      </c>
      <c r="E39" s="2512"/>
      <c r="F39" s="2513"/>
      <c r="G39" s="2046"/>
      <c r="H39" s="2061"/>
      <c r="I39" s="837" t="s">
        <v>1818</v>
      </c>
      <c r="J39" s="845">
        <f ca="1">ROUND(J35/C39,3)</f>
        <v>-5.14</v>
      </c>
      <c r="K39" s="2067"/>
      <c r="L39" s="2061"/>
      <c r="M39" s="2061"/>
    </row>
    <row r="40" spans="1:18" ht="18" customHeight="1">
      <c r="A40" s="781" t="s">
        <v>1895</v>
      </c>
      <c r="B40" s="2216" t="s">
        <v>2298</v>
      </c>
      <c r="C40" s="783">
        <f ca="1">ROUND(C39*(1-((1+F42)/(1+F40))^F41)/(F40-F42),0)</f>
        <v>-4823</v>
      </c>
      <c r="D40" s="814" t="s">
        <v>1807</v>
      </c>
      <c r="E40" s="784" t="s">
        <v>2416</v>
      </c>
      <c r="F40" s="794">
        <f ca="1">INDIRECT("'数据-取费表'!I"&amp;$G$1)</f>
        <v>4.4999999999999998E-2</v>
      </c>
      <c r="G40" s="2046"/>
      <c r="H40" s="2046"/>
      <c r="I40" s="837" t="s">
        <v>1819</v>
      </c>
      <c r="J40" s="845">
        <f ca="1">1-J39</f>
        <v>6.14</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22.77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-3.399</v>
      </c>
      <c r="K42" s="2066"/>
      <c r="L42" s="1972"/>
      <c r="M42" s="1972"/>
    </row>
    <row r="43" spans="1:18" ht="18" customHeight="1" thickBot="1">
      <c r="A43" s="823" t="s">
        <v>1787</v>
      </c>
      <c r="B43" s="824" t="s">
        <v>1810</v>
      </c>
      <c r="C43" s="825">
        <f ca="1">ROUND(C40*10000/F43,0)</f>
        <v>-1030</v>
      </c>
      <c r="D43" s="826" t="s">
        <v>1811</v>
      </c>
      <c r="E43" s="827" t="s">
        <v>1812</v>
      </c>
      <c r="F43" s="828">
        <f ca="1">INDIRECT("'数据-取费表'!k"&amp;$G$1)</f>
        <v>46810.61</v>
      </c>
      <c r="G43" s="2046"/>
      <c r="H43" s="1972"/>
      <c r="I43" s="847" t="s">
        <v>1822</v>
      </c>
      <c r="J43" s="848">
        <f ca="1">1-J42</f>
        <v>4.399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603</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3158</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23.77</v>
      </c>
      <c r="O48" s="2361" t="s">
        <v>2376</v>
      </c>
      <c r="P48" s="2362" t="s">
        <v>2402</v>
      </c>
      <c r="Q48" s="2363">
        <f ca="1">C40+J29</f>
        <v>-4823</v>
      </c>
      <c r="R48" s="2362" t="s">
        <v>2377</v>
      </c>
    </row>
    <row r="49" spans="1:18" s="2043" customFormat="1" ht="18" customHeight="1" thickBot="1">
      <c r="A49" s="786"/>
      <c r="B49" s="787"/>
      <c r="C49" s="788"/>
      <c r="D49" s="789"/>
      <c r="E49" s="784" t="s">
        <v>1739</v>
      </c>
      <c r="F49" s="785">
        <f ca="1">F7</f>
        <v>1377</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16392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-25229</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22.77</v>
      </c>
      <c r="K53" s="3578" t="s">
        <v>2956</v>
      </c>
      <c r="L53" s="3579"/>
      <c r="O53" s="2364" t="s">
        <v>2385</v>
      </c>
      <c r="P53" s="2362" t="s">
        <v>2386</v>
      </c>
      <c r="Q53" s="2363">
        <f ca="1">J53</f>
        <v>22.77</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-4823</v>
      </c>
      <c r="R54" s="2366" t="s">
        <v>2389</v>
      </c>
    </row>
    <row r="55" spans="1:18" s="2043" customFormat="1" ht="18" customHeight="1" thickTop="1" thickBot="1">
      <c r="A55" s="797">
        <v>2</v>
      </c>
      <c r="B55" s="798" t="s">
        <v>644</v>
      </c>
      <c r="C55" s="799">
        <f ca="1">C13</f>
        <v>16392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16392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300</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-4823</v>
      </c>
      <c r="R57" s="2362" t="s">
        <v>2377</v>
      </c>
    </row>
    <row r="58" spans="1:18" s="2043" customFormat="1" ht="28.5" customHeight="1" thickBot="1">
      <c r="A58" s="1635" t="s">
        <v>1824</v>
      </c>
      <c r="B58" s="784" t="s">
        <v>656</v>
      </c>
      <c r="C58" s="53">
        <f ca="1">ROUND(IF(项目基本情况!B11="自然人",C47*F58,C59+C60+C61),1)</f>
        <v>29.4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29.4</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14686.669999999998</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245.9</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-4823</v>
      </c>
      <c r="R63" s="2366" t="s">
        <v>2389</v>
      </c>
    </row>
    <row r="64" spans="1:18" s="2043" customFormat="1" ht="16.5" thickBot="1">
      <c r="A64" s="1635" t="s">
        <v>1890</v>
      </c>
      <c r="B64" s="784" t="s">
        <v>679</v>
      </c>
      <c r="C64" s="53">
        <f ca="1">ROUND(C55*F64,1)</f>
        <v>24.6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2818</v>
      </c>
      <c r="C66" s="799">
        <f ca="1">C47-C57</f>
        <v>-300</v>
      </c>
      <c r="D66" s="2601" t="s">
        <v>700</v>
      </c>
      <c r="E66" s="2600"/>
      <c r="F66" s="820"/>
      <c r="K66" s="2070"/>
      <c r="O66" s="2361" t="s">
        <v>2376</v>
      </c>
      <c r="P66" s="2362" t="s">
        <v>2406</v>
      </c>
      <c r="Q66" s="2363">
        <f ca="1">C40+J29</f>
        <v>-4823</v>
      </c>
      <c r="R66" s="2362" t="s">
        <v>2377</v>
      </c>
    </row>
    <row r="67" spans="1:18" s="2043" customFormat="1" ht="20.25" thickBot="1">
      <c r="A67" s="781" t="s">
        <v>1780</v>
      </c>
      <c r="B67" s="2216" t="s">
        <v>2298</v>
      </c>
      <c r="C67" s="783">
        <f ca="1">ROUND(C66*(1-((1+F69)/(1+F67))^F68)/(F67-F69),0)</f>
        <v>-4220</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22.77</v>
      </c>
      <c r="O68" s="2364" t="s">
        <v>2380</v>
      </c>
      <c r="P68" s="2362" t="s">
        <v>2410</v>
      </c>
      <c r="Q68" s="2368">
        <f ca="1">L51</f>
        <v>-25229</v>
      </c>
      <c r="R68" s="2369" t="s">
        <v>2413</v>
      </c>
    </row>
    <row r="69" spans="1:18" ht="20.25" thickBot="1">
      <c r="A69" s="790"/>
      <c r="B69" s="791"/>
      <c r="C69" s="792"/>
      <c r="D69" s="816"/>
      <c r="E69" s="784" t="s">
        <v>710</v>
      </c>
      <c r="F69" s="2334"/>
      <c r="O69" s="2364" t="s">
        <v>2381</v>
      </c>
      <c r="P69" s="2370" t="s">
        <v>2395</v>
      </c>
      <c r="Q69" s="2363">
        <f ca="1">ROUND(Q70-Q71*Q72,0)</f>
        <v>-1664</v>
      </c>
      <c r="R69" s="2366"/>
    </row>
    <row r="70" spans="1:18" ht="15.75" thickBot="1">
      <c r="A70" s="823" t="s">
        <v>1787</v>
      </c>
      <c r="B70" s="824" t="s">
        <v>1810</v>
      </c>
      <c r="C70" s="825">
        <f ca="1">ROUND(C67*10000/F70,0)</f>
        <v>-902</v>
      </c>
      <c r="D70" s="826" t="s">
        <v>1811</v>
      </c>
      <c r="E70" s="827" t="s">
        <v>1812</v>
      </c>
      <c r="F70" s="828">
        <f ca="1">F43</f>
        <v>46810.61</v>
      </c>
      <c r="O70" s="2364" t="s">
        <v>2396</v>
      </c>
      <c r="P70" s="2370" t="s">
        <v>2397</v>
      </c>
      <c r="Q70" s="2363">
        <f ca="1">C39</f>
        <v>-271</v>
      </c>
      <c r="R70" s="2362" t="s">
        <v>2377</v>
      </c>
    </row>
    <row r="71" spans="1:18" ht="15.75" thickBot="1">
      <c r="O71" s="2364" t="s">
        <v>2398</v>
      </c>
      <c r="P71" s="2370" t="s">
        <v>2399</v>
      </c>
      <c r="Q71" s="2363">
        <f ca="1">C13</f>
        <v>16392</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-4823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0" t="s">
        <v>2468</v>
      </c>
      <c r="B1" s="3581"/>
      <c r="C1" s="3582"/>
      <c r="D1" s="3583">
        <f>SUM(I10,I15,I20,I21,I23)</f>
        <v>0</v>
      </c>
      <c r="E1" s="3583"/>
      <c r="F1" s="3583"/>
      <c r="G1" s="3583"/>
      <c r="H1" s="3583"/>
      <c r="I1" s="3584"/>
    </row>
    <row r="2" spans="1:9">
      <c r="A2" s="3585" t="s">
        <v>2469</v>
      </c>
      <c r="B2" s="3586" t="s">
        <v>2470</v>
      </c>
      <c r="C2" s="3586"/>
      <c r="D2" s="2470" t="s">
        <v>2471</v>
      </c>
      <c r="E2" s="2470" t="s">
        <v>2472</v>
      </c>
      <c r="F2" s="2470" t="s">
        <v>2473</v>
      </c>
      <c r="G2" s="2470" t="s">
        <v>2474</v>
      </c>
      <c r="H2" s="2470" t="s">
        <v>2475</v>
      </c>
      <c r="I2" s="2471" t="s">
        <v>2476</v>
      </c>
    </row>
    <row r="3" spans="1:9">
      <c r="A3" s="3585"/>
      <c r="B3" s="3586" t="s">
        <v>2477</v>
      </c>
      <c r="C3" s="3586"/>
      <c r="D3" s="2472"/>
      <c r="E3" s="2470"/>
      <c r="F3" s="2473"/>
      <c r="G3" s="2473"/>
      <c r="H3" s="2474"/>
      <c r="I3" s="2475">
        <f>ROUND(D3*E3*F3*G3*H3/10000,0)</f>
        <v>0</v>
      </c>
    </row>
    <row r="4" spans="1:9">
      <c r="A4" s="3585"/>
      <c r="B4" s="3586" t="s">
        <v>2478</v>
      </c>
      <c r="C4" s="3586"/>
      <c r="D4" s="2472"/>
      <c r="E4" s="2470"/>
      <c r="F4" s="2473"/>
      <c r="G4" s="2473"/>
      <c r="H4" s="2474"/>
      <c r="I4" s="2475">
        <f t="shared" ref="I4:I9" si="0">ROUND(D4*E4*F4*G4*H4/10000,0)</f>
        <v>0</v>
      </c>
    </row>
    <row r="5" spans="1:9">
      <c r="A5" s="3585"/>
      <c r="B5" s="3586" t="s">
        <v>2479</v>
      </c>
      <c r="C5" s="3586"/>
      <c r="D5" s="2472"/>
      <c r="E5" s="2470"/>
      <c r="F5" s="2473"/>
      <c r="G5" s="2473"/>
      <c r="H5" s="2474"/>
      <c r="I5" s="2475">
        <f t="shared" si="0"/>
        <v>0</v>
      </c>
    </row>
    <row r="6" spans="1:9">
      <c r="A6" s="3585"/>
      <c r="B6" s="3586" t="s">
        <v>2480</v>
      </c>
      <c r="C6" s="3586"/>
      <c r="D6" s="2472"/>
      <c r="E6" s="2470"/>
      <c r="F6" s="2473"/>
      <c r="G6" s="2473"/>
      <c r="H6" s="2474"/>
      <c r="I6" s="2475">
        <f t="shared" si="0"/>
        <v>0</v>
      </c>
    </row>
    <row r="7" spans="1:9">
      <c r="A7" s="3585"/>
      <c r="B7" s="3586" t="s">
        <v>2481</v>
      </c>
      <c r="C7" s="3586"/>
      <c r="D7" s="2472"/>
      <c r="E7" s="2470"/>
      <c r="F7" s="2473"/>
      <c r="G7" s="2473"/>
      <c r="H7" s="2474"/>
      <c r="I7" s="2475">
        <f t="shared" si="0"/>
        <v>0</v>
      </c>
    </row>
    <row r="8" spans="1:9">
      <c r="A8" s="3585"/>
      <c r="B8" s="3586" t="s">
        <v>2482</v>
      </c>
      <c r="C8" s="3586"/>
      <c r="D8" s="2472"/>
      <c r="E8" s="2470"/>
      <c r="F8" s="2473"/>
      <c r="G8" s="2473"/>
      <c r="H8" s="2474"/>
      <c r="I8" s="2475">
        <f t="shared" si="0"/>
        <v>0</v>
      </c>
    </row>
    <row r="9" spans="1:9">
      <c r="A9" s="3585"/>
      <c r="B9" s="3586" t="s">
        <v>2483</v>
      </c>
      <c r="C9" s="3586"/>
      <c r="D9" s="2472"/>
      <c r="E9" s="2470"/>
      <c r="F9" s="2473"/>
      <c r="G9" s="2473"/>
      <c r="H9" s="2474"/>
      <c r="I9" s="2475">
        <f t="shared" si="0"/>
        <v>0</v>
      </c>
    </row>
    <row r="10" spans="1:9">
      <c r="A10" s="3585"/>
      <c r="B10" s="3587" t="s">
        <v>2484</v>
      </c>
      <c r="C10" s="3587"/>
      <c r="D10" s="2476">
        <v>527</v>
      </c>
      <c r="E10" s="2476" t="e">
        <f>ROUND(D1*10000/D10/H9,0)</f>
        <v>#DIV/0!</v>
      </c>
      <c r="F10" s="2477"/>
      <c r="G10" s="2477"/>
      <c r="H10" s="2478"/>
      <c r="I10" s="2479">
        <f>SUM(I3:I9)</f>
        <v>0</v>
      </c>
    </row>
    <row r="11" spans="1:9" ht="14.25">
      <c r="A11" s="3585" t="s">
        <v>2485</v>
      </c>
      <c r="B11" s="3586" t="s">
        <v>2486</v>
      </c>
      <c r="C11" s="3586"/>
      <c r="D11" s="2472" t="s">
        <v>2487</v>
      </c>
      <c r="E11" s="2472" t="s">
        <v>2488</v>
      </c>
      <c r="F11" s="2473" t="s">
        <v>2489</v>
      </c>
      <c r="G11" s="2473" t="s">
        <v>2490</v>
      </c>
      <c r="H11" s="2480" t="s">
        <v>2491</v>
      </c>
      <c r="I11" s="2471" t="s">
        <v>2492</v>
      </c>
    </row>
    <row r="12" spans="1:9">
      <c r="A12" s="3585"/>
      <c r="B12" s="3586" t="s">
        <v>2493</v>
      </c>
      <c r="C12" s="3586"/>
      <c r="D12" s="2472"/>
      <c r="E12" s="2472"/>
      <c r="F12" s="2473"/>
      <c r="G12" s="2474"/>
      <c r="H12" s="2481"/>
      <c r="I12" s="2471">
        <f>ROUND(D12*E12*F12*G12/10000,0)</f>
        <v>0</v>
      </c>
    </row>
    <row r="13" spans="1:9">
      <c r="A13" s="3585"/>
      <c r="B13" s="3586" t="s">
        <v>2494</v>
      </c>
      <c r="C13" s="3586"/>
      <c r="D13" s="2472"/>
      <c r="E13" s="2472"/>
      <c r="F13" s="2473"/>
      <c r="G13" s="2474"/>
      <c r="H13" s="2481"/>
      <c r="I13" s="2471">
        <f>ROUND(D13*E13*F13*G13/10000,0)</f>
        <v>0</v>
      </c>
    </row>
    <row r="14" spans="1:9">
      <c r="A14" s="3585"/>
      <c r="B14" s="3586" t="s">
        <v>2495</v>
      </c>
      <c r="C14" s="3586"/>
      <c r="D14" s="2472"/>
      <c r="E14" s="2472"/>
      <c r="F14" s="2473"/>
      <c r="G14" s="2474"/>
      <c r="H14" s="2481"/>
      <c r="I14" s="2471">
        <f>ROUND(D14*E14*F14*G14/10000,0)</f>
        <v>0</v>
      </c>
    </row>
    <row r="15" spans="1:9">
      <c r="A15" s="3585"/>
      <c r="B15" s="3587" t="s">
        <v>2484</v>
      </c>
      <c r="C15" s="3587"/>
      <c r="D15" s="2476"/>
      <c r="E15" s="2476">
        <f>SUM(E12:E14)</f>
        <v>0</v>
      </c>
      <c r="F15" s="2477"/>
      <c r="G15" s="2474"/>
      <c r="H15" s="2481"/>
      <c r="I15" s="2482">
        <f>SUM(I12:I14)</f>
        <v>0</v>
      </c>
    </row>
    <row r="16" spans="1:9" ht="24">
      <c r="A16" s="3585" t="s">
        <v>2496</v>
      </c>
      <c r="B16" s="3586" t="s">
        <v>2497</v>
      </c>
      <c r="C16" s="3586"/>
      <c r="D16" s="2472" t="s">
        <v>2498</v>
      </c>
      <c r="E16" s="2483" t="s">
        <v>2499</v>
      </c>
      <c r="F16" s="2473" t="s">
        <v>2500</v>
      </c>
      <c r="G16" s="2474" t="s">
        <v>2490</v>
      </c>
      <c r="H16" s="2480" t="s">
        <v>2491</v>
      </c>
      <c r="I16" s="2471" t="s">
        <v>2492</v>
      </c>
    </row>
    <row r="17" spans="1:9" ht="14.25">
      <c r="A17" s="3585"/>
      <c r="B17" s="3586" t="s">
        <v>2501</v>
      </c>
      <c r="C17" s="3586"/>
      <c r="D17" s="2472"/>
      <c r="E17" s="2472"/>
      <c r="F17" s="2473"/>
      <c r="G17" s="2474"/>
      <c r="H17" s="2484"/>
      <c r="I17" s="2485">
        <f>ROUND(D17*E17*F17*G17/10000,0)</f>
        <v>0</v>
      </c>
    </row>
    <row r="18" spans="1:9" ht="14.25">
      <c r="A18" s="3585"/>
      <c r="B18" s="3586" t="s">
        <v>2502</v>
      </c>
      <c r="C18" s="3586"/>
      <c r="D18" s="2472"/>
      <c r="E18" s="2472"/>
      <c r="F18" s="2473"/>
      <c r="G18" s="2474"/>
      <c r="H18" s="2484"/>
      <c r="I18" s="2485">
        <f>ROUND(D18*E18*F18*G18/10000,0)</f>
        <v>0</v>
      </c>
    </row>
    <row r="19" spans="1:9" ht="14.25">
      <c r="A19" s="3585"/>
      <c r="B19" s="3586" t="s">
        <v>2503</v>
      </c>
      <c r="C19" s="3586"/>
      <c r="D19" s="2472"/>
      <c r="E19" s="2472"/>
      <c r="F19" s="2473"/>
      <c r="G19" s="2474"/>
      <c r="H19" s="2484"/>
      <c r="I19" s="2485">
        <f>ROUND(D19*E19*F19*G19/10000,0)</f>
        <v>0</v>
      </c>
    </row>
    <row r="20" spans="1:9">
      <c r="A20" s="3585"/>
      <c r="B20" s="3587" t="s">
        <v>2484</v>
      </c>
      <c r="C20" s="3587"/>
      <c r="D20" s="2476">
        <f>SUM(D17:D19)</f>
        <v>0</v>
      </c>
      <c r="E20" s="2476"/>
      <c r="F20" s="2477"/>
      <c r="G20" s="2474"/>
      <c r="H20" s="2481"/>
      <c r="I20" s="2482">
        <f>SUM(I17:I19)</f>
        <v>0</v>
      </c>
    </row>
    <row r="21" spans="1:9">
      <c r="A21" s="3585" t="s">
        <v>2504</v>
      </c>
      <c r="B21" s="3589"/>
      <c r="C21" s="3589"/>
      <c r="D21" s="3589"/>
      <c r="E21" s="3589"/>
      <c r="F21" s="3589"/>
      <c r="G21" s="3589"/>
      <c r="H21" s="2486">
        <v>0.1</v>
      </c>
      <c r="I21" s="2479">
        <f>ROUND(I10*H21,0)</f>
        <v>0</v>
      </c>
    </row>
    <row r="22" spans="1:9" ht="14.25">
      <c r="A22" s="3590" t="s">
        <v>2505</v>
      </c>
      <c r="B22" s="3591"/>
      <c r="C22" s="3592"/>
      <c r="D22" s="2487" t="s">
        <v>2506</v>
      </c>
      <c r="E22" s="2487" t="s">
        <v>2507</v>
      </c>
      <c r="F22" s="2488" t="s">
        <v>2508</v>
      </c>
      <c r="G22" s="2488" t="s">
        <v>2509</v>
      </c>
      <c r="H22" s="2480" t="s">
        <v>2510</v>
      </c>
      <c r="I22" s="2471" t="s">
        <v>2511</v>
      </c>
    </row>
    <row r="23" spans="1:9" ht="14.25" thickBot="1">
      <c r="A23" s="3593"/>
      <c r="B23" s="3594"/>
      <c r="C23" s="3595"/>
      <c r="D23" s="2489"/>
      <c r="E23" s="2489"/>
      <c r="F23" s="2489"/>
      <c r="G23" s="2490"/>
      <c r="H23" s="2491"/>
      <c r="I23" s="2492">
        <f>ROUND(E23*D23*F23*(1-G23)/10000,0)</f>
        <v>0</v>
      </c>
    </row>
    <row r="26" spans="1:9">
      <c r="A26" s="2493" t="s">
        <v>2512</v>
      </c>
      <c r="B26" s="2493"/>
      <c r="C26" s="2493"/>
      <c r="D26" s="2493"/>
      <c r="E26" s="3596">
        <f>C27-C30-C31-C32</f>
        <v>0</v>
      </c>
      <c r="F26" s="3596"/>
      <c r="G26" s="3596"/>
      <c r="H26" s="2994" t="s">
        <v>2839</v>
      </c>
    </row>
    <row r="27" spans="1:9">
      <c r="A27" s="2494">
        <v>1</v>
      </c>
      <c r="B27" s="2495" t="s">
        <v>2513</v>
      </c>
      <c r="C27" s="2495"/>
      <c r="D27" s="2495"/>
      <c r="E27" s="3597"/>
      <c r="F27" s="3597"/>
      <c r="G27" s="3597"/>
    </row>
    <row r="28" spans="1:9">
      <c r="A28" s="2496" t="s">
        <v>2514</v>
      </c>
      <c r="B28" s="2495" t="s">
        <v>2515</v>
      </c>
      <c r="C28" s="2495"/>
      <c r="D28" s="2495"/>
      <c r="E28" s="3597"/>
      <c r="F28" s="3597"/>
      <c r="G28" s="3597"/>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88"/>
      <c r="F32" s="3588"/>
      <c r="G32" s="3588"/>
    </row>
    <row r="33" spans="1:7" hidden="1">
      <c r="A33" s="3598" t="s">
        <v>2523</v>
      </c>
      <c r="B33" s="3599"/>
      <c r="C33" s="3599"/>
      <c r="D33" s="3600"/>
      <c r="E33" s="3596"/>
      <c r="F33" s="3596"/>
      <c r="G33" s="3596"/>
    </row>
    <row r="34" spans="1:7" hidden="1">
      <c r="A34" s="2498">
        <v>1</v>
      </c>
      <c r="B34" s="2495" t="s">
        <v>2524</v>
      </c>
      <c r="C34" s="2495"/>
      <c r="D34" s="2495"/>
      <c r="E34" s="3597"/>
      <c r="F34" s="3597"/>
      <c r="G34" s="3597"/>
    </row>
    <row r="35" spans="1:7" hidden="1">
      <c r="A35" s="2498">
        <v>2</v>
      </c>
      <c r="B35" s="2495" t="s">
        <v>2525</v>
      </c>
      <c r="C35" s="2495"/>
      <c r="D35" s="2495"/>
      <c r="E35" s="3597"/>
      <c r="F35" s="3597"/>
      <c r="G35" s="3597"/>
    </row>
    <row r="36" spans="1:7" hidden="1">
      <c r="A36" s="2498">
        <v>3</v>
      </c>
      <c r="B36" s="2495" t="s">
        <v>2526</v>
      </c>
      <c r="C36" s="2495"/>
      <c r="D36" s="2495"/>
      <c r="E36" s="3597"/>
      <c r="F36" s="3597"/>
      <c r="G36" s="3597"/>
    </row>
    <row r="37" spans="1:7" hidden="1">
      <c r="A37" s="2498">
        <v>4</v>
      </c>
      <c r="B37" s="2495" t="s">
        <v>2527</v>
      </c>
      <c r="C37" s="2495"/>
      <c r="D37" s="2495"/>
      <c r="E37" s="3597"/>
      <c r="F37" s="3597"/>
      <c r="G37" s="3597"/>
    </row>
    <row r="38" spans="1:7" hidden="1">
      <c r="A38" s="3598" t="s">
        <v>2528</v>
      </c>
      <c r="B38" s="3599"/>
      <c r="C38" s="3599"/>
      <c r="D38" s="3600"/>
      <c r="E38" s="3596"/>
      <c r="F38" s="3596"/>
      <c r="G38" s="35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129023.22</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1353</v>
      </c>
      <c r="D12" s="758">
        <f>'数据-汇总表'!E5</f>
        <v>46653.79</v>
      </c>
      <c r="E12" s="757">
        <f>'数据-取费表'!B27</f>
        <v>290</v>
      </c>
      <c r="F12" s="755"/>
      <c r="G12" s="759"/>
    </row>
    <row r="13" spans="1:25" s="2167" customFormat="1" ht="13.5" customHeight="1">
      <c r="A13" s="2439" t="s">
        <v>2444</v>
      </c>
      <c r="B13" s="756" t="s">
        <v>612</v>
      </c>
      <c r="C13" s="757">
        <f>ROUND(D13*E13/10000,0)</f>
        <v>2389</v>
      </c>
      <c r="D13" s="758">
        <f>'数据-汇总表'!E6</f>
        <v>82369.429999999993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0.70699999999999996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86" t="s">
        <v>522</v>
      </c>
      <c r="D4" s="3487"/>
      <c r="E4" s="3520" t="s">
        <v>523</v>
      </c>
      <c r="F4" s="3521"/>
      <c r="G4" s="3486" t="s">
        <v>524</v>
      </c>
      <c r="H4" s="3487"/>
      <c r="I4" s="3486" t="s">
        <v>525</v>
      </c>
      <c r="J4" s="3487"/>
      <c r="K4" s="514" t="s">
        <v>526</v>
      </c>
      <c r="L4" s="2117"/>
      <c r="M4" s="2118"/>
      <c r="N4" s="2118"/>
      <c r="O4" s="2118"/>
      <c r="P4" s="3602" t="s">
        <v>527</v>
      </c>
      <c r="Q4" s="3489"/>
      <c r="R4" s="3494" t="s">
        <v>523</v>
      </c>
      <c r="S4" s="3495"/>
      <c r="T4" s="3494" t="s">
        <v>524</v>
      </c>
      <c r="U4" s="3495"/>
      <c r="V4" s="3481" t="s">
        <v>525</v>
      </c>
      <c r="W4" s="3481"/>
      <c r="X4" s="1554"/>
      <c r="Y4" s="3494" t="s">
        <v>527</v>
      </c>
      <c r="Z4" s="3495"/>
      <c r="AA4" s="3483" t="s">
        <v>523</v>
      </c>
      <c r="AB4" s="3483"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603"/>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604"/>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513"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513" t="s">
        <v>533</v>
      </c>
      <c r="Q8" s="3512"/>
      <c r="R8" s="1555" t="s">
        <v>8</v>
      </c>
      <c r="S8" s="1556">
        <f t="shared" si="0"/>
        <v>0</v>
      </c>
      <c r="T8" s="1555" t="s">
        <v>8</v>
      </c>
      <c r="U8" s="1556">
        <f t="shared" si="1"/>
        <v>0</v>
      </c>
      <c r="V8" s="1555" t="s">
        <v>8</v>
      </c>
      <c r="W8" s="1556">
        <f t="shared" si="2"/>
        <v>0</v>
      </c>
      <c r="X8" s="1557"/>
      <c r="Y8" s="3511" t="s">
        <v>533</v>
      </c>
      <c r="Z8" s="3512"/>
      <c r="AA8" s="1558" t="e">
        <f t="shared" ref="AA8:AA47" si="3">D8/F8</f>
        <v>#DIV/0!</v>
      </c>
      <c r="AB8" s="1558" t="e">
        <f t="shared" ref="AB8:AB47" si="4">D8/H8</f>
        <v>#DIV/0!</v>
      </c>
      <c r="AC8" s="1558"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57">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514" t="s">
        <v>540</v>
      </c>
      <c r="Q15" s="1559" t="str">
        <f t="shared" si="6"/>
        <v>办公集聚程度</v>
      </c>
      <c r="R15" s="1560" t="s">
        <v>8</v>
      </c>
      <c r="S15" s="1561">
        <f t="shared" si="0"/>
        <v>100</v>
      </c>
      <c r="T15" s="1560" t="s">
        <v>8</v>
      </c>
      <c r="U15" s="1561">
        <f t="shared" si="1"/>
        <v>100</v>
      </c>
      <c r="V15" s="1560" t="s">
        <v>8</v>
      </c>
      <c r="W15" s="1561">
        <f t="shared" si="2"/>
        <v>100</v>
      </c>
      <c r="X15" s="1554"/>
      <c r="Y15" s="351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515"/>
      <c r="Q16" s="1559"/>
      <c r="R16" s="1560"/>
      <c r="S16" s="1561"/>
      <c r="T16" s="1560"/>
      <c r="U16" s="1561"/>
      <c r="V16" s="1560"/>
      <c r="W16" s="1561"/>
      <c r="X16" s="1554"/>
      <c r="Y16" s="3515"/>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515"/>
      <c r="Q18" s="1559"/>
      <c r="R18" s="1560"/>
      <c r="S18" s="1561"/>
      <c r="T18" s="1560"/>
      <c r="U18" s="1561"/>
      <c r="V18" s="1560"/>
      <c r="W18" s="1561"/>
      <c r="X18" s="1554"/>
      <c r="Y18" s="3515"/>
      <c r="Z18" s="1562"/>
      <c r="AA18" s="1563">
        <v>1</v>
      </c>
      <c r="AB18" s="1563">
        <v>1</v>
      </c>
      <c r="AC18" s="1563">
        <v>1</v>
      </c>
    </row>
    <row r="19" spans="1:29" ht="42.75">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515"/>
      <c r="Q20" s="1559"/>
      <c r="R20" s="1560"/>
      <c r="S20" s="1561"/>
      <c r="T20" s="1560"/>
      <c r="U20" s="1561"/>
      <c r="V20" s="1560"/>
      <c r="W20" s="1561"/>
      <c r="X20" s="1554"/>
      <c r="Y20" s="3515"/>
      <c r="Z20" s="1562"/>
      <c r="AA20" s="1563">
        <v>1</v>
      </c>
      <c r="AB20" s="1563">
        <v>1</v>
      </c>
      <c r="AC20" s="1563">
        <v>1</v>
      </c>
    </row>
    <row r="21" spans="1:29" ht="42.75">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515"/>
      <c r="Q22" s="2542"/>
      <c r="R22" s="1560"/>
      <c r="S22" s="1561"/>
      <c r="T22" s="1560"/>
      <c r="U22" s="1561"/>
      <c r="V22" s="1560"/>
      <c r="W22" s="1561"/>
      <c r="X22" s="2544"/>
      <c r="Y22" s="3515"/>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515"/>
      <c r="Q23" s="1559" t="str">
        <f>B23</f>
        <v>环境质量</v>
      </c>
      <c r="R23" s="1560" t="s">
        <v>8</v>
      </c>
      <c r="S23" s="1561">
        <f>F23</f>
        <v>100</v>
      </c>
      <c r="T23" s="1560" t="s">
        <v>8</v>
      </c>
      <c r="U23" s="1561">
        <f>H23</f>
        <v>100</v>
      </c>
      <c r="V23" s="1560" t="s">
        <v>8</v>
      </c>
      <c r="W23" s="1561">
        <f>J23</f>
        <v>100</v>
      </c>
      <c r="X23" s="1554"/>
      <c r="Y23" s="351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515"/>
      <c r="Q24" s="1559"/>
      <c r="R24" s="1560"/>
      <c r="S24" s="1561"/>
      <c r="T24" s="1560"/>
      <c r="U24" s="1561"/>
      <c r="V24" s="1560"/>
      <c r="W24" s="1561"/>
      <c r="X24" s="1554"/>
      <c r="Y24" s="351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515"/>
      <c r="Q25" s="1559" t="str">
        <f>B25</f>
        <v>毗邻道路的类型与等级</v>
      </c>
      <c r="R25" s="1560" t="s">
        <v>8</v>
      </c>
      <c r="S25" s="1561">
        <f>F25</f>
        <v>100</v>
      </c>
      <c r="T25" s="1560" t="s">
        <v>8</v>
      </c>
      <c r="U25" s="1561">
        <f>H25</f>
        <v>100</v>
      </c>
      <c r="V25" s="1560" t="s">
        <v>8</v>
      </c>
      <c r="W25" s="1561">
        <f>J25</f>
        <v>100</v>
      </c>
      <c r="X25" s="1554"/>
      <c r="Y25" s="351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515"/>
      <c r="Q26" s="1559"/>
      <c r="R26" s="1560"/>
      <c r="S26" s="1561"/>
      <c r="T26" s="1560"/>
      <c r="U26" s="1561"/>
      <c r="V26" s="1560"/>
      <c r="W26" s="1561"/>
      <c r="X26" s="1554"/>
      <c r="Y26" s="351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515"/>
      <c r="Q27" s="1559" t="str">
        <f t="shared" ref="Q27:Q47" si="11">B27</f>
        <v>楼层</v>
      </c>
      <c r="R27" s="1560" t="s">
        <v>8</v>
      </c>
      <c r="S27" s="1561">
        <f>F27</f>
        <v>100</v>
      </c>
      <c r="T27" s="1560" t="s">
        <v>8</v>
      </c>
      <c r="U27" s="1561">
        <f>H27</f>
        <v>100</v>
      </c>
      <c r="V27" s="1560" t="s">
        <v>8</v>
      </c>
      <c r="W27" s="1561">
        <f>J27</f>
        <v>100</v>
      </c>
      <c r="X27" s="1554"/>
      <c r="Y27" s="351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515"/>
      <c r="Q28" s="1147" t="str">
        <f t="shared" si="11"/>
        <v>朝向</v>
      </c>
      <c r="R28" s="1555" t="s">
        <v>8</v>
      </c>
      <c r="S28" s="1556">
        <f>F28</f>
        <v>100</v>
      </c>
      <c r="T28" s="1555" t="s">
        <v>8</v>
      </c>
      <c r="U28" s="1556">
        <f>H28</f>
        <v>100</v>
      </c>
      <c r="V28" s="1555" t="s">
        <v>8</v>
      </c>
      <c r="W28" s="1556">
        <f>J28</f>
        <v>100</v>
      </c>
      <c r="X28" s="1557"/>
      <c r="Y28" s="351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515"/>
      <c r="Q29" s="1559">
        <f t="shared" si="11"/>
        <v>111</v>
      </c>
      <c r="R29" s="1560" t="s">
        <v>8</v>
      </c>
      <c r="S29" s="1561">
        <f t="shared" ref="S29:S47" si="12">F29</f>
        <v>100</v>
      </c>
      <c r="T29" s="1560" t="s">
        <v>8</v>
      </c>
      <c r="U29" s="1561">
        <f t="shared" ref="U29:U47" si="13">H29</f>
        <v>100</v>
      </c>
      <c r="V29" s="1560" t="s">
        <v>8</v>
      </c>
      <c r="W29" s="1561">
        <f t="shared" ref="W29:W47" si="14">J29</f>
        <v>100</v>
      </c>
      <c r="X29" s="1554"/>
      <c r="Y29" s="351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515"/>
      <c r="Q30" s="1559">
        <f t="shared" si="11"/>
        <v>111</v>
      </c>
      <c r="R30" s="1560" t="s">
        <v>8</v>
      </c>
      <c r="S30" s="1561">
        <f t="shared" si="12"/>
        <v>100</v>
      </c>
      <c r="T30" s="1560" t="s">
        <v>8</v>
      </c>
      <c r="U30" s="1561">
        <f t="shared" si="13"/>
        <v>100</v>
      </c>
      <c r="V30" s="1560" t="s">
        <v>8</v>
      </c>
      <c r="W30" s="1561">
        <f t="shared" si="14"/>
        <v>100</v>
      </c>
      <c r="X30" s="1554"/>
      <c r="Y30" s="351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515"/>
      <c r="Q31" s="1559">
        <f t="shared" si="11"/>
        <v>111</v>
      </c>
      <c r="R31" s="1560" t="s">
        <v>8</v>
      </c>
      <c r="S31" s="1561">
        <f t="shared" si="12"/>
        <v>100</v>
      </c>
      <c r="T31" s="1560" t="s">
        <v>8</v>
      </c>
      <c r="U31" s="1561">
        <f t="shared" si="13"/>
        <v>100</v>
      </c>
      <c r="V31" s="1560" t="s">
        <v>8</v>
      </c>
      <c r="W31" s="1561">
        <f t="shared" si="14"/>
        <v>100</v>
      </c>
      <c r="X31" s="1554"/>
      <c r="Y31" s="351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515"/>
      <c r="Q32" s="1559">
        <f t="shared" si="11"/>
        <v>111</v>
      </c>
      <c r="R32" s="1560" t="s">
        <v>8</v>
      </c>
      <c r="S32" s="1561">
        <f t="shared" si="12"/>
        <v>100</v>
      </c>
      <c r="T32" s="1560" t="s">
        <v>8</v>
      </c>
      <c r="U32" s="1561">
        <f t="shared" si="13"/>
        <v>100</v>
      </c>
      <c r="V32" s="1560" t="s">
        <v>8</v>
      </c>
      <c r="W32" s="1561">
        <f t="shared" si="14"/>
        <v>100</v>
      </c>
      <c r="X32" s="1554"/>
      <c r="Y32" s="3515"/>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516" t="s">
        <v>550</v>
      </c>
      <c r="Q33" s="1559" t="str">
        <f t="shared" si="11"/>
        <v>建筑类型</v>
      </c>
      <c r="R33" s="1560" t="s">
        <v>8</v>
      </c>
      <c r="S33" s="1561">
        <f t="shared" si="12"/>
        <v>100</v>
      </c>
      <c r="T33" s="1560" t="s">
        <v>8</v>
      </c>
      <c r="U33" s="1561">
        <f t="shared" si="13"/>
        <v>100</v>
      </c>
      <c r="V33" s="1560" t="s">
        <v>8</v>
      </c>
      <c r="W33" s="1561">
        <f t="shared" si="14"/>
        <v>100</v>
      </c>
      <c r="X33" s="1554"/>
      <c r="Y33" s="351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517"/>
      <c r="Q34" s="1591" t="str">
        <f t="shared" si="11"/>
        <v>项目建筑规模</v>
      </c>
      <c r="R34" s="1564" t="s">
        <v>8</v>
      </c>
      <c r="S34" s="1565" t="e">
        <f t="shared" si="12"/>
        <v>#N/A</v>
      </c>
      <c r="T34" s="1564" t="s">
        <v>8</v>
      </c>
      <c r="U34" s="1565" t="e">
        <f t="shared" si="13"/>
        <v>#N/A</v>
      </c>
      <c r="V34" s="1564" t="s">
        <v>8</v>
      </c>
      <c r="W34" s="1565" t="e">
        <f t="shared" si="14"/>
        <v>#N/A</v>
      </c>
      <c r="X34" s="1566"/>
      <c r="Y34" s="351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517"/>
      <c r="Q35" s="1559" t="str">
        <f t="shared" si="11"/>
        <v>建筑结构</v>
      </c>
      <c r="R35" s="1560" t="s">
        <v>8</v>
      </c>
      <c r="S35" s="1561">
        <f t="shared" si="12"/>
        <v>100</v>
      </c>
      <c r="T35" s="1560" t="s">
        <v>8</v>
      </c>
      <c r="U35" s="1561">
        <f t="shared" si="13"/>
        <v>100</v>
      </c>
      <c r="V35" s="1560" t="s">
        <v>8</v>
      </c>
      <c r="W35" s="1561">
        <f t="shared" si="14"/>
        <v>100</v>
      </c>
      <c r="X35" s="1554"/>
      <c r="Y35" s="351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517"/>
      <c r="Q36" s="1559" t="str">
        <f t="shared" si="11"/>
        <v>公共部分装修</v>
      </c>
      <c r="R36" s="1560" t="s">
        <v>8</v>
      </c>
      <c r="S36" s="1561">
        <f t="shared" si="12"/>
        <v>100</v>
      </c>
      <c r="T36" s="1560" t="s">
        <v>8</v>
      </c>
      <c r="U36" s="1561">
        <f t="shared" si="13"/>
        <v>100</v>
      </c>
      <c r="V36" s="1560" t="s">
        <v>8</v>
      </c>
      <c r="W36" s="1561">
        <f t="shared" si="14"/>
        <v>100</v>
      </c>
      <c r="X36" s="1554"/>
      <c r="Y36" s="351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517"/>
      <c r="Q37" s="1559" t="str">
        <f t="shared" si="11"/>
        <v>成新度</v>
      </c>
      <c r="R37" s="1560" t="s">
        <v>8</v>
      </c>
      <c r="S37" s="1561" t="e">
        <f t="shared" si="12"/>
        <v>#N/A</v>
      </c>
      <c r="T37" s="1560" t="s">
        <v>8</v>
      </c>
      <c r="U37" s="1561" t="e">
        <f t="shared" si="13"/>
        <v>#N/A</v>
      </c>
      <c r="V37" s="1560" t="s">
        <v>8</v>
      </c>
      <c r="W37" s="1561" t="e">
        <f t="shared" si="14"/>
        <v>#N/A</v>
      </c>
      <c r="X37" s="1554"/>
      <c r="Y37" s="351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517"/>
      <c r="Q38" s="1147" t="str">
        <f t="shared" si="11"/>
        <v>写字楼等级</v>
      </c>
      <c r="R38" s="1555" t="s">
        <v>8</v>
      </c>
      <c r="S38" s="1556">
        <f t="shared" si="12"/>
        <v>100</v>
      </c>
      <c r="T38" s="1555" t="s">
        <v>8</v>
      </c>
      <c r="U38" s="1556">
        <f t="shared" si="13"/>
        <v>100</v>
      </c>
      <c r="V38" s="1555" t="s">
        <v>8</v>
      </c>
      <c r="W38" s="1556">
        <f t="shared" si="14"/>
        <v>100</v>
      </c>
      <c r="X38" s="1557"/>
      <c r="Y38" s="351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517" t="s">
        <v>550</v>
      </c>
      <c r="Q39" s="1559" t="str">
        <f t="shared" si="11"/>
        <v>物业管理</v>
      </c>
      <c r="R39" s="1560" t="s">
        <v>8</v>
      </c>
      <c r="S39" s="1561">
        <f t="shared" si="12"/>
        <v>100</v>
      </c>
      <c r="T39" s="1560" t="s">
        <v>8</v>
      </c>
      <c r="U39" s="1561">
        <f t="shared" si="13"/>
        <v>100</v>
      </c>
      <c r="V39" s="1560" t="s">
        <v>8</v>
      </c>
      <c r="W39" s="1561">
        <f t="shared" si="14"/>
        <v>100</v>
      </c>
      <c r="X39" s="1554"/>
      <c r="Y39" s="3517"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517"/>
      <c r="Q40" s="1559" t="str">
        <f t="shared" si="11"/>
        <v>市政基础设施</v>
      </c>
      <c r="R40" s="1560" t="s">
        <v>8</v>
      </c>
      <c r="S40" s="1561">
        <f t="shared" si="12"/>
        <v>100</v>
      </c>
      <c r="T40" s="1560" t="s">
        <v>8</v>
      </c>
      <c r="U40" s="1561">
        <f t="shared" si="13"/>
        <v>100</v>
      </c>
      <c r="V40" s="1560" t="s">
        <v>8</v>
      </c>
      <c r="W40" s="1561">
        <f t="shared" si="14"/>
        <v>100</v>
      </c>
      <c r="X40" s="1554"/>
      <c r="Y40" s="351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517"/>
      <c r="Q41" s="1559" t="str">
        <f t="shared" si="11"/>
        <v>层高</v>
      </c>
      <c r="R41" s="1560" t="s">
        <v>8</v>
      </c>
      <c r="S41" s="1561">
        <f t="shared" si="12"/>
        <v>100</v>
      </c>
      <c r="T41" s="1560" t="s">
        <v>8</v>
      </c>
      <c r="U41" s="1561">
        <f t="shared" si="13"/>
        <v>100</v>
      </c>
      <c r="V41" s="1560" t="s">
        <v>8</v>
      </c>
      <c r="W41" s="1561">
        <f t="shared" si="14"/>
        <v>100</v>
      </c>
      <c r="X41" s="1554"/>
      <c r="Y41" s="351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517"/>
      <c r="Q42" s="1591" t="str">
        <f t="shared" si="11"/>
        <v>单套建筑面积</v>
      </c>
      <c r="R42" s="1564" t="s">
        <v>8</v>
      </c>
      <c r="S42" s="1565">
        <f t="shared" si="12"/>
        <v>100</v>
      </c>
      <c r="T42" s="1564" t="s">
        <v>8</v>
      </c>
      <c r="U42" s="1565">
        <f t="shared" si="13"/>
        <v>100</v>
      </c>
      <c r="V42" s="1564" t="s">
        <v>8</v>
      </c>
      <c r="W42" s="1565">
        <f t="shared" si="14"/>
        <v>100</v>
      </c>
      <c r="X42" s="1566"/>
      <c r="Y42" s="351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517"/>
      <c r="Q43" s="1559" t="str">
        <f t="shared" si="11"/>
        <v>内部装修</v>
      </c>
      <c r="R43" s="1560" t="s">
        <v>8</v>
      </c>
      <c r="S43" s="1561">
        <f t="shared" si="12"/>
        <v>100</v>
      </c>
      <c r="T43" s="1560" t="s">
        <v>8</v>
      </c>
      <c r="U43" s="1561">
        <f t="shared" si="13"/>
        <v>100</v>
      </c>
      <c r="V43" s="1560" t="s">
        <v>8</v>
      </c>
      <c r="W43" s="1561">
        <f t="shared" si="14"/>
        <v>100</v>
      </c>
      <c r="X43" s="1554"/>
      <c r="Y43" s="351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517"/>
      <c r="Q44" s="1559" t="str">
        <f t="shared" si="11"/>
        <v>内部装修维护情况</v>
      </c>
      <c r="R44" s="1560" t="s">
        <v>8</v>
      </c>
      <c r="S44" s="1561">
        <f t="shared" si="12"/>
        <v>100</v>
      </c>
      <c r="T44" s="1560" t="s">
        <v>8</v>
      </c>
      <c r="U44" s="1561">
        <f t="shared" si="13"/>
        <v>100</v>
      </c>
      <c r="V44" s="1560" t="s">
        <v>8</v>
      </c>
      <c r="W44" s="1561">
        <f t="shared" si="14"/>
        <v>100</v>
      </c>
      <c r="X44" s="1554"/>
      <c r="Y44" s="351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517"/>
      <c r="Q45" s="1147">
        <f t="shared" si="11"/>
        <v>111</v>
      </c>
      <c r="R45" s="1555" t="s">
        <v>8</v>
      </c>
      <c r="S45" s="1556">
        <f t="shared" si="12"/>
        <v>100</v>
      </c>
      <c r="T45" s="1555" t="s">
        <v>8</v>
      </c>
      <c r="U45" s="1556">
        <f t="shared" si="13"/>
        <v>100</v>
      </c>
      <c r="V45" s="1555" t="s">
        <v>8</v>
      </c>
      <c r="W45" s="1556">
        <f t="shared" si="14"/>
        <v>100</v>
      </c>
      <c r="X45" s="1557"/>
      <c r="Y45" s="351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5"/>
      <c r="Q47" s="1559">
        <f t="shared" si="11"/>
        <v>111</v>
      </c>
      <c r="R47" s="1560" t="s">
        <v>8</v>
      </c>
      <c r="S47" s="1561">
        <f t="shared" si="12"/>
        <v>100</v>
      </c>
      <c r="T47" s="1560" t="s">
        <v>8</v>
      </c>
      <c r="U47" s="1561">
        <f t="shared" si="13"/>
        <v>100</v>
      </c>
      <c r="V47" s="1560" t="s">
        <v>8</v>
      </c>
      <c r="W47" s="1561">
        <f t="shared" si="14"/>
        <v>100</v>
      </c>
      <c r="X47" s="1554"/>
      <c r="Y47" s="3575"/>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478" t="str">
        <f>A48</f>
        <v>成交单价（元/平方米）</v>
      </c>
      <c r="Q48" s="3480"/>
      <c r="R48" s="3574">
        <f>E48</f>
        <v>0</v>
      </c>
      <c r="S48" s="3574"/>
      <c r="T48" s="3574">
        <f>G48</f>
        <v>0</v>
      </c>
      <c r="U48" s="3574"/>
      <c r="V48" s="3574">
        <f>I48</f>
        <v>0</v>
      </c>
      <c r="W48" s="3574"/>
      <c r="X48" s="1546"/>
      <c r="Y48" s="1568"/>
      <c r="Z48" s="1546"/>
      <c r="AA48" s="1546"/>
      <c r="AB48" s="1546"/>
      <c r="AC48" s="1546"/>
    </row>
    <row r="49" spans="1:29" ht="15.7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78" t="str">
        <f>A49</f>
        <v>比较价格（元/平方米）</v>
      </c>
      <c r="Q49" s="3480"/>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546"/>
      <c r="Y49" s="1546"/>
      <c r="Z49" s="1546"/>
      <c r="AA49" s="1546"/>
      <c r="AB49" s="1546"/>
      <c r="AC49" s="1546"/>
    </row>
    <row r="50" spans="1:29" ht="15.75" thickBot="1">
      <c r="A50" s="621" t="s">
        <v>2925</v>
      </c>
      <c r="B50" s="622"/>
      <c r="C50" s="2599" t="e">
        <f>R50</f>
        <v>#DIV/0!</v>
      </c>
      <c r="D50" s="2599"/>
      <c r="E50" s="2599"/>
      <c r="F50" s="2599"/>
      <c r="G50" s="2599"/>
      <c r="H50" s="2599"/>
      <c r="I50" s="2599"/>
      <c r="J50" s="2599"/>
      <c r="K50" s="1599"/>
      <c r="L50" s="2128"/>
      <c r="M50" s="2118"/>
      <c r="N50" s="2118"/>
      <c r="O50" s="2118"/>
      <c r="P50" s="3601" t="str">
        <f>A50</f>
        <v>估价对象XX用房的比较价格（楼面单价，元/平方米）</v>
      </c>
      <c r="Q50" s="3478"/>
      <c r="R50" s="3573" t="e">
        <f>IF(F1="售价",ROUND(AVERAGE(R49:V49),0),ROUND(AVERAGE(R49:V49),1))</f>
        <v>#DIV/0!</v>
      </c>
      <c r="S50" s="3573"/>
      <c r="T50" s="3573"/>
      <c r="U50" s="3573"/>
      <c r="V50" s="3573"/>
      <c r="W50" s="3573"/>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86" t="s">
        <v>522</v>
      </c>
      <c r="D4" s="3487"/>
      <c r="E4" s="3520" t="s">
        <v>523</v>
      </c>
      <c r="F4" s="3521"/>
      <c r="G4" s="3486" t="s">
        <v>524</v>
      </c>
      <c r="H4" s="3487"/>
      <c r="I4" s="3486" t="s">
        <v>525</v>
      </c>
      <c r="J4" s="3487"/>
      <c r="K4" s="514"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4"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511"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40" si="3">D8/F8</f>
        <v>#DIV/0!</v>
      </c>
      <c r="AB8" s="1558" t="e">
        <f t="shared" ref="AB8:AB40" si="4">D8/H8</f>
        <v>#DIV/0!</v>
      </c>
      <c r="AC8" s="1558"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514" t="s">
        <v>540</v>
      </c>
      <c r="Q15" s="1559" t="str">
        <f t="shared" si="6"/>
        <v>产业集聚程度</v>
      </c>
      <c r="R15" s="1560" t="s">
        <v>8</v>
      </c>
      <c r="S15" s="1561">
        <f t="shared" si="0"/>
        <v>100</v>
      </c>
      <c r="T15" s="1560" t="s">
        <v>8</v>
      </c>
      <c r="U15" s="1561">
        <f t="shared" si="1"/>
        <v>100</v>
      </c>
      <c r="V15" s="1560" t="s">
        <v>8</v>
      </c>
      <c r="W15" s="1561">
        <f t="shared" si="2"/>
        <v>100</v>
      </c>
      <c r="X15" s="1554"/>
      <c r="Y15" s="351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5"/>
      <c r="Q16" s="1559"/>
      <c r="R16" s="1560"/>
      <c r="S16" s="1561"/>
      <c r="T16" s="1560"/>
      <c r="U16" s="1561"/>
      <c r="V16" s="1560"/>
      <c r="W16" s="1561"/>
      <c r="X16" s="1554"/>
      <c r="Y16" s="351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515"/>
      <c r="Q20" s="1559"/>
      <c r="R20" s="1560"/>
      <c r="S20" s="1561"/>
      <c r="T20" s="1560"/>
      <c r="U20" s="1561"/>
      <c r="V20" s="1560"/>
      <c r="W20" s="1561"/>
      <c r="X20" s="1554"/>
      <c r="Y20" s="3515"/>
      <c r="Z20" s="1562"/>
      <c r="AA20" s="1563">
        <v>1</v>
      </c>
      <c r="AB20" s="1563">
        <v>1</v>
      </c>
      <c r="AC20" s="1563">
        <v>1</v>
      </c>
    </row>
    <row r="21" spans="1:29" ht="28.5">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515"/>
      <c r="Q22" s="2542"/>
      <c r="R22" s="1560"/>
      <c r="S22" s="1561"/>
      <c r="T22" s="1560"/>
      <c r="U22" s="1561"/>
      <c r="V22" s="1560"/>
      <c r="W22" s="1561"/>
      <c r="X22" s="2544"/>
      <c r="Y22" s="3515"/>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515"/>
      <c r="Q23" s="1559" t="str">
        <f>B23</f>
        <v>环境质量</v>
      </c>
      <c r="R23" s="1560" t="s">
        <v>8</v>
      </c>
      <c r="S23" s="1561">
        <f>F23</f>
        <v>100</v>
      </c>
      <c r="T23" s="1560" t="s">
        <v>8</v>
      </c>
      <c r="U23" s="1561">
        <f>H23</f>
        <v>100</v>
      </c>
      <c r="V23" s="1560" t="s">
        <v>8</v>
      </c>
      <c r="W23" s="1561">
        <f>J23</f>
        <v>100</v>
      </c>
      <c r="X23" s="1554"/>
      <c r="Y23" s="351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515"/>
      <c r="Q25" s="1559">
        <f>B25</f>
        <v>111</v>
      </c>
      <c r="R25" s="1560" t="s">
        <v>8</v>
      </c>
      <c r="S25" s="1561">
        <f>F25</f>
        <v>100</v>
      </c>
      <c r="T25" s="1560" t="s">
        <v>8</v>
      </c>
      <c r="U25" s="1561">
        <f>H25</f>
        <v>100</v>
      </c>
      <c r="V25" s="1560" t="s">
        <v>8</v>
      </c>
      <c r="W25" s="1561">
        <f>J25</f>
        <v>100</v>
      </c>
      <c r="X25" s="1554"/>
      <c r="Y25" s="351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515"/>
      <c r="Q26" s="1559">
        <f t="shared" ref="Q26:Q40" si="11">B26</f>
        <v>111</v>
      </c>
      <c r="R26" s="1560" t="s">
        <v>8</v>
      </c>
      <c r="S26" s="1561">
        <f>F26</f>
        <v>100</v>
      </c>
      <c r="T26" s="1560" t="s">
        <v>8</v>
      </c>
      <c r="U26" s="1561">
        <f>H26</f>
        <v>100</v>
      </c>
      <c r="V26" s="1560" t="s">
        <v>8</v>
      </c>
      <c r="W26" s="1561">
        <f>J26</f>
        <v>100</v>
      </c>
      <c r="X26" s="1554"/>
      <c r="Y26" s="351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515"/>
      <c r="Q27" s="1147">
        <f t="shared" si="11"/>
        <v>111</v>
      </c>
      <c r="R27" s="1555" t="s">
        <v>8</v>
      </c>
      <c r="S27" s="1556">
        <f>F27</f>
        <v>100</v>
      </c>
      <c r="T27" s="1555" t="s">
        <v>8</v>
      </c>
      <c r="U27" s="1556">
        <f>H27</f>
        <v>100</v>
      </c>
      <c r="V27" s="1555" t="s">
        <v>8</v>
      </c>
      <c r="W27" s="1556">
        <f>J27</f>
        <v>100</v>
      </c>
      <c r="X27" s="1557"/>
      <c r="Y27" s="351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515"/>
      <c r="Q28" s="1559">
        <f t="shared" si="11"/>
        <v>111</v>
      </c>
      <c r="R28" s="1560" t="s">
        <v>8</v>
      </c>
      <c r="S28" s="1561">
        <f t="shared" ref="S28:S40" si="12">F28</f>
        <v>100</v>
      </c>
      <c r="T28" s="1560" t="s">
        <v>8</v>
      </c>
      <c r="U28" s="1561">
        <f t="shared" ref="U28:U40" si="13">H28</f>
        <v>100</v>
      </c>
      <c r="V28" s="1560" t="s">
        <v>8</v>
      </c>
      <c r="W28" s="1561">
        <f t="shared" ref="W28:W40" si="14">J28</f>
        <v>100</v>
      </c>
      <c r="X28" s="1554"/>
      <c r="Y28" s="3515"/>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516" t="s">
        <v>550</v>
      </c>
      <c r="Q29" s="1559" t="str">
        <f t="shared" si="11"/>
        <v>建筑类型</v>
      </c>
      <c r="R29" s="1560" t="s">
        <v>8</v>
      </c>
      <c r="S29" s="1561">
        <f t="shared" si="12"/>
        <v>100</v>
      </c>
      <c r="T29" s="1560" t="s">
        <v>8</v>
      </c>
      <c r="U29" s="1561">
        <f t="shared" si="13"/>
        <v>100</v>
      </c>
      <c r="V29" s="1560" t="s">
        <v>8</v>
      </c>
      <c r="W29" s="1561">
        <f t="shared" si="14"/>
        <v>100</v>
      </c>
      <c r="X29" s="1554"/>
      <c r="Y29" s="351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517"/>
      <c r="Q30" s="1591" t="str">
        <f t="shared" si="11"/>
        <v>项目建筑规模</v>
      </c>
      <c r="R30" s="1564" t="s">
        <v>8</v>
      </c>
      <c r="S30" s="1565" t="e">
        <f t="shared" si="12"/>
        <v>#N/A</v>
      </c>
      <c r="T30" s="1564" t="s">
        <v>8</v>
      </c>
      <c r="U30" s="1565" t="e">
        <f t="shared" si="13"/>
        <v>#N/A</v>
      </c>
      <c r="V30" s="1564" t="s">
        <v>8</v>
      </c>
      <c r="W30" s="1565" t="e">
        <f t="shared" si="14"/>
        <v>#N/A</v>
      </c>
      <c r="X30" s="1566"/>
      <c r="Y30" s="351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517"/>
      <c r="Q31" s="1559" t="str">
        <f t="shared" si="11"/>
        <v>建筑结构</v>
      </c>
      <c r="R31" s="1560" t="s">
        <v>8</v>
      </c>
      <c r="S31" s="1561">
        <f t="shared" si="12"/>
        <v>100</v>
      </c>
      <c r="T31" s="1560" t="s">
        <v>8</v>
      </c>
      <c r="U31" s="1561">
        <f t="shared" si="13"/>
        <v>100</v>
      </c>
      <c r="V31" s="1560" t="s">
        <v>8</v>
      </c>
      <c r="W31" s="1561">
        <f t="shared" si="14"/>
        <v>100</v>
      </c>
      <c r="X31" s="1554"/>
      <c r="Y31" s="351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517"/>
      <c r="Q32" s="1559" t="str">
        <f t="shared" si="11"/>
        <v>公共部分装修</v>
      </c>
      <c r="R32" s="1560" t="s">
        <v>8</v>
      </c>
      <c r="S32" s="1561">
        <f t="shared" si="12"/>
        <v>100</v>
      </c>
      <c r="T32" s="1560" t="s">
        <v>8</v>
      </c>
      <c r="U32" s="1561">
        <f t="shared" si="13"/>
        <v>100</v>
      </c>
      <c r="V32" s="1560" t="s">
        <v>8</v>
      </c>
      <c r="W32" s="1561">
        <f t="shared" si="14"/>
        <v>100</v>
      </c>
      <c r="X32" s="1554"/>
      <c r="Y32" s="351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517"/>
      <c r="Q33" s="1559" t="str">
        <f t="shared" si="11"/>
        <v>成新度</v>
      </c>
      <c r="R33" s="1560" t="s">
        <v>8</v>
      </c>
      <c r="S33" s="1561" t="e">
        <f t="shared" si="12"/>
        <v>#N/A</v>
      </c>
      <c r="T33" s="1560" t="s">
        <v>8</v>
      </c>
      <c r="U33" s="1561" t="e">
        <f t="shared" si="13"/>
        <v>#N/A</v>
      </c>
      <c r="V33" s="1560" t="s">
        <v>8</v>
      </c>
      <c r="W33" s="1561" t="e">
        <f t="shared" si="14"/>
        <v>#N/A</v>
      </c>
      <c r="X33" s="1554"/>
      <c r="Y33" s="351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517"/>
      <c r="Q34" s="1147" t="str">
        <f t="shared" si="11"/>
        <v>物业管理</v>
      </c>
      <c r="R34" s="1555" t="s">
        <v>8</v>
      </c>
      <c r="S34" s="1556">
        <f t="shared" si="12"/>
        <v>100</v>
      </c>
      <c r="T34" s="1555" t="s">
        <v>8</v>
      </c>
      <c r="U34" s="1556">
        <f t="shared" si="13"/>
        <v>100</v>
      </c>
      <c r="V34" s="1555" t="s">
        <v>8</v>
      </c>
      <c r="W34" s="1556">
        <f t="shared" si="14"/>
        <v>100</v>
      </c>
      <c r="X34" s="1557"/>
      <c r="Y34" s="3517"/>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517" t="s">
        <v>550</v>
      </c>
      <c r="Q35" s="1559" t="str">
        <f t="shared" si="11"/>
        <v>市政基础设施</v>
      </c>
      <c r="R35" s="1560" t="s">
        <v>8</v>
      </c>
      <c r="S35" s="1561">
        <f t="shared" si="12"/>
        <v>100</v>
      </c>
      <c r="T35" s="1560" t="s">
        <v>8</v>
      </c>
      <c r="U35" s="1561">
        <f t="shared" si="13"/>
        <v>100</v>
      </c>
      <c r="V35" s="1560" t="s">
        <v>8</v>
      </c>
      <c r="W35" s="1561">
        <f t="shared" si="14"/>
        <v>100</v>
      </c>
      <c r="X35" s="1554"/>
      <c r="Y35" s="351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517"/>
      <c r="Q36" s="1559" t="str">
        <f t="shared" si="11"/>
        <v>内部装修</v>
      </c>
      <c r="R36" s="1560" t="s">
        <v>8</v>
      </c>
      <c r="S36" s="1561">
        <f t="shared" si="12"/>
        <v>100</v>
      </c>
      <c r="T36" s="1560" t="s">
        <v>8</v>
      </c>
      <c r="U36" s="1561">
        <f t="shared" si="13"/>
        <v>100</v>
      </c>
      <c r="V36" s="1560" t="s">
        <v>8</v>
      </c>
      <c r="W36" s="1561">
        <f t="shared" si="14"/>
        <v>100</v>
      </c>
      <c r="X36" s="1554"/>
      <c r="Y36" s="351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517"/>
      <c r="Q37" s="1559" t="str">
        <f t="shared" si="11"/>
        <v>内部装修状况</v>
      </c>
      <c r="R37" s="1560" t="s">
        <v>8</v>
      </c>
      <c r="S37" s="1561">
        <f t="shared" si="12"/>
        <v>100</v>
      </c>
      <c r="T37" s="1560" t="s">
        <v>8</v>
      </c>
      <c r="U37" s="1561">
        <f t="shared" si="13"/>
        <v>100</v>
      </c>
      <c r="V37" s="1560" t="s">
        <v>8</v>
      </c>
      <c r="W37" s="1561">
        <f t="shared" si="14"/>
        <v>100</v>
      </c>
      <c r="X37" s="1554"/>
      <c r="Y37" s="351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517"/>
      <c r="Q38" s="1591">
        <f t="shared" si="11"/>
        <v>111</v>
      </c>
      <c r="R38" s="1564" t="s">
        <v>8</v>
      </c>
      <c r="S38" s="1565">
        <f t="shared" si="12"/>
        <v>100</v>
      </c>
      <c r="T38" s="1564" t="s">
        <v>8</v>
      </c>
      <c r="U38" s="1565">
        <f t="shared" si="13"/>
        <v>100</v>
      </c>
      <c r="V38" s="1564" t="s">
        <v>8</v>
      </c>
      <c r="W38" s="1565">
        <f t="shared" si="14"/>
        <v>100</v>
      </c>
      <c r="X38" s="1566"/>
      <c r="Y38" s="351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517"/>
      <c r="Q39" s="1559">
        <f t="shared" si="11"/>
        <v>111</v>
      </c>
      <c r="R39" s="1560" t="s">
        <v>8</v>
      </c>
      <c r="S39" s="1561">
        <f t="shared" si="12"/>
        <v>100</v>
      </c>
      <c r="T39" s="1560" t="s">
        <v>8</v>
      </c>
      <c r="U39" s="1561">
        <f t="shared" si="13"/>
        <v>100</v>
      </c>
      <c r="V39" s="1560" t="s">
        <v>8</v>
      </c>
      <c r="W39" s="1561">
        <f t="shared" si="14"/>
        <v>100</v>
      </c>
      <c r="X39" s="1554"/>
      <c r="Y39" s="351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5"/>
      <c r="Q40" s="1559">
        <f t="shared" si="11"/>
        <v>111</v>
      </c>
      <c r="R40" s="1560" t="s">
        <v>8</v>
      </c>
      <c r="S40" s="1561">
        <f t="shared" si="12"/>
        <v>100</v>
      </c>
      <c r="T40" s="1560" t="s">
        <v>8</v>
      </c>
      <c r="U40" s="1561">
        <f t="shared" si="13"/>
        <v>100</v>
      </c>
      <c r="V40" s="1560" t="s">
        <v>8</v>
      </c>
      <c r="W40" s="1561">
        <f t="shared" si="14"/>
        <v>100</v>
      </c>
      <c r="X40" s="1554"/>
      <c r="Y40" s="3575"/>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80" t="str">
        <f>A41</f>
        <v>成交单价（元/平方米）</v>
      </c>
      <c r="Q41" s="3480"/>
      <c r="R41" s="3574">
        <f>E41</f>
        <v>0</v>
      </c>
      <c r="S41" s="3574"/>
      <c r="T41" s="3574">
        <f>G41</f>
        <v>0</v>
      </c>
      <c r="U41" s="3574"/>
      <c r="V41" s="3574">
        <f>I41</f>
        <v>0</v>
      </c>
      <c r="W41" s="3574"/>
      <c r="X41" s="1546"/>
      <c r="Y41" s="1568"/>
      <c r="Z41" s="1546"/>
      <c r="AA41" s="1546"/>
      <c r="AB41" s="1546"/>
      <c r="AC41" s="1546"/>
    </row>
    <row r="42" spans="1:29" ht="15.7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80" t="str">
        <f>A42</f>
        <v>比较价格（元/平方米）</v>
      </c>
      <c r="Q42" s="3480"/>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546"/>
      <c r="Y42" s="1546"/>
      <c r="Z42" s="1546"/>
      <c r="AA42" s="1546"/>
      <c r="AB42" s="1546"/>
      <c r="AC42" s="1546"/>
    </row>
    <row r="43" spans="1:29" ht="15.75" thickBot="1">
      <c r="A43" s="621" t="s">
        <v>2925</v>
      </c>
      <c r="B43" s="622"/>
      <c r="C43" s="2599" t="e">
        <f>R43</f>
        <v>#DIV/0!</v>
      </c>
      <c r="D43" s="2599"/>
      <c r="E43" s="2599"/>
      <c r="F43" s="2599"/>
      <c r="G43" s="2599"/>
      <c r="H43" s="2599"/>
      <c r="I43" s="2599"/>
      <c r="J43" s="2599"/>
      <c r="K43" s="1599"/>
      <c r="L43" s="2128"/>
      <c r="M43" s="2129"/>
      <c r="N43" s="2129"/>
      <c r="O43" s="2129"/>
      <c r="P43" s="3477" t="str">
        <f>A43</f>
        <v>估价对象XX用房的比较价格（楼面单价，元/平方米）</v>
      </c>
      <c r="Q43" s="3478"/>
      <c r="R43" s="3573" t="e">
        <f>IF(F1="售价",ROUND(AVERAGE(R42:V42),0),ROUND(AVERAGE(R42:V42),1))</f>
        <v>#DIV/0!</v>
      </c>
      <c r="S43" s="3573"/>
      <c r="T43" s="3573"/>
      <c r="U43" s="3573"/>
      <c r="V43" s="3573"/>
      <c r="W43" s="3573"/>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4" sqref="E4:F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1" t="s">
        <v>3164</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21516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4596</v>
      </c>
      <c r="C3" s="852" t="s">
        <v>796</v>
      </c>
      <c r="D3" s="851">
        <f>SUMIF('数据-汇总表'!$C19:$C33,D1,'数据-汇总表'!$E19:$E33)</f>
        <v>46810.61</v>
      </c>
      <c r="E3" s="1832" t="s">
        <v>2073</v>
      </c>
      <c r="F3" s="851">
        <f>SUMIF('数据-取费表'!A5:A15,D1,'数据-取费表'!AH5:AH15)</f>
        <v>1377</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6" t="s">
        <v>798</v>
      </c>
      <c r="D4" s="3487"/>
      <c r="E4" s="3486" t="s">
        <v>799</v>
      </c>
      <c r="F4" s="3487"/>
      <c r="G4" s="3486" t="s">
        <v>800</v>
      </c>
      <c r="H4" s="3487"/>
      <c r="I4" s="3486" t="s">
        <v>801</v>
      </c>
      <c r="J4" s="3487"/>
      <c r="K4" s="514" t="s">
        <v>802</v>
      </c>
      <c r="L4" s="2117"/>
      <c r="M4" s="2118"/>
      <c r="N4" s="2118"/>
      <c r="O4" s="2118"/>
      <c r="P4" s="3488" t="s">
        <v>803</v>
      </c>
      <c r="Q4" s="3489"/>
      <c r="R4" s="3494" t="s">
        <v>799</v>
      </c>
      <c r="S4" s="3495"/>
      <c r="T4" s="3494" t="s">
        <v>800</v>
      </c>
      <c r="U4" s="3495"/>
      <c r="V4" s="3481" t="s">
        <v>801</v>
      </c>
      <c r="W4" s="3481"/>
      <c r="X4" s="1554"/>
      <c r="Y4" s="3494" t="s">
        <v>803</v>
      </c>
      <c r="Z4" s="3495"/>
      <c r="AA4" s="3483" t="s">
        <v>799</v>
      </c>
      <c r="AB4" s="3484" t="s">
        <v>800</v>
      </c>
      <c r="AC4" s="3483" t="s">
        <v>801</v>
      </c>
    </row>
    <row r="5" spans="1:29" ht="15">
      <c r="A5" s="515"/>
      <c r="B5" s="516"/>
      <c r="C5" s="3502" t="s">
        <v>2919</v>
      </c>
      <c r="D5" s="3503"/>
      <c r="E5" s="3502" t="s">
        <v>2920</v>
      </c>
      <c r="F5" s="350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04" t="s">
        <v>2923</v>
      </c>
      <c r="F6" s="3505"/>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f>C7</f>
        <v>43650</v>
      </c>
      <c r="F7" s="522">
        <f>SUMIF(48:48,YEAR(E7)&amp;"-"&amp;MONTH(E7),49:49)</f>
        <v>100</v>
      </c>
      <c r="G7" s="523">
        <f>C7</f>
        <v>43650</v>
      </c>
      <c r="H7" s="520">
        <f>SUMIF(48:48,YEAR(G7)&amp;"-"&amp;MONTH(G7),49:49)</f>
        <v>100</v>
      </c>
      <c r="I7" s="523">
        <f>C7</f>
        <v>43650</v>
      </c>
      <c r="J7" s="520">
        <f>SUMIF(48:48,YEAR(I7)&amp;"-"&amp;MONTH(I7),49:49)</f>
        <v>100</v>
      </c>
      <c r="K7" s="524"/>
      <c r="L7" s="2119"/>
      <c r="M7" s="2120"/>
      <c r="N7" s="2120"/>
      <c r="O7" s="2120"/>
      <c r="P7" s="3511" t="s">
        <v>530</v>
      </c>
      <c r="Q7" s="3513"/>
      <c r="R7" s="1555" t="s">
        <v>8</v>
      </c>
      <c r="S7" s="1556">
        <f t="shared" ref="S7:S14" si="0">F7</f>
        <v>100</v>
      </c>
      <c r="T7" s="1555" t="s">
        <v>8</v>
      </c>
      <c r="U7" s="1556">
        <f t="shared" ref="U7:U14" si="1">H7</f>
        <v>100</v>
      </c>
      <c r="V7" s="1555" t="s">
        <v>8</v>
      </c>
      <c r="W7" s="1556">
        <f t="shared" ref="W7:W14" si="2">J7</f>
        <v>100</v>
      </c>
      <c r="X7" s="1557"/>
      <c r="Y7" s="3511" t="s">
        <v>530</v>
      </c>
      <c r="Z7" s="3512"/>
      <c r="AA7" s="1558">
        <f>D7/F7</f>
        <v>1</v>
      </c>
      <c r="AB7" s="1558">
        <f>D7/H7</f>
        <v>1</v>
      </c>
      <c r="AC7" s="1558">
        <f>D7/J7</f>
        <v>1</v>
      </c>
    </row>
    <row r="8" spans="1:29" s="1216" customFormat="1" ht="15.75" thickBot="1">
      <c r="A8" s="2867"/>
      <c r="B8" s="2874" t="s">
        <v>531</v>
      </c>
      <c r="C8" s="525" t="s">
        <v>576</v>
      </c>
      <c r="D8" s="520">
        <v>100</v>
      </c>
      <c r="E8" s="525" t="s">
        <v>3060</v>
      </c>
      <c r="F8" s="522">
        <f>SUMIF(51:51,E8,52:52)-SUMIF(51:51,C8,52:52)+100</f>
        <v>100</v>
      </c>
      <c r="G8" s="525" t="s">
        <v>3060</v>
      </c>
      <c r="H8" s="520">
        <f>SUMIF(51:51,G8,52:52)-SUMIF(51:51,C8,52:52)+100</f>
        <v>100</v>
      </c>
      <c r="I8" s="525" t="s">
        <v>3060</v>
      </c>
      <c r="J8" s="520">
        <f>SUMIF(51:51,I8,52:52)-SUMIF(51:51,C8,52:52)+100</f>
        <v>100</v>
      </c>
      <c r="K8" s="524"/>
      <c r="L8" s="2119"/>
      <c r="M8" s="2120"/>
      <c r="N8" s="2120"/>
      <c r="O8" s="2120"/>
      <c r="P8" s="3511" t="s">
        <v>533</v>
      </c>
      <c r="Q8" s="3512"/>
      <c r="R8" s="1555" t="s">
        <v>8</v>
      </c>
      <c r="S8" s="1556">
        <f t="shared" si="0"/>
        <v>100</v>
      </c>
      <c r="T8" s="1555" t="s">
        <v>8</v>
      </c>
      <c r="U8" s="1556">
        <f t="shared" si="1"/>
        <v>100</v>
      </c>
      <c r="V8" s="1555" t="s">
        <v>8</v>
      </c>
      <c r="W8" s="1556">
        <f t="shared" si="2"/>
        <v>100</v>
      </c>
      <c r="X8" s="1557"/>
      <c r="Y8" s="3511" t="s">
        <v>533</v>
      </c>
      <c r="Z8" s="3512"/>
      <c r="AA8" s="1558">
        <f t="shared" ref="AA8:AA36" si="3">D8/F8</f>
        <v>1</v>
      </c>
      <c r="AB8" s="1558">
        <f t="shared" ref="AB8:AB36" si="4">D8/H8</f>
        <v>1</v>
      </c>
      <c r="AC8" s="1558">
        <f t="shared" ref="AC8:AC36" si="5">D8/J8</f>
        <v>1</v>
      </c>
    </row>
    <row r="9" spans="1:29" s="1216" customFormat="1" ht="15">
      <c r="A9" s="2868"/>
      <c r="B9" s="2875" t="s">
        <v>2752</v>
      </c>
      <c r="C9" s="3194" t="s">
        <v>3460</v>
      </c>
      <c r="D9" s="254">
        <v>100</v>
      </c>
      <c r="E9" s="860" t="s">
        <v>3270</v>
      </c>
      <c r="F9" s="254">
        <f>SUMIF(53:53,E9,54:54)-SUMIF(53:53,C9,54:54)+100</f>
        <v>100</v>
      </c>
      <c r="G9" s="858" t="s">
        <v>3270</v>
      </c>
      <c r="H9" s="254">
        <f>SUMIF(53:53,G9,54:54)-SUMIF(53:53,C9,54:54)+100</f>
        <v>100</v>
      </c>
      <c r="I9" s="858" t="s">
        <v>3270</v>
      </c>
      <c r="J9" s="254">
        <f>SUMIF(53:53,I9,54:54)-SUMIF(53:53,C9,54:54)+100</f>
        <v>100</v>
      </c>
      <c r="K9" s="524"/>
      <c r="L9" s="2119"/>
      <c r="M9" s="2120"/>
      <c r="N9" s="2120"/>
      <c r="O9" s="2121"/>
      <c r="P9" s="3480" t="s">
        <v>535</v>
      </c>
      <c r="Q9" s="1147" t="str">
        <f t="shared" ref="Q9:Q14" si="6">B9</f>
        <v>用途</v>
      </c>
      <c r="R9" s="1555" t="s">
        <v>8</v>
      </c>
      <c r="S9" s="1556">
        <f t="shared" si="0"/>
        <v>100</v>
      </c>
      <c r="T9" s="1555" t="s">
        <v>8</v>
      </c>
      <c r="U9" s="1556">
        <f t="shared" si="1"/>
        <v>100</v>
      </c>
      <c r="V9" s="1555" t="s">
        <v>8</v>
      </c>
      <c r="W9" s="1556">
        <f t="shared" si="2"/>
        <v>100</v>
      </c>
      <c r="X9" s="1557"/>
      <c r="Y9" s="3422" t="s">
        <v>536</v>
      </c>
      <c r="Z9" s="1146" t="str">
        <f t="shared" ref="Z9:Z14" si="7">Q9</f>
        <v>用途</v>
      </c>
      <c r="AA9" s="1558">
        <f t="shared" si="3"/>
        <v>1</v>
      </c>
      <c r="AB9" s="1558">
        <f t="shared" si="4"/>
        <v>1</v>
      </c>
      <c r="AC9" s="1558">
        <f t="shared" si="5"/>
        <v>1</v>
      </c>
    </row>
    <row r="10" spans="1:29" s="1334" customFormat="1" ht="27">
      <c r="A10" s="2869"/>
      <c r="B10" s="2874" t="s">
        <v>2753</v>
      </c>
      <c r="C10" s="861" t="s">
        <v>3461</v>
      </c>
      <c r="D10" s="255">
        <v>100</v>
      </c>
      <c r="E10" s="861" t="s">
        <v>3461</v>
      </c>
      <c r="F10" s="255">
        <f>SUMIF(55:55,E10,56:56)-SUMIF(55:55,C10,56:56)+100</f>
        <v>100</v>
      </c>
      <c r="G10" s="862" t="s">
        <v>3461</v>
      </c>
      <c r="H10" s="255">
        <f>SUMIF(55:55,G10,56:56)-SUMIF(55:55,C10,56:56)+100</f>
        <v>100</v>
      </c>
      <c r="I10" s="861" t="s">
        <v>3461</v>
      </c>
      <c r="J10" s="255">
        <f>SUMIF(55:55,I10,56:56)-SUMIF(55:55,C10,56:56)+100</f>
        <v>100</v>
      </c>
      <c r="K10" s="584">
        <v>2</v>
      </c>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80"/>
      <c r="Q11" s="1147">
        <f t="shared" si="6"/>
        <v>111</v>
      </c>
      <c r="R11" s="1555" t="s">
        <v>8</v>
      </c>
      <c r="S11" s="1556">
        <f t="shared" si="0"/>
        <v>100</v>
      </c>
      <c r="T11" s="1555" t="s">
        <v>8</v>
      </c>
      <c r="U11" s="1556">
        <f t="shared" si="1"/>
        <v>100</v>
      </c>
      <c r="V11" s="1555" t="s">
        <v>8</v>
      </c>
      <c r="W11" s="1556">
        <f t="shared" si="2"/>
        <v>100</v>
      </c>
      <c r="X11" s="1557"/>
      <c r="Y11" s="3422"/>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14">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514" t="s">
        <v>540</v>
      </c>
      <c r="Q14" s="1559" t="str">
        <f t="shared" si="6"/>
        <v>交通便捷度</v>
      </c>
      <c r="R14" s="1560" t="s">
        <v>8</v>
      </c>
      <c r="S14" s="1561">
        <f t="shared" si="0"/>
        <v>100</v>
      </c>
      <c r="T14" s="1560" t="s">
        <v>8</v>
      </c>
      <c r="U14" s="1561">
        <f t="shared" si="1"/>
        <v>100</v>
      </c>
      <c r="V14" s="1560" t="s">
        <v>8</v>
      </c>
      <c r="W14" s="1561">
        <f t="shared" si="2"/>
        <v>100</v>
      </c>
      <c r="X14" s="1554"/>
      <c r="Y14" s="3514" t="s">
        <v>540</v>
      </c>
      <c r="Z14" s="1562" t="str">
        <f t="shared" si="7"/>
        <v>交通便捷度</v>
      </c>
      <c r="AA14" s="1563">
        <f t="shared" si="3"/>
        <v>1</v>
      </c>
      <c r="AB14" s="1563">
        <f t="shared" si="4"/>
        <v>1</v>
      </c>
      <c r="AC14" s="1563">
        <f t="shared" si="5"/>
        <v>1</v>
      </c>
    </row>
    <row r="15" spans="1:29" ht="15">
      <c r="A15" s="515"/>
      <c r="B15" s="924"/>
      <c r="C15" s="576" t="s">
        <v>3139</v>
      </c>
      <c r="D15" s="555"/>
      <c r="E15" s="576" t="s">
        <v>3139</v>
      </c>
      <c r="F15" s="557"/>
      <c r="G15" s="576" t="s">
        <v>3139</v>
      </c>
      <c r="H15" s="559"/>
      <c r="I15" s="576" t="s">
        <v>3139</v>
      </c>
      <c r="J15" s="555"/>
      <c r="K15" s="899"/>
      <c r="L15" s="2126"/>
      <c r="M15" s="2118"/>
      <c r="N15" s="2118"/>
      <c r="O15" s="2125"/>
      <c r="P15" s="3515"/>
      <c r="Q15" s="1559"/>
      <c r="R15" s="1560"/>
      <c r="S15" s="1561"/>
      <c r="T15" s="1560"/>
      <c r="U15" s="1561"/>
      <c r="V15" s="1560"/>
      <c r="W15" s="1561"/>
      <c r="X15" s="1554"/>
      <c r="Y15" s="3515"/>
      <c r="Z15" s="1562"/>
      <c r="AA15" s="1563">
        <v>1</v>
      </c>
      <c r="AB15" s="1563">
        <v>1</v>
      </c>
      <c r="AC15" s="1563">
        <v>1</v>
      </c>
    </row>
    <row r="16" spans="1:29" ht="42.75">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515"/>
      <c r="Q16" s="1559" t="str">
        <f>B16</f>
        <v>公共配套设施</v>
      </c>
      <c r="R16" s="1560" t="s">
        <v>8</v>
      </c>
      <c r="S16" s="1561">
        <f>F16</f>
        <v>100</v>
      </c>
      <c r="T16" s="1560" t="s">
        <v>8</v>
      </c>
      <c r="U16" s="1561">
        <f>H16</f>
        <v>100</v>
      </c>
      <c r="V16" s="1560" t="s">
        <v>8</v>
      </c>
      <c r="W16" s="1561">
        <f>J16</f>
        <v>100</v>
      </c>
      <c r="X16" s="1554"/>
      <c r="Y16" s="3515"/>
      <c r="Z16" s="1562" t="str">
        <f>Q16</f>
        <v>公共配套设施</v>
      </c>
      <c r="AA16" s="1563">
        <f t="shared" si="3"/>
        <v>1</v>
      </c>
      <c r="AB16" s="1563">
        <f t="shared" si="4"/>
        <v>1</v>
      </c>
      <c r="AC16" s="1563">
        <f t="shared" si="5"/>
        <v>1</v>
      </c>
    </row>
    <row r="17" spans="1:29" ht="15">
      <c r="A17" s="515"/>
      <c r="B17" s="566"/>
      <c r="C17" s="873" t="s">
        <v>3139</v>
      </c>
      <c r="D17" s="555"/>
      <c r="E17" s="576" t="s">
        <v>3139</v>
      </c>
      <c r="F17" s="557"/>
      <c r="G17" s="576" t="s">
        <v>3139</v>
      </c>
      <c r="H17" s="555"/>
      <c r="I17" s="576" t="s">
        <v>3139</v>
      </c>
      <c r="J17" s="555"/>
      <c r="K17" s="899"/>
      <c r="L17" s="2126"/>
      <c r="M17" s="2118"/>
      <c r="N17" s="2118"/>
      <c r="O17" s="2125"/>
      <c r="P17" s="3515"/>
      <c r="Q17" s="1559"/>
      <c r="R17" s="1560"/>
      <c r="S17" s="1561"/>
      <c r="T17" s="1560"/>
      <c r="U17" s="1561"/>
      <c r="V17" s="1560"/>
      <c r="W17" s="1561"/>
      <c r="X17" s="1554"/>
      <c r="Y17" s="3515"/>
      <c r="Z17" s="1562"/>
      <c r="AA17" s="1563">
        <v>1</v>
      </c>
      <c r="AB17" s="1563">
        <v>1</v>
      </c>
      <c r="AC17" s="1563">
        <v>1</v>
      </c>
    </row>
    <row r="18" spans="1:29" ht="42.75">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515"/>
      <c r="Q18" s="2542" t="str">
        <f>B18</f>
        <v>基础设施水平</v>
      </c>
      <c r="R18" s="1560" t="s">
        <v>8</v>
      </c>
      <c r="S18" s="1561">
        <f>F18</f>
        <v>100</v>
      </c>
      <c r="T18" s="1560" t="s">
        <v>8</v>
      </c>
      <c r="U18" s="1561">
        <f>H18</f>
        <v>100</v>
      </c>
      <c r="V18" s="1560" t="s">
        <v>8</v>
      </c>
      <c r="W18" s="1561">
        <f>J18</f>
        <v>100</v>
      </c>
      <c r="X18" s="2544"/>
      <c r="Y18" s="3515"/>
      <c r="Z18" s="2543" t="str">
        <f>Q18</f>
        <v>基础设施水平</v>
      </c>
      <c r="AA18" s="1563">
        <f t="shared" ref="AA18" si="8">D18/F18</f>
        <v>1</v>
      </c>
      <c r="AB18" s="1563">
        <f t="shared" ref="AB18" si="9">D18/H18</f>
        <v>1</v>
      </c>
      <c r="AC18" s="1563">
        <f t="shared" ref="AC18" si="10">D18/J18</f>
        <v>1</v>
      </c>
    </row>
    <row r="19" spans="1:29" ht="15">
      <c r="A19" s="515"/>
      <c r="B19" s="578"/>
      <c r="C19" s="873" t="s">
        <v>3140</v>
      </c>
      <c r="D19" s="559"/>
      <c r="E19" s="576" t="s">
        <v>3140</v>
      </c>
      <c r="F19" s="557"/>
      <c r="G19" s="576" t="s">
        <v>3140</v>
      </c>
      <c r="H19" s="555"/>
      <c r="I19" s="576" t="s">
        <v>3140</v>
      </c>
      <c r="J19" s="555"/>
      <c r="K19" s="2565"/>
      <c r="L19" s="2126"/>
      <c r="M19" s="2118"/>
      <c r="N19" s="2118"/>
      <c r="O19" s="2125"/>
      <c r="P19" s="3515"/>
      <c r="Q19" s="2542"/>
      <c r="R19" s="1560"/>
      <c r="S19" s="1561"/>
      <c r="T19" s="1560"/>
      <c r="U19" s="1561"/>
      <c r="V19" s="1560"/>
      <c r="W19" s="1561"/>
      <c r="X19" s="2544"/>
      <c r="Y19" s="3515"/>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515"/>
      <c r="Q20" s="1559" t="str">
        <f>B20</f>
        <v>自然及人文环境</v>
      </c>
      <c r="R20" s="1560" t="s">
        <v>8</v>
      </c>
      <c r="S20" s="1561">
        <f>F20</f>
        <v>100</v>
      </c>
      <c r="T20" s="1560" t="s">
        <v>8</v>
      </c>
      <c r="U20" s="1561">
        <f>H20</f>
        <v>100</v>
      </c>
      <c r="V20" s="1560" t="s">
        <v>8</v>
      </c>
      <c r="W20" s="1561">
        <f>J20</f>
        <v>100</v>
      </c>
      <c r="X20" s="1554"/>
      <c r="Y20" s="3515"/>
      <c r="Z20" s="1562" t="str">
        <f>Q20</f>
        <v>自然及人文环境</v>
      </c>
      <c r="AA20" s="1563">
        <f t="shared" si="3"/>
        <v>1</v>
      </c>
      <c r="AB20" s="1563">
        <f t="shared" si="4"/>
        <v>1</v>
      </c>
      <c r="AC20" s="1563">
        <f t="shared" si="5"/>
        <v>1</v>
      </c>
    </row>
    <row r="21" spans="1:29" ht="15">
      <c r="A21" s="515"/>
      <c r="B21" s="566"/>
      <c r="C21" s="576" t="s">
        <v>3137</v>
      </c>
      <c r="D21" s="555"/>
      <c r="E21" s="576" t="s">
        <v>3137</v>
      </c>
      <c r="F21" s="557"/>
      <c r="G21" s="576" t="s">
        <v>3137</v>
      </c>
      <c r="H21" s="555"/>
      <c r="I21" s="576" t="s">
        <v>3137</v>
      </c>
      <c r="J21" s="555"/>
      <c r="K21" s="899"/>
      <c r="L21" s="2126"/>
      <c r="M21" s="2118"/>
      <c r="N21" s="2118"/>
      <c r="O21" s="2125"/>
      <c r="P21" s="3515"/>
      <c r="Q21" s="1559"/>
      <c r="R21" s="1560"/>
      <c r="S21" s="1561"/>
      <c r="T21" s="1560"/>
      <c r="U21" s="1561"/>
      <c r="V21" s="1560"/>
      <c r="W21" s="1561"/>
      <c r="X21" s="1554"/>
      <c r="Y21" s="3515"/>
      <c r="Z21" s="1562"/>
      <c r="AA21" s="1563">
        <v>1</v>
      </c>
      <c r="AB21" s="1563">
        <v>1</v>
      </c>
      <c r="AC21" s="1563">
        <v>1</v>
      </c>
    </row>
    <row r="22" spans="1:29" ht="15">
      <c r="A22" s="515"/>
      <c r="B22" s="560" t="s">
        <v>805</v>
      </c>
      <c r="C22" s="583" t="s">
        <v>3269</v>
      </c>
      <c r="D22" s="559">
        <v>100</v>
      </c>
      <c r="E22" s="583" t="s">
        <v>3269</v>
      </c>
      <c r="F22" s="575">
        <f>SUMIF(71:71,E22,72:72)-SUMIF(71:71,C22,72:72)+100</f>
        <v>100</v>
      </c>
      <c r="G22" s="583" t="s">
        <v>3269</v>
      </c>
      <c r="H22" s="540">
        <f>SUMIF(71:71,G22,72:72)-SUMIF(71:71,C22,72:72)+100</f>
        <v>100</v>
      </c>
      <c r="I22" s="583" t="s">
        <v>3269</v>
      </c>
      <c r="J22" s="540">
        <f>SUMIF(71:71,I22,72:72)-SUMIF(71:71,C22,72:72)+100</f>
        <v>100</v>
      </c>
      <c r="K22" s="584"/>
      <c r="L22" s="2126"/>
      <c r="M22" s="2118"/>
      <c r="N22" s="2118"/>
      <c r="O22" s="2125"/>
      <c r="P22" s="3515"/>
      <c r="Q22" s="1559" t="str">
        <f>B22</f>
        <v>楼层</v>
      </c>
      <c r="R22" s="1560" t="s">
        <v>8</v>
      </c>
      <c r="S22" s="1561">
        <f>F22</f>
        <v>100</v>
      </c>
      <c r="T22" s="1560" t="s">
        <v>8</v>
      </c>
      <c r="U22" s="1561">
        <f>H22</f>
        <v>100</v>
      </c>
      <c r="V22" s="1560" t="s">
        <v>8</v>
      </c>
      <c r="W22" s="1561">
        <f>J22</f>
        <v>100</v>
      </c>
      <c r="X22" s="1554"/>
      <c r="Y22" s="351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515"/>
      <c r="Q23" s="1559">
        <f>B23</f>
        <v>111</v>
      </c>
      <c r="R23" s="1560" t="s">
        <v>8</v>
      </c>
      <c r="S23" s="1561">
        <f>F23</f>
        <v>100</v>
      </c>
      <c r="T23" s="1560" t="s">
        <v>8</v>
      </c>
      <c r="U23" s="1561">
        <f>H23</f>
        <v>100</v>
      </c>
      <c r="V23" s="1560" t="s">
        <v>8</v>
      </c>
      <c r="W23" s="1561">
        <f>J23</f>
        <v>100</v>
      </c>
      <c r="X23" s="1554"/>
      <c r="Y23" s="351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515"/>
      <c r="Q24" s="1559">
        <f t="shared" ref="Q24:Q36" si="11">B24</f>
        <v>111</v>
      </c>
      <c r="R24" s="1560" t="s">
        <v>8</v>
      </c>
      <c r="S24" s="1561">
        <f>F24</f>
        <v>100</v>
      </c>
      <c r="T24" s="1560" t="s">
        <v>8</v>
      </c>
      <c r="U24" s="1561">
        <f>H24</f>
        <v>100</v>
      </c>
      <c r="V24" s="1560" t="s">
        <v>8</v>
      </c>
      <c r="W24" s="1561">
        <f>J24</f>
        <v>100</v>
      </c>
      <c r="X24" s="1554"/>
      <c r="Y24" s="351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515"/>
      <c r="Q25" s="1147">
        <f t="shared" si="11"/>
        <v>111</v>
      </c>
      <c r="R25" s="1555" t="s">
        <v>8</v>
      </c>
      <c r="S25" s="1556">
        <f>F25</f>
        <v>100</v>
      </c>
      <c r="T25" s="1555" t="s">
        <v>8</v>
      </c>
      <c r="U25" s="1556">
        <f>H25</f>
        <v>100</v>
      </c>
      <c r="V25" s="1555" t="s">
        <v>8</v>
      </c>
      <c r="W25" s="1556">
        <f>J25</f>
        <v>100</v>
      </c>
      <c r="X25" s="1557"/>
      <c r="Y25" s="3515"/>
      <c r="Z25" s="1146">
        <f>Q25</f>
        <v>111</v>
      </c>
      <c r="AA25" s="1563">
        <f>D25/F25</f>
        <v>1</v>
      </c>
      <c r="AB25" s="1563">
        <f>D25/H25</f>
        <v>1</v>
      </c>
      <c r="AC25" s="1563">
        <f>D25/J25</f>
        <v>1</v>
      </c>
    </row>
    <row r="26" spans="1:29" ht="15">
      <c r="A26" s="2861" t="s">
        <v>2751</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51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51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517"/>
      <c r="Q27" s="1591" t="str">
        <f t="shared" si="11"/>
        <v>项目停车位配比</v>
      </c>
      <c r="R27" s="1564" t="s">
        <v>8</v>
      </c>
      <c r="S27" s="1565">
        <f t="shared" si="12"/>
        <v>100</v>
      </c>
      <c r="T27" s="1564" t="s">
        <v>8</v>
      </c>
      <c r="U27" s="1565">
        <f t="shared" si="13"/>
        <v>100</v>
      </c>
      <c r="V27" s="1564" t="s">
        <v>8</v>
      </c>
      <c r="W27" s="1565">
        <f t="shared" si="14"/>
        <v>100</v>
      </c>
      <c r="X27" s="1566"/>
      <c r="Y27" s="3517"/>
      <c r="Z27" s="1567" t="str">
        <f t="shared" si="15"/>
        <v>项目停车位配比</v>
      </c>
      <c r="AA27" s="1563">
        <f t="shared" si="3"/>
        <v>1</v>
      </c>
      <c r="AB27" s="1563">
        <f t="shared" si="4"/>
        <v>1</v>
      </c>
      <c r="AC27" s="1563">
        <f t="shared" si="5"/>
        <v>1</v>
      </c>
    </row>
    <row r="28" spans="1:29" ht="15">
      <c r="A28" s="931"/>
      <c r="B28" s="582" t="s">
        <v>808</v>
      </c>
      <c r="C28" s="574" t="s">
        <v>3160</v>
      </c>
      <c r="D28" s="540">
        <v>100</v>
      </c>
      <c r="E28" s="574" t="s">
        <v>3160</v>
      </c>
      <c r="F28" s="575">
        <f>SUMIF(83:83,E28,84:84)-SUMIF(83:83,C28,84:84)+100</f>
        <v>100</v>
      </c>
      <c r="G28" s="574" t="s">
        <v>3160</v>
      </c>
      <c r="H28" s="540">
        <f>SUMIF(83:83,G28,84:84)-SUMIF(83:83,C28,84:84)+100</f>
        <v>100</v>
      </c>
      <c r="I28" s="574" t="s">
        <v>3160</v>
      </c>
      <c r="J28" s="540">
        <f>SUMIF(83:83,I28,84:84)-SUMIF(83:83,C28,84:84)+100</f>
        <v>100</v>
      </c>
      <c r="K28" s="584">
        <v>2</v>
      </c>
      <c r="L28" s="2126"/>
      <c r="M28" s="2118"/>
      <c r="N28" s="2118"/>
      <c r="O28" s="2125"/>
      <c r="P28" s="3517"/>
      <c r="Q28" s="1559" t="str">
        <f t="shared" si="11"/>
        <v>公共部分装修</v>
      </c>
      <c r="R28" s="1560" t="s">
        <v>8</v>
      </c>
      <c r="S28" s="1561">
        <f t="shared" si="12"/>
        <v>100</v>
      </c>
      <c r="T28" s="1560" t="s">
        <v>8</v>
      </c>
      <c r="U28" s="1561">
        <f t="shared" si="13"/>
        <v>100</v>
      </c>
      <c r="V28" s="1560" t="s">
        <v>8</v>
      </c>
      <c r="W28" s="1561">
        <f t="shared" si="14"/>
        <v>100</v>
      </c>
      <c r="X28" s="1554"/>
      <c r="Y28" s="3517"/>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517"/>
      <c r="Q29" s="1559" t="str">
        <f t="shared" si="11"/>
        <v>成新率</v>
      </c>
      <c r="R29" s="1560" t="s">
        <v>8</v>
      </c>
      <c r="S29" s="1561">
        <f t="shared" si="12"/>
        <v>96</v>
      </c>
      <c r="T29" s="1560" t="s">
        <v>8</v>
      </c>
      <c r="U29" s="1561">
        <f t="shared" si="13"/>
        <v>96</v>
      </c>
      <c r="V29" s="1560" t="s">
        <v>8</v>
      </c>
      <c r="W29" s="1561">
        <f t="shared" si="14"/>
        <v>96</v>
      </c>
      <c r="X29" s="1554"/>
      <c r="Y29" s="3517"/>
      <c r="Z29" s="1562" t="str">
        <f t="shared" si="15"/>
        <v>成新率</v>
      </c>
      <c r="AA29" s="1563">
        <f t="shared" si="3"/>
        <v>1.0416666666666667</v>
      </c>
      <c r="AB29" s="1563">
        <f t="shared" si="4"/>
        <v>1.0416666666666667</v>
      </c>
      <c r="AC29" s="1563">
        <f t="shared" si="5"/>
        <v>1.0416666666666667</v>
      </c>
    </row>
    <row r="30" spans="1:29" ht="15">
      <c r="A30" s="931"/>
      <c r="B30" s="582" t="s">
        <v>810</v>
      </c>
      <c r="C30" s="932" t="s">
        <v>3161</v>
      </c>
      <c r="D30" s="540">
        <v>100</v>
      </c>
      <c r="E30" s="932" t="s">
        <v>3161</v>
      </c>
      <c r="F30" s="575">
        <f>SUMIF(88:88,E30,89:89)-SUMIF(88:88,C30,89:89)+100</f>
        <v>100</v>
      </c>
      <c r="G30" s="932" t="s">
        <v>3161</v>
      </c>
      <c r="H30" s="540">
        <f>SUMIF(88:88,E30,89:89)-SUMIF(88:88,C30,89:89)+100</f>
        <v>100</v>
      </c>
      <c r="I30" s="932" t="s">
        <v>3161</v>
      </c>
      <c r="J30" s="540">
        <f>SUMIF(88:88,E30,89:89)-SUMIF(88:88,C30,89:89)+100</f>
        <v>100</v>
      </c>
      <c r="K30" s="584">
        <v>2</v>
      </c>
      <c r="L30" s="2126"/>
      <c r="M30" s="2118"/>
      <c r="N30" s="2118"/>
      <c r="O30" s="2125"/>
      <c r="P30" s="3517"/>
      <c r="Q30" s="1559" t="str">
        <f t="shared" si="11"/>
        <v>物业等级</v>
      </c>
      <c r="R30" s="1560" t="s">
        <v>8</v>
      </c>
      <c r="S30" s="1561">
        <f t="shared" si="12"/>
        <v>100</v>
      </c>
      <c r="T30" s="1560" t="s">
        <v>8</v>
      </c>
      <c r="U30" s="1561">
        <f t="shared" si="13"/>
        <v>100</v>
      </c>
      <c r="V30" s="1560" t="s">
        <v>8</v>
      </c>
      <c r="W30" s="1561">
        <f t="shared" si="14"/>
        <v>100</v>
      </c>
      <c r="X30" s="1554"/>
      <c r="Y30" s="3517"/>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517"/>
      <c r="Q31" s="1147" t="str">
        <f t="shared" si="11"/>
        <v>停车位面积</v>
      </c>
      <c r="R31" s="1555" t="s">
        <v>8</v>
      </c>
      <c r="S31" s="1556">
        <f t="shared" si="12"/>
        <v>100</v>
      </c>
      <c r="T31" s="1555" t="s">
        <v>8</v>
      </c>
      <c r="U31" s="1556">
        <f t="shared" si="13"/>
        <v>100</v>
      </c>
      <c r="V31" s="1555" t="s">
        <v>8</v>
      </c>
      <c r="W31" s="1556">
        <f t="shared" si="14"/>
        <v>100</v>
      </c>
      <c r="X31" s="1557"/>
      <c r="Y31" s="3517"/>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517" t="s">
        <v>550</v>
      </c>
      <c r="Q32" s="1559" t="str">
        <f t="shared" si="11"/>
        <v>车位类型</v>
      </c>
      <c r="R32" s="1560" t="s">
        <v>8</v>
      </c>
      <c r="S32" s="1561">
        <f t="shared" si="12"/>
        <v>100</v>
      </c>
      <c r="T32" s="1560" t="s">
        <v>8</v>
      </c>
      <c r="U32" s="1561">
        <f t="shared" si="13"/>
        <v>100</v>
      </c>
      <c r="V32" s="1560" t="s">
        <v>8</v>
      </c>
      <c r="W32" s="1561">
        <f t="shared" si="14"/>
        <v>100</v>
      </c>
      <c r="X32" s="1554"/>
      <c r="Y32" s="351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517"/>
      <c r="Q33" s="1559" t="str">
        <f t="shared" si="11"/>
        <v>是否直接入户</v>
      </c>
      <c r="R33" s="1560" t="s">
        <v>8</v>
      </c>
      <c r="S33" s="1561">
        <f t="shared" si="12"/>
        <v>100</v>
      </c>
      <c r="T33" s="1560" t="s">
        <v>8</v>
      </c>
      <c r="U33" s="1561">
        <f t="shared" si="13"/>
        <v>100</v>
      </c>
      <c r="V33" s="1560" t="s">
        <v>8</v>
      </c>
      <c r="W33" s="1561">
        <f t="shared" si="14"/>
        <v>100</v>
      </c>
      <c r="X33" s="1554"/>
      <c r="Y33" s="351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517"/>
      <c r="Q34" s="1559">
        <f t="shared" si="11"/>
        <v>111</v>
      </c>
      <c r="R34" s="1560" t="s">
        <v>8</v>
      </c>
      <c r="S34" s="1561">
        <f t="shared" si="12"/>
        <v>100</v>
      </c>
      <c r="T34" s="1560" t="s">
        <v>8</v>
      </c>
      <c r="U34" s="1561">
        <f t="shared" si="13"/>
        <v>100</v>
      </c>
      <c r="V34" s="1560" t="s">
        <v>8</v>
      </c>
      <c r="W34" s="1561">
        <f t="shared" si="14"/>
        <v>100</v>
      </c>
      <c r="X34" s="1554"/>
      <c r="Y34" s="351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517"/>
      <c r="Q35" s="1591">
        <f t="shared" si="11"/>
        <v>111</v>
      </c>
      <c r="R35" s="1564" t="s">
        <v>8</v>
      </c>
      <c r="S35" s="1565">
        <f t="shared" si="12"/>
        <v>100</v>
      </c>
      <c r="T35" s="1564" t="s">
        <v>8</v>
      </c>
      <c r="U35" s="1565">
        <f t="shared" si="13"/>
        <v>100</v>
      </c>
      <c r="V35" s="1564" t="s">
        <v>8</v>
      </c>
      <c r="W35" s="1565">
        <f t="shared" si="14"/>
        <v>100</v>
      </c>
      <c r="X35" s="1566"/>
      <c r="Y35" s="351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517"/>
      <c r="Q36" s="1559">
        <f t="shared" si="11"/>
        <v>111</v>
      </c>
      <c r="R36" s="1560" t="s">
        <v>8</v>
      </c>
      <c r="S36" s="1561">
        <f t="shared" si="12"/>
        <v>100</v>
      </c>
      <c r="T36" s="1560" t="s">
        <v>8</v>
      </c>
      <c r="U36" s="1561">
        <f t="shared" si="13"/>
        <v>100</v>
      </c>
      <c r="V36" s="1560" t="s">
        <v>8</v>
      </c>
      <c r="W36" s="1561">
        <f t="shared" si="14"/>
        <v>100</v>
      </c>
      <c r="X36" s="1554"/>
      <c r="Y36" s="3517"/>
      <c r="Z36" s="1562">
        <f t="shared" si="15"/>
        <v>111</v>
      </c>
      <c r="AA36" s="1563">
        <f t="shared" si="3"/>
        <v>1</v>
      </c>
      <c r="AB36" s="1563">
        <f t="shared" si="4"/>
        <v>1</v>
      </c>
      <c r="AC36" s="1563">
        <f t="shared" si="5"/>
        <v>1</v>
      </c>
    </row>
    <row r="37" spans="1:29" ht="15">
      <c r="A37" s="1830" t="s">
        <v>2074</v>
      </c>
      <c r="B37" s="1831" t="s">
        <v>3462</v>
      </c>
      <c r="C37" s="2590" t="s">
        <v>1</v>
      </c>
      <c r="D37" s="2591"/>
      <c r="E37" s="2592">
        <v>140000</v>
      </c>
      <c r="F37" s="2593"/>
      <c r="G37" s="2594">
        <v>150000</v>
      </c>
      <c r="H37" s="2595"/>
      <c r="I37" s="2592">
        <v>160000</v>
      </c>
      <c r="J37" s="2595"/>
      <c r="K37" s="1597"/>
      <c r="L37" s="2128"/>
      <c r="M37" s="2129"/>
      <c r="N37" s="2118"/>
      <c r="O37" s="2129"/>
      <c r="P37" s="3480" t="str">
        <f>A37</f>
        <v>成交单价</v>
      </c>
      <c r="Q37" s="3480"/>
      <c r="R37" s="3574">
        <f>E37</f>
        <v>140000</v>
      </c>
      <c r="S37" s="3574"/>
      <c r="T37" s="3574">
        <f>G37</f>
        <v>150000</v>
      </c>
      <c r="U37" s="3574"/>
      <c r="V37" s="3574">
        <f>I37</f>
        <v>160000</v>
      </c>
      <c r="W37" s="3574"/>
      <c r="X37" s="1546"/>
      <c r="Y37" s="1568"/>
      <c r="Z37" s="1546"/>
      <c r="AA37" s="1546"/>
      <c r="AB37" s="1546"/>
      <c r="AC37" s="1546"/>
    </row>
    <row r="38" spans="1:29" ht="15.75" thickBot="1">
      <c r="A38" s="615" t="s">
        <v>2756</v>
      </c>
      <c r="B38" s="888"/>
      <c r="C38" s="2596">
        <f>R39</f>
        <v>156250</v>
      </c>
      <c r="D38" s="2597"/>
      <c r="E38" s="2598">
        <f>R38</f>
        <v>145833</v>
      </c>
      <c r="F38" s="2598"/>
      <c r="G38" s="2596">
        <f>T38</f>
        <v>156250</v>
      </c>
      <c r="H38" s="2597"/>
      <c r="I38" s="2598">
        <f>V38</f>
        <v>166667</v>
      </c>
      <c r="J38" s="2597"/>
      <c r="K38" s="1598"/>
      <c r="L38" s="2128"/>
      <c r="M38" s="2129"/>
      <c r="N38" s="2129"/>
      <c r="O38" s="2129"/>
      <c r="P38" s="3480" t="str">
        <f>A38</f>
        <v>比较价格（元/平方米）</v>
      </c>
      <c r="Q38" s="3480"/>
      <c r="R38" s="3574">
        <f>IF(F1="售价",ROUND(PRODUCT(R37,AA7:AA36),0),ROUND(PRODUCT(R37,AA7:AA36),1))</f>
        <v>145833</v>
      </c>
      <c r="S38" s="3574"/>
      <c r="T38" s="3574">
        <f>IF(F1="售价",ROUND(PRODUCT(T37,AB7:AB36),0),ROUND(PRODUCT(T37,AB7:AB36),1))</f>
        <v>156250</v>
      </c>
      <c r="U38" s="3574"/>
      <c r="V38" s="3574">
        <f>IF(F1="售价",ROUND(PRODUCT(V37,AC7:AC36),0),ROUND(PRODUCT(V37,AC7:AC36),1))</f>
        <v>166667</v>
      </c>
      <c r="W38" s="3574"/>
      <c r="X38" s="1546"/>
      <c r="Y38" s="1546"/>
      <c r="Z38" s="1546"/>
      <c r="AA38" s="1546"/>
      <c r="AB38" s="1546"/>
      <c r="AC38" s="1546"/>
    </row>
    <row r="39" spans="1:29" ht="15.75" thickBot="1">
      <c r="A39" s="621" t="s">
        <v>2925</v>
      </c>
      <c r="B39" s="622"/>
      <c r="C39" s="2599">
        <f>R39</f>
        <v>156250</v>
      </c>
      <c r="D39" s="2599"/>
      <c r="E39" s="2599"/>
      <c r="F39" s="2599"/>
      <c r="G39" s="2599"/>
      <c r="H39" s="2599"/>
      <c r="I39" s="2599"/>
      <c r="J39" s="2599"/>
      <c r="K39" s="1599"/>
      <c r="L39" s="2128"/>
      <c r="M39" s="2129"/>
      <c r="N39" s="2129"/>
      <c r="O39" s="2129"/>
      <c r="P39" s="3477" t="str">
        <f>A39</f>
        <v>估价对象XX用房的比较价格（楼面单价，元/平方米）</v>
      </c>
      <c r="Q39" s="3478"/>
      <c r="R39" s="3573">
        <f>IF(F1="售价",ROUND(AVERAGE(R38:V38),0),ROUND(AVERAGE(R38:V38),1))</f>
        <v>156250</v>
      </c>
      <c r="S39" s="3573"/>
      <c r="T39" s="3573"/>
      <c r="U39" s="3573"/>
      <c r="V39" s="3573"/>
      <c r="W39" s="3573"/>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3192" t="s">
        <v>3450</v>
      </c>
      <c r="D71" s="3192" t="s">
        <v>3451</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3452</v>
      </c>
      <c r="D83" s="3192" t="s">
        <v>3453</v>
      </c>
      <c r="E83" s="3193" t="s">
        <v>3454</v>
      </c>
      <c r="F83" s="3193" t="s">
        <v>3455</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3456</v>
      </c>
      <c r="D88" s="3191" t="s">
        <v>3457</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3458</v>
      </c>
      <c r="D95" s="3191" t="s">
        <v>3459</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93.75">
      <c r="A7" s="2827" t="s">
        <v>2744</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2745</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6" t="s">
        <v>798</v>
      </c>
      <c r="D4" s="3487"/>
      <c r="E4" s="3520" t="s">
        <v>799</v>
      </c>
      <c r="F4" s="3521"/>
      <c r="G4" s="3486" t="s">
        <v>800</v>
      </c>
      <c r="H4" s="3487"/>
      <c r="I4" s="3486" t="s">
        <v>801</v>
      </c>
      <c r="J4" s="3487"/>
      <c r="K4" s="514" t="s">
        <v>802</v>
      </c>
      <c r="L4" s="2117"/>
      <c r="M4" s="2118"/>
      <c r="N4" s="2118"/>
      <c r="O4" s="2118"/>
      <c r="P4" s="3488" t="s">
        <v>803</v>
      </c>
      <c r="Q4" s="3489"/>
      <c r="R4" s="3494" t="s">
        <v>799</v>
      </c>
      <c r="S4" s="3495"/>
      <c r="T4" s="3494" t="s">
        <v>800</v>
      </c>
      <c r="U4" s="3495"/>
      <c r="V4" s="3481" t="s">
        <v>801</v>
      </c>
      <c r="W4" s="3481"/>
      <c r="X4" s="1554"/>
      <c r="Y4" s="3494" t="s">
        <v>803</v>
      </c>
      <c r="Z4" s="3495"/>
      <c r="AA4" s="3483" t="s">
        <v>799</v>
      </c>
      <c r="AB4" s="3484" t="s">
        <v>800</v>
      </c>
      <c r="AC4" s="3483" t="s">
        <v>801</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511" t="s">
        <v>530</v>
      </c>
      <c r="Q7" s="3513"/>
      <c r="R7" s="1555" t="s">
        <v>8</v>
      </c>
      <c r="S7" s="1556">
        <f t="shared" ref="S7:S14" si="0">F7</f>
        <v>0</v>
      </c>
      <c r="T7" s="1555" t="s">
        <v>8</v>
      </c>
      <c r="U7" s="1556">
        <f t="shared" ref="U7:U14" si="1">H7</f>
        <v>0</v>
      </c>
      <c r="V7" s="1555" t="s">
        <v>8</v>
      </c>
      <c r="W7" s="1556">
        <f t="shared" ref="W7:W14"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34" si="3">D8/F8</f>
        <v>#DIV/0!</v>
      </c>
      <c r="AB8" s="1558" t="e">
        <f t="shared" ref="AB8:AB34" si="4">D8/H8</f>
        <v>#DIV/0!</v>
      </c>
      <c r="AC8" s="1558"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80" t="s">
        <v>535</v>
      </c>
      <c r="Q9" s="1147" t="str">
        <f t="shared" ref="Q9:Q14" si="6">B9</f>
        <v>用途</v>
      </c>
      <c r="R9" s="1555" t="s">
        <v>8</v>
      </c>
      <c r="S9" s="1556">
        <f t="shared" si="0"/>
        <v>100</v>
      </c>
      <c r="T9" s="1555" t="s">
        <v>8</v>
      </c>
      <c r="U9" s="1556">
        <f t="shared" si="1"/>
        <v>100</v>
      </c>
      <c r="V9" s="1555" t="s">
        <v>8</v>
      </c>
      <c r="W9" s="1556">
        <f t="shared" si="2"/>
        <v>100</v>
      </c>
      <c r="X9" s="1557"/>
      <c r="Y9" s="3422"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80"/>
      <c r="Q11" s="1147">
        <f t="shared" si="6"/>
        <v>111</v>
      </c>
      <c r="R11" s="1555" t="s">
        <v>8</v>
      </c>
      <c r="S11" s="1556">
        <f t="shared" si="0"/>
        <v>100</v>
      </c>
      <c r="T11" s="1555" t="s">
        <v>8</v>
      </c>
      <c r="U11" s="1556">
        <f t="shared" si="1"/>
        <v>100</v>
      </c>
      <c r="V11" s="1555" t="s">
        <v>8</v>
      </c>
      <c r="W11" s="1556">
        <f t="shared" si="2"/>
        <v>100</v>
      </c>
      <c r="X11" s="1557"/>
      <c r="Y11" s="3422"/>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14">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514" t="s">
        <v>540</v>
      </c>
      <c r="Q14" s="1559" t="str">
        <f t="shared" si="6"/>
        <v>交通便捷度</v>
      </c>
      <c r="R14" s="1560" t="s">
        <v>8</v>
      </c>
      <c r="S14" s="1561">
        <f t="shared" si="0"/>
        <v>100</v>
      </c>
      <c r="T14" s="1560" t="s">
        <v>8</v>
      </c>
      <c r="U14" s="1561">
        <f t="shared" si="1"/>
        <v>100</v>
      </c>
      <c r="V14" s="1560" t="s">
        <v>8</v>
      </c>
      <c r="W14" s="1561">
        <f t="shared" si="2"/>
        <v>100</v>
      </c>
      <c r="X14" s="1554"/>
      <c r="Y14" s="351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515"/>
      <c r="Q15" s="1559"/>
      <c r="R15" s="1560"/>
      <c r="S15" s="1561"/>
      <c r="T15" s="1560"/>
      <c r="U15" s="1561"/>
      <c r="V15" s="1560"/>
      <c r="W15" s="1561"/>
      <c r="X15" s="1554"/>
      <c r="Y15" s="3515"/>
      <c r="Z15" s="1562"/>
      <c r="AA15" s="1563">
        <v>1</v>
      </c>
      <c r="AB15" s="1563">
        <v>1</v>
      </c>
      <c r="AC15" s="1563">
        <v>1</v>
      </c>
    </row>
    <row r="16" spans="1:29" ht="42.75">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515"/>
      <c r="Q16" s="1559" t="str">
        <f>B16</f>
        <v>公共配套设施</v>
      </c>
      <c r="R16" s="1560" t="s">
        <v>8</v>
      </c>
      <c r="S16" s="1561">
        <f>F16</f>
        <v>100</v>
      </c>
      <c r="T16" s="1560" t="s">
        <v>8</v>
      </c>
      <c r="U16" s="1561">
        <f>H16</f>
        <v>100</v>
      </c>
      <c r="V16" s="1560" t="s">
        <v>8</v>
      </c>
      <c r="W16" s="1561">
        <f>J16</f>
        <v>100</v>
      </c>
      <c r="X16" s="1554"/>
      <c r="Y16" s="351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515"/>
      <c r="Q17" s="1559"/>
      <c r="R17" s="1560"/>
      <c r="S17" s="1561"/>
      <c r="T17" s="1560"/>
      <c r="U17" s="1561"/>
      <c r="V17" s="1560"/>
      <c r="W17" s="1561"/>
      <c r="X17" s="1554"/>
      <c r="Y17" s="3515"/>
      <c r="Z17" s="1562"/>
      <c r="AA17" s="1563">
        <v>1</v>
      </c>
      <c r="AB17" s="1563">
        <v>1</v>
      </c>
      <c r="AC17" s="1563">
        <v>1</v>
      </c>
    </row>
    <row r="18" spans="1:29" ht="42.75">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515"/>
      <c r="Q18" s="2542" t="str">
        <f>B18</f>
        <v>基础设施水平</v>
      </c>
      <c r="R18" s="1560" t="s">
        <v>8</v>
      </c>
      <c r="S18" s="1561">
        <f>F18</f>
        <v>100</v>
      </c>
      <c r="T18" s="1560" t="s">
        <v>8</v>
      </c>
      <c r="U18" s="1561">
        <f>H18</f>
        <v>100</v>
      </c>
      <c r="V18" s="1560" t="s">
        <v>8</v>
      </c>
      <c r="W18" s="1561">
        <f>J18</f>
        <v>100</v>
      </c>
      <c r="X18" s="2544"/>
      <c r="Y18" s="3515"/>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515"/>
      <c r="Q19" s="2542"/>
      <c r="R19" s="1560"/>
      <c r="S19" s="1561"/>
      <c r="T19" s="1560"/>
      <c r="U19" s="1561"/>
      <c r="V19" s="1560"/>
      <c r="W19" s="1561"/>
      <c r="X19" s="2544"/>
      <c r="Y19" s="3515"/>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515"/>
      <c r="Q20" s="1559" t="str">
        <f>B20</f>
        <v>自然及人文环境</v>
      </c>
      <c r="R20" s="1560" t="s">
        <v>8</v>
      </c>
      <c r="S20" s="1561">
        <f>F20</f>
        <v>100</v>
      </c>
      <c r="T20" s="1560" t="s">
        <v>8</v>
      </c>
      <c r="U20" s="1561">
        <f>H20</f>
        <v>100</v>
      </c>
      <c r="V20" s="1560" t="s">
        <v>8</v>
      </c>
      <c r="W20" s="1561">
        <f>J20</f>
        <v>100</v>
      </c>
      <c r="X20" s="1554"/>
      <c r="Y20" s="351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515"/>
      <c r="Q21" s="1559"/>
      <c r="R21" s="1560"/>
      <c r="S21" s="1561"/>
      <c r="T21" s="1560"/>
      <c r="U21" s="1561"/>
      <c r="V21" s="1560"/>
      <c r="W21" s="1561"/>
      <c r="X21" s="1554"/>
      <c r="Y21" s="351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515"/>
      <c r="Q22" s="1559" t="str">
        <f>B22</f>
        <v>楼层</v>
      </c>
      <c r="R22" s="1560" t="s">
        <v>8</v>
      </c>
      <c r="S22" s="1561">
        <f>F22</f>
        <v>100</v>
      </c>
      <c r="T22" s="1560" t="s">
        <v>8</v>
      </c>
      <c r="U22" s="1561">
        <f>H22</f>
        <v>100</v>
      </c>
      <c r="V22" s="1560" t="s">
        <v>8</v>
      </c>
      <c r="W22" s="1561">
        <f>J22</f>
        <v>100</v>
      </c>
      <c r="X22" s="1554"/>
      <c r="Y22" s="351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515"/>
      <c r="Q23" s="1559">
        <f>B23</f>
        <v>111</v>
      </c>
      <c r="R23" s="1560" t="s">
        <v>8</v>
      </c>
      <c r="S23" s="1561">
        <f>F23</f>
        <v>100</v>
      </c>
      <c r="T23" s="1560" t="s">
        <v>8</v>
      </c>
      <c r="U23" s="1561">
        <f>H23</f>
        <v>100</v>
      </c>
      <c r="V23" s="1560" t="s">
        <v>8</v>
      </c>
      <c r="W23" s="1561">
        <f>J23</f>
        <v>100</v>
      </c>
      <c r="X23" s="1554"/>
      <c r="Y23" s="351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515"/>
      <c r="Q24" s="1559">
        <f t="shared" ref="Q24:Q34" si="11">B24</f>
        <v>111</v>
      </c>
      <c r="R24" s="1560" t="s">
        <v>8</v>
      </c>
      <c r="S24" s="1561">
        <f>F24</f>
        <v>100</v>
      </c>
      <c r="T24" s="1560" t="s">
        <v>8</v>
      </c>
      <c r="U24" s="1561">
        <f>H24</f>
        <v>100</v>
      </c>
      <c r="V24" s="1560" t="s">
        <v>8</v>
      </c>
      <c r="W24" s="1561">
        <f>J24</f>
        <v>100</v>
      </c>
      <c r="X24" s="1554"/>
      <c r="Y24" s="351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515"/>
      <c r="Q25" s="1147">
        <f t="shared" si="11"/>
        <v>111</v>
      </c>
      <c r="R25" s="1555" t="s">
        <v>8</v>
      </c>
      <c r="S25" s="1556">
        <f>F25</f>
        <v>100</v>
      </c>
      <c r="T25" s="1555" t="s">
        <v>8</v>
      </c>
      <c r="U25" s="1556">
        <f>H25</f>
        <v>100</v>
      </c>
      <c r="V25" s="1555" t="s">
        <v>8</v>
      </c>
      <c r="W25" s="1556">
        <f>J25</f>
        <v>100</v>
      </c>
      <c r="X25" s="1557"/>
      <c r="Y25" s="3515"/>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51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51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517"/>
      <c r="Q27" s="1591" t="str">
        <f t="shared" si="11"/>
        <v>成新率</v>
      </c>
      <c r="R27" s="1564" t="s">
        <v>8</v>
      </c>
      <c r="S27" s="1565" t="e">
        <f t="shared" si="12"/>
        <v>#N/A</v>
      </c>
      <c r="T27" s="1564" t="s">
        <v>8</v>
      </c>
      <c r="U27" s="1565" t="e">
        <f t="shared" si="13"/>
        <v>#N/A</v>
      </c>
      <c r="V27" s="1564" t="s">
        <v>8</v>
      </c>
      <c r="W27" s="1565" t="e">
        <f t="shared" si="14"/>
        <v>#N/A</v>
      </c>
      <c r="X27" s="1566"/>
      <c r="Y27" s="351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517"/>
      <c r="Q28" s="1559" t="str">
        <f t="shared" si="11"/>
        <v>物业等级</v>
      </c>
      <c r="R28" s="1560" t="s">
        <v>8</v>
      </c>
      <c r="S28" s="1561">
        <f t="shared" si="12"/>
        <v>100</v>
      </c>
      <c r="T28" s="1560" t="s">
        <v>8</v>
      </c>
      <c r="U28" s="1561">
        <f t="shared" si="13"/>
        <v>100</v>
      </c>
      <c r="V28" s="1560" t="s">
        <v>8</v>
      </c>
      <c r="W28" s="1561">
        <f t="shared" si="14"/>
        <v>100</v>
      </c>
      <c r="X28" s="1554"/>
      <c r="Y28" s="351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517"/>
      <c r="Q29" s="1559" t="str">
        <f t="shared" si="11"/>
        <v>有无电梯</v>
      </c>
      <c r="R29" s="1560" t="s">
        <v>8</v>
      </c>
      <c r="S29" s="1561">
        <f t="shared" si="12"/>
        <v>100</v>
      </c>
      <c r="T29" s="1560" t="s">
        <v>8</v>
      </c>
      <c r="U29" s="1561">
        <f t="shared" si="13"/>
        <v>100</v>
      </c>
      <c r="V29" s="1560" t="s">
        <v>8</v>
      </c>
      <c r="W29" s="1561">
        <f t="shared" si="14"/>
        <v>100</v>
      </c>
      <c r="X29" s="1554"/>
      <c r="Y29" s="351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517"/>
      <c r="Q30" s="1559" t="str">
        <f t="shared" si="11"/>
        <v>建筑面积</v>
      </c>
      <c r="R30" s="1560" t="s">
        <v>8</v>
      </c>
      <c r="S30" s="1561" t="e">
        <f t="shared" si="12"/>
        <v>#N/A</v>
      </c>
      <c r="T30" s="1560" t="s">
        <v>8</v>
      </c>
      <c r="U30" s="1561" t="e">
        <f t="shared" si="13"/>
        <v>#N/A</v>
      </c>
      <c r="V30" s="1560" t="s">
        <v>8</v>
      </c>
      <c r="W30" s="1561" t="e">
        <f t="shared" si="14"/>
        <v>#N/A</v>
      </c>
      <c r="X30" s="1554"/>
      <c r="Y30" s="351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517"/>
      <c r="Q31" s="1147" t="str">
        <f t="shared" si="11"/>
        <v>是否封闭</v>
      </c>
      <c r="R31" s="1555" t="s">
        <v>8</v>
      </c>
      <c r="S31" s="1556">
        <f t="shared" si="12"/>
        <v>100</v>
      </c>
      <c r="T31" s="1555" t="s">
        <v>8</v>
      </c>
      <c r="U31" s="1556">
        <f t="shared" si="13"/>
        <v>100</v>
      </c>
      <c r="V31" s="1555" t="s">
        <v>8</v>
      </c>
      <c r="W31" s="1556">
        <f t="shared" si="14"/>
        <v>100</v>
      </c>
      <c r="X31" s="1557"/>
      <c r="Y31" s="351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517" t="s">
        <v>550</v>
      </c>
      <c r="Q32" s="1559">
        <f t="shared" si="11"/>
        <v>111</v>
      </c>
      <c r="R32" s="1560" t="s">
        <v>8</v>
      </c>
      <c r="S32" s="1561">
        <f t="shared" si="12"/>
        <v>100</v>
      </c>
      <c r="T32" s="1560" t="s">
        <v>8</v>
      </c>
      <c r="U32" s="1561">
        <f t="shared" si="13"/>
        <v>100</v>
      </c>
      <c r="V32" s="1560" t="s">
        <v>8</v>
      </c>
      <c r="W32" s="1561">
        <f t="shared" si="14"/>
        <v>100</v>
      </c>
      <c r="X32" s="1554"/>
      <c r="Y32" s="351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517"/>
      <c r="Q33" s="1559">
        <f t="shared" si="11"/>
        <v>111</v>
      </c>
      <c r="R33" s="1560" t="s">
        <v>8</v>
      </c>
      <c r="S33" s="1561">
        <f t="shared" si="12"/>
        <v>100</v>
      </c>
      <c r="T33" s="1560" t="s">
        <v>8</v>
      </c>
      <c r="U33" s="1561">
        <f t="shared" si="13"/>
        <v>100</v>
      </c>
      <c r="V33" s="1560" t="s">
        <v>8</v>
      </c>
      <c r="W33" s="1561">
        <f t="shared" si="14"/>
        <v>100</v>
      </c>
      <c r="X33" s="1554"/>
      <c r="Y33" s="351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517"/>
      <c r="Q34" s="1559">
        <f t="shared" si="11"/>
        <v>111</v>
      </c>
      <c r="R34" s="1560" t="s">
        <v>8</v>
      </c>
      <c r="S34" s="1561">
        <f t="shared" si="12"/>
        <v>100</v>
      </c>
      <c r="T34" s="1560" t="s">
        <v>8</v>
      </c>
      <c r="U34" s="1561">
        <f t="shared" si="13"/>
        <v>100</v>
      </c>
      <c r="V34" s="1560" t="s">
        <v>8</v>
      </c>
      <c r="W34" s="1561">
        <f t="shared" si="14"/>
        <v>100</v>
      </c>
      <c r="X34" s="1554"/>
      <c r="Y34" s="3517"/>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80" t="str">
        <f>A35</f>
        <v>成交单价（元/平方米）</v>
      </c>
      <c r="Q35" s="3480"/>
      <c r="R35" s="3574">
        <f>E35</f>
        <v>0</v>
      </c>
      <c r="S35" s="3574"/>
      <c r="T35" s="3574">
        <f>G35</f>
        <v>0</v>
      </c>
      <c r="U35" s="3574"/>
      <c r="V35" s="3574">
        <f>I35</f>
        <v>0</v>
      </c>
      <c r="W35" s="3574"/>
      <c r="X35" s="1546"/>
      <c r="Y35" s="1568"/>
      <c r="Z35" s="1546"/>
      <c r="AA35" s="1546"/>
      <c r="AB35" s="1546"/>
      <c r="AC35" s="1546"/>
    </row>
    <row r="36" spans="1:29" ht="15.7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80" t="str">
        <f>A36</f>
        <v>比较价格（元/平方米）</v>
      </c>
      <c r="Q36" s="3480"/>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546"/>
      <c r="Y36" s="1546"/>
      <c r="Z36" s="1546"/>
      <c r="AA36" s="1546"/>
      <c r="AB36" s="1546"/>
      <c r="AC36" s="1546"/>
    </row>
    <row r="37" spans="1:29" ht="15.75" thickBot="1">
      <c r="A37" s="621" t="s">
        <v>2925</v>
      </c>
      <c r="B37" s="622"/>
      <c r="C37" s="2599" t="e">
        <f>R37</f>
        <v>#DIV/0!</v>
      </c>
      <c r="D37" s="2599"/>
      <c r="E37" s="2599"/>
      <c r="F37" s="2599"/>
      <c r="G37" s="2599"/>
      <c r="H37" s="2599"/>
      <c r="I37" s="2599"/>
      <c r="J37" s="2599"/>
      <c r="K37" s="1599"/>
      <c r="L37" s="2128"/>
      <c r="M37" s="2129"/>
      <c r="N37" s="2129"/>
      <c r="O37" s="2129"/>
      <c r="P37" s="3477" t="str">
        <f>A37</f>
        <v>估价对象XX用房的比较价格（楼面单价，元/平方米）</v>
      </c>
      <c r="Q37" s="3478"/>
      <c r="R37" s="3573" t="e">
        <f>IF(F1="售价",ROUND(AVERAGE(R36:V36),0),ROUND(AVERAGE(R36:V36),1))</f>
        <v>#DIV/0!</v>
      </c>
      <c r="S37" s="3573"/>
      <c r="T37" s="3573"/>
      <c r="U37" s="3573"/>
      <c r="V37" s="3573"/>
      <c r="W37" s="3573"/>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8" t="s">
        <v>2301</v>
      </c>
      <c r="D1" s="3609"/>
      <c r="E1" s="3609"/>
      <c r="F1" s="3609"/>
      <c r="G1" s="3609"/>
      <c r="H1" s="3609"/>
      <c r="I1" s="3609"/>
      <c r="J1" s="3609"/>
      <c r="K1" s="3609"/>
      <c r="L1" s="3609"/>
      <c r="M1" s="3609"/>
      <c r="N1" s="3609"/>
      <c r="O1" s="3609"/>
      <c r="P1" s="3609"/>
      <c r="Q1" s="3609"/>
      <c r="R1" s="3609"/>
      <c r="S1" s="3610"/>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605" t="s">
        <v>20</v>
      </c>
      <c r="D22" s="3606"/>
      <c r="E22" s="3606"/>
      <c r="F22" s="3606"/>
      <c r="G22" s="3606"/>
      <c r="H22" s="3606"/>
      <c r="I22" s="3606"/>
      <c r="J22" s="3606"/>
      <c r="K22" s="3606"/>
      <c r="L22" s="3606"/>
      <c r="M22" s="3606"/>
      <c r="N22" s="3606"/>
      <c r="O22" s="3606"/>
      <c r="P22" s="3606"/>
      <c r="Q22" s="360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43650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v>
      </c>
      <c r="D2" s="2954" t="s">
        <v>2785</v>
      </c>
      <c r="E2" s="2957">
        <f ca="1">INDIRECT("I"&amp;$I$1)/100</f>
        <v>4.3499999999999997E-2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624" t="s">
        <v>3165</v>
      </c>
      <c r="B2" s="3624"/>
      <c r="C2" s="3624"/>
      <c r="D2" s="3624"/>
      <c r="E2" s="3624"/>
      <c r="F2" s="3624"/>
      <c r="G2" s="3624"/>
      <c r="H2" s="3624"/>
      <c r="I2" s="3624"/>
      <c r="J2" s="3624"/>
      <c r="K2" s="3624"/>
      <c r="L2" s="3624"/>
      <c r="M2" s="3624"/>
    </row>
    <row r="3" spans="1:13">
      <c r="A3" s="3625">
        <v>43608</v>
      </c>
      <c r="B3" s="3626"/>
      <c r="C3" s="3626"/>
      <c r="D3" s="3626"/>
      <c r="E3" s="3626"/>
      <c r="F3" s="3626"/>
      <c r="G3" s="3626"/>
      <c r="H3" s="3626"/>
      <c r="I3" s="3626"/>
      <c r="J3" s="3626"/>
      <c r="K3" s="3626"/>
      <c r="L3" s="3626"/>
      <c r="M3" s="3626"/>
    </row>
    <row r="4" spans="1:13">
      <c r="A4" s="3627" t="s">
        <v>3166</v>
      </c>
      <c r="B4" s="3627" t="s">
        <v>3167</v>
      </c>
      <c r="C4" s="3202" t="s">
        <v>3168</v>
      </c>
      <c r="D4" s="3202" t="s">
        <v>3169</v>
      </c>
      <c r="E4" s="3629" t="s">
        <v>3170</v>
      </c>
      <c r="F4" s="3630"/>
      <c r="G4" s="3631" t="s">
        <v>3171</v>
      </c>
      <c r="H4" s="3632"/>
      <c r="I4" s="3632"/>
      <c r="J4" s="3633"/>
      <c r="K4" s="3629" t="s">
        <v>3172</v>
      </c>
      <c r="L4" s="3630"/>
      <c r="M4" s="3202" t="s">
        <v>3173</v>
      </c>
    </row>
    <row r="5" spans="1:13">
      <c r="A5" s="3628"/>
      <c r="B5" s="3628"/>
      <c r="C5" s="3203" t="s">
        <v>3174</v>
      </c>
      <c r="D5" s="3203" t="s">
        <v>3174</v>
      </c>
      <c r="E5" s="3203" t="s">
        <v>3174</v>
      </c>
      <c r="F5" s="3203" t="s">
        <v>3175</v>
      </c>
      <c r="G5" s="3634"/>
      <c r="H5" s="3635"/>
      <c r="I5" s="3635"/>
      <c r="J5" s="3636"/>
      <c r="K5" s="3203" t="s">
        <v>3174</v>
      </c>
      <c r="L5" s="3203" t="s">
        <v>3175</v>
      </c>
      <c r="M5" s="3202"/>
    </row>
    <row r="6" spans="1:13">
      <c r="A6" s="3615">
        <v>1</v>
      </c>
      <c r="B6" s="3615" t="s">
        <v>3176</v>
      </c>
      <c r="C6" s="3615">
        <v>22838</v>
      </c>
      <c r="D6" s="3615">
        <v>70210</v>
      </c>
      <c r="E6" s="3615">
        <v>7667</v>
      </c>
      <c r="F6" s="3613">
        <f>E6/666.67</f>
        <v>11.500442497787512</v>
      </c>
      <c r="G6" s="3617" t="s">
        <v>3177</v>
      </c>
      <c r="H6" s="3618"/>
      <c r="I6" s="3618"/>
      <c r="J6" s="3619"/>
      <c r="K6" s="3615">
        <f>C6-E6</f>
        <v>15171</v>
      </c>
      <c r="L6" s="3613">
        <f>K6/666.67</f>
        <v>22.756386218068911</v>
      </c>
      <c r="M6" s="3615" t="s">
        <v>3178</v>
      </c>
    </row>
    <row r="7" spans="1:13">
      <c r="A7" s="3616"/>
      <c r="B7" s="3616"/>
      <c r="C7" s="3616"/>
      <c r="D7" s="3616"/>
      <c r="E7" s="3616"/>
      <c r="F7" s="3614"/>
      <c r="G7" s="3617">
        <v>7667</v>
      </c>
      <c r="H7" s="3618"/>
      <c r="I7" s="3618"/>
      <c r="J7" s="3619"/>
      <c r="K7" s="3616"/>
      <c r="L7" s="3614"/>
      <c r="M7" s="3616"/>
    </row>
    <row r="8" spans="1:13">
      <c r="A8" s="3204">
        <v>2</v>
      </c>
      <c r="B8" s="3615" t="s">
        <v>3179</v>
      </c>
      <c r="C8" s="3615">
        <v>30300.45</v>
      </c>
      <c r="D8" s="3615">
        <v>190650</v>
      </c>
      <c r="E8" s="3615">
        <v>29124.26</v>
      </c>
      <c r="F8" s="3613">
        <f t="shared" ref="F8:F18" si="0">E8/666.67</f>
        <v>43.686171569142154</v>
      </c>
      <c r="G8" s="3255" t="s">
        <v>3180</v>
      </c>
      <c r="H8" s="3204" t="s">
        <v>3181</v>
      </c>
      <c r="I8" s="3255" t="s">
        <v>3182</v>
      </c>
      <c r="J8" s="3204" t="s">
        <v>3183</v>
      </c>
      <c r="K8" s="3615">
        <f>C8-E8</f>
        <v>1176.1900000000023</v>
      </c>
      <c r="L8" s="3613">
        <f t="shared" ref="L8:L18" si="1">K8/666.67</f>
        <v>1.7642761786191106</v>
      </c>
      <c r="M8" s="3615" t="s">
        <v>3184</v>
      </c>
    </row>
    <row r="9" spans="1:13">
      <c r="A9" s="3204"/>
      <c r="B9" s="3616"/>
      <c r="C9" s="3616"/>
      <c r="D9" s="3616"/>
      <c r="E9" s="3616"/>
      <c r="F9" s="3614"/>
      <c r="G9" s="3204">
        <v>15693.87</v>
      </c>
      <c r="H9" s="3204">
        <v>1484.47</v>
      </c>
      <c r="I9" s="3204">
        <v>11676.56</v>
      </c>
      <c r="J9" s="3204">
        <v>269.36</v>
      </c>
      <c r="K9" s="3616"/>
      <c r="L9" s="3614"/>
      <c r="M9" s="3616"/>
    </row>
    <row r="10" spans="1:13">
      <c r="A10" s="3204">
        <v>3</v>
      </c>
      <c r="B10" s="3615" t="s">
        <v>3185</v>
      </c>
      <c r="C10" s="3615">
        <v>38270.76</v>
      </c>
      <c r="D10" s="3615">
        <v>63275</v>
      </c>
      <c r="E10" s="3615">
        <v>4758.38</v>
      </c>
      <c r="F10" s="3613">
        <f t="shared" si="0"/>
        <v>7.1375343123284392</v>
      </c>
      <c r="G10" s="3204" t="s">
        <v>3186</v>
      </c>
      <c r="H10" s="3204" t="s">
        <v>3187</v>
      </c>
      <c r="I10" s="3204" t="s">
        <v>3180</v>
      </c>
      <c r="J10" s="3204" t="s">
        <v>3188</v>
      </c>
      <c r="K10" s="3615">
        <v>37512.379999999997</v>
      </c>
      <c r="L10" s="3613">
        <f t="shared" si="1"/>
        <v>56.268288658556706</v>
      </c>
      <c r="M10" s="3615" t="s">
        <v>3184</v>
      </c>
    </row>
    <row r="11" spans="1:13">
      <c r="A11" s="3204"/>
      <c r="B11" s="3616"/>
      <c r="C11" s="3616"/>
      <c r="D11" s="3616"/>
      <c r="E11" s="3616"/>
      <c r="F11" s="3614"/>
      <c r="G11" s="3204">
        <v>4183.7700000000004</v>
      </c>
      <c r="H11" s="3204">
        <v>198.71</v>
      </c>
      <c r="I11" s="3204">
        <v>357.58</v>
      </c>
      <c r="J11" s="3204">
        <v>18.32</v>
      </c>
      <c r="K11" s="3616"/>
      <c r="L11" s="3614"/>
      <c r="M11" s="3616"/>
    </row>
    <row r="12" spans="1:13">
      <c r="A12" s="3204">
        <v>4</v>
      </c>
      <c r="B12" s="3615" t="s">
        <v>3189</v>
      </c>
      <c r="C12" s="3615">
        <v>23925</v>
      </c>
      <c r="D12" s="3615">
        <v>54020</v>
      </c>
      <c r="E12" s="3615">
        <v>16365</v>
      </c>
      <c r="F12" s="3613">
        <f t="shared" si="0"/>
        <v>24.547377263113685</v>
      </c>
      <c r="G12" s="3617" t="s">
        <v>3190</v>
      </c>
      <c r="H12" s="3619"/>
      <c r="I12" s="3617" t="s">
        <v>3191</v>
      </c>
      <c r="J12" s="3619"/>
      <c r="K12" s="3615">
        <f t="shared" ref="K12:K18" si="2">C12-E12</f>
        <v>7560</v>
      </c>
      <c r="L12" s="3613">
        <f t="shared" si="1"/>
        <v>11.339943300283499</v>
      </c>
      <c r="M12" s="3615" t="s">
        <v>3184</v>
      </c>
    </row>
    <row r="13" spans="1:13">
      <c r="A13" s="3204"/>
      <c r="B13" s="3616"/>
      <c r="C13" s="3616"/>
      <c r="D13" s="3616"/>
      <c r="E13" s="3616"/>
      <c r="F13" s="3614"/>
      <c r="G13" s="3617">
        <v>6862</v>
      </c>
      <c r="H13" s="3619"/>
      <c r="I13" s="3617">
        <v>9503</v>
      </c>
      <c r="J13" s="3619"/>
      <c r="K13" s="3616"/>
      <c r="L13" s="3614"/>
      <c r="M13" s="3616"/>
    </row>
    <row r="14" spans="1:13">
      <c r="A14" s="3204">
        <v>5</v>
      </c>
      <c r="B14" s="3615" t="s">
        <v>3192</v>
      </c>
      <c r="C14" s="3615">
        <v>33664.449999999997</v>
      </c>
      <c r="D14" s="3615">
        <v>90357</v>
      </c>
      <c r="E14" s="3615">
        <v>30861.85</v>
      </c>
      <c r="F14" s="3613">
        <f t="shared" si="0"/>
        <v>46.292543537282313</v>
      </c>
      <c r="G14" s="3255" t="s">
        <v>3182</v>
      </c>
      <c r="H14" s="3204" t="s">
        <v>3188</v>
      </c>
      <c r="I14" s="3622" t="s">
        <v>3193</v>
      </c>
      <c r="J14" s="3623"/>
      <c r="K14" s="3615">
        <f t="shared" si="2"/>
        <v>2802.5999999999985</v>
      </c>
      <c r="L14" s="3613">
        <f t="shared" si="1"/>
        <v>4.2038789806050954</v>
      </c>
      <c r="M14" s="3615" t="s">
        <v>3184</v>
      </c>
    </row>
    <row r="15" spans="1:13">
      <c r="A15" s="3204"/>
      <c r="B15" s="3616"/>
      <c r="C15" s="3616"/>
      <c r="D15" s="3616"/>
      <c r="E15" s="3616"/>
      <c r="F15" s="3614"/>
      <c r="G15" s="3204">
        <v>22669.3</v>
      </c>
      <c r="H15" s="3204">
        <v>641.62</v>
      </c>
      <c r="I15" s="3617">
        <v>7550.93</v>
      </c>
      <c r="J15" s="3619"/>
      <c r="K15" s="3616"/>
      <c r="L15" s="3614"/>
      <c r="M15" s="3616"/>
    </row>
    <row r="16" spans="1:13">
      <c r="A16" s="3204">
        <v>6</v>
      </c>
      <c r="B16" s="3615" t="s">
        <v>3194</v>
      </c>
      <c r="C16" s="3615">
        <v>9367</v>
      </c>
      <c r="D16" s="3615">
        <v>9742</v>
      </c>
      <c r="E16" s="3615">
        <v>6822</v>
      </c>
      <c r="F16" s="3613">
        <f t="shared" si="0"/>
        <v>10.232948835255824</v>
      </c>
      <c r="G16" s="3617" t="s">
        <v>3195</v>
      </c>
      <c r="H16" s="3618"/>
      <c r="I16" s="3618"/>
      <c r="J16" s="3619"/>
      <c r="K16" s="3615">
        <f t="shared" si="2"/>
        <v>2545</v>
      </c>
      <c r="L16" s="3613">
        <f t="shared" si="1"/>
        <v>3.8174809125954372</v>
      </c>
      <c r="M16" s="3615" t="s">
        <v>3184</v>
      </c>
    </row>
    <row r="17" spans="1:13">
      <c r="A17" s="3204"/>
      <c r="B17" s="3616"/>
      <c r="C17" s="3616"/>
      <c r="D17" s="3616"/>
      <c r="E17" s="3616"/>
      <c r="F17" s="3614"/>
      <c r="G17" s="3617">
        <v>6822</v>
      </c>
      <c r="H17" s="3618"/>
      <c r="I17" s="3618"/>
      <c r="J17" s="3619"/>
      <c r="K17" s="3616"/>
      <c r="L17" s="3614"/>
      <c r="M17" s="3616"/>
    </row>
    <row r="18" spans="1:13">
      <c r="A18" s="3204">
        <v>7</v>
      </c>
      <c r="B18" s="3620" t="s">
        <v>3196</v>
      </c>
      <c r="C18" s="3615">
        <v>696.93</v>
      </c>
      <c r="D18" s="3615">
        <v>1200</v>
      </c>
      <c r="E18" s="3615">
        <v>696.93</v>
      </c>
      <c r="F18" s="3613">
        <f t="shared" si="0"/>
        <v>1.0453897730511348</v>
      </c>
      <c r="G18" s="3617" t="s">
        <v>3197</v>
      </c>
      <c r="H18" s="3618"/>
      <c r="I18" s="3618"/>
      <c r="J18" s="3619"/>
      <c r="K18" s="3615">
        <f t="shared" si="2"/>
        <v>0</v>
      </c>
      <c r="L18" s="3613">
        <f t="shared" si="1"/>
        <v>0</v>
      </c>
      <c r="M18" s="3615"/>
    </row>
    <row r="19" spans="1:13">
      <c r="A19" s="3205"/>
      <c r="B19" s="3621"/>
      <c r="C19" s="3616"/>
      <c r="D19" s="3616"/>
      <c r="E19" s="3616"/>
      <c r="F19" s="3614"/>
      <c r="G19" s="3617">
        <v>696.93</v>
      </c>
      <c r="H19" s="3618"/>
      <c r="I19" s="3618"/>
      <c r="J19" s="3619"/>
      <c r="K19" s="3616"/>
      <c r="L19" s="3614"/>
      <c r="M19" s="3616"/>
    </row>
    <row r="20" spans="1:13">
      <c r="A20" s="3611" t="s">
        <v>3198</v>
      </c>
      <c r="B20" s="3612"/>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3199</v>
      </c>
      <c r="C21" s="3204">
        <v>45356.3</v>
      </c>
      <c r="D21" s="3204">
        <v>43583</v>
      </c>
      <c r="E21" s="3204">
        <v>27269</v>
      </c>
      <c r="F21" s="3208">
        <f>E21/666.67</f>
        <v>40.903295483522584</v>
      </c>
      <c r="G21" s="3204" t="s">
        <v>3200</v>
      </c>
      <c r="H21" s="3204" t="s">
        <v>3201</v>
      </c>
      <c r="I21" s="3204" t="s">
        <v>3202</v>
      </c>
      <c r="J21" s="3204" t="s">
        <v>3203</v>
      </c>
      <c r="K21" s="3204">
        <f>C21-E21</f>
        <v>18087.300000000003</v>
      </c>
      <c r="L21" s="3208">
        <f>K21/666.67</f>
        <v>27.130814345928275</v>
      </c>
      <c r="M21" s="3204" t="s">
        <v>3204</v>
      </c>
    </row>
  </sheetData>
  <mergeCells count="77">
    <mergeCell ref="A6:A7"/>
    <mergeCell ref="B6:B7"/>
    <mergeCell ref="C6:C7"/>
    <mergeCell ref="D6:D7"/>
    <mergeCell ref="E6:E7"/>
    <mergeCell ref="A2:M2"/>
    <mergeCell ref="A3:M3"/>
    <mergeCell ref="A4:A5"/>
    <mergeCell ref="B4:B5"/>
    <mergeCell ref="E4:F4"/>
    <mergeCell ref="G4:J5"/>
    <mergeCell ref="K4:L4"/>
    <mergeCell ref="F6:F7"/>
    <mergeCell ref="G6:J6"/>
    <mergeCell ref="K6:K7"/>
    <mergeCell ref="L6:L7"/>
    <mergeCell ref="M10:M11"/>
    <mergeCell ref="K10:K11"/>
    <mergeCell ref="L10:L11"/>
    <mergeCell ref="M6:M7"/>
    <mergeCell ref="G7:J7"/>
    <mergeCell ref="K8:K9"/>
    <mergeCell ref="L8:L9"/>
    <mergeCell ref="M8:M9"/>
    <mergeCell ref="F12:F13"/>
    <mergeCell ref="B8:B9"/>
    <mergeCell ref="C8:C9"/>
    <mergeCell ref="D8:D9"/>
    <mergeCell ref="E8:E9"/>
    <mergeCell ref="F8:F9"/>
    <mergeCell ref="C10:C11"/>
    <mergeCell ref="D10:D11"/>
    <mergeCell ref="E10:E11"/>
    <mergeCell ref="F10:F11"/>
    <mergeCell ref="B10:B11"/>
    <mergeCell ref="G12:H12"/>
    <mergeCell ref="I12:J12"/>
    <mergeCell ref="K12:K13"/>
    <mergeCell ref="L12:L13"/>
    <mergeCell ref="M12:M13"/>
    <mergeCell ref="G13:H13"/>
    <mergeCell ref="I13:J13"/>
    <mergeCell ref="B14:B15"/>
    <mergeCell ref="C14:C15"/>
    <mergeCell ref="D14:D15"/>
    <mergeCell ref="E14:E15"/>
    <mergeCell ref="B12:B13"/>
    <mergeCell ref="C12:C13"/>
    <mergeCell ref="D12:D13"/>
    <mergeCell ref="E12:E13"/>
    <mergeCell ref="F14:F15"/>
    <mergeCell ref="I14:J14"/>
    <mergeCell ref="K14:K15"/>
    <mergeCell ref="L14:L15"/>
    <mergeCell ref="M14:M15"/>
    <mergeCell ref="I15:J15"/>
    <mergeCell ref="B16:B17"/>
    <mergeCell ref="C16:C17"/>
    <mergeCell ref="D16:D17"/>
    <mergeCell ref="E16:E17"/>
    <mergeCell ref="F16:F1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7" workbookViewId="0">
      <selection activeCell="A39" sqref="A39:G39"/>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3206</v>
      </c>
      <c r="B1" s="3210"/>
      <c r="C1" s="3210"/>
      <c r="D1" s="3210"/>
      <c r="E1" s="3210"/>
      <c r="F1" s="3210"/>
      <c r="G1" s="3210"/>
      <c r="H1" s="3211"/>
    </row>
    <row r="2" spans="1:16" ht="25.5">
      <c r="A2" s="3658" t="s">
        <v>3207</v>
      </c>
      <c r="B2" s="3658"/>
      <c r="C2" s="3658"/>
      <c r="D2" s="3658"/>
      <c r="E2" s="3658"/>
      <c r="F2" s="3658"/>
      <c r="G2" s="3658"/>
      <c r="H2" s="3213"/>
    </row>
    <row r="3" spans="1:16">
      <c r="A3" s="3659" t="s">
        <v>3208</v>
      </c>
      <c r="B3" s="3659"/>
      <c r="C3" s="3659"/>
      <c r="D3" s="3214" t="s">
        <v>3209</v>
      </c>
      <c r="E3" s="3214" t="s">
        <v>3210</v>
      </c>
      <c r="F3" s="3214" t="s">
        <v>3211</v>
      </c>
      <c r="G3" s="3214" t="s">
        <v>3212</v>
      </c>
      <c r="H3" s="3213"/>
    </row>
    <row r="4" spans="1:16">
      <c r="A4" s="3647" t="s">
        <v>3213</v>
      </c>
      <c r="B4" s="3647"/>
      <c r="C4" s="3647"/>
      <c r="D4" s="3214" t="s">
        <v>3214</v>
      </c>
      <c r="E4" s="3214">
        <v>38270.76</v>
      </c>
      <c r="F4" s="3215">
        <v>38270.76</v>
      </c>
      <c r="G4" s="3210"/>
      <c r="H4" s="3216"/>
      <c r="J4" s="3214"/>
    </row>
    <row r="5" spans="1:16">
      <c r="A5" s="3647" t="s">
        <v>3215</v>
      </c>
      <c r="B5" s="3647"/>
      <c r="C5" s="3647"/>
      <c r="D5" s="3217" t="s">
        <v>3216</v>
      </c>
      <c r="E5" s="3214"/>
      <c r="F5" s="3218">
        <f>[7]A3组团表4!K36</f>
        <v>448</v>
      </c>
      <c r="G5" s="3210"/>
      <c r="H5" s="3211"/>
    </row>
    <row r="6" spans="1:16">
      <c r="A6" s="3647" t="s">
        <v>3217</v>
      </c>
      <c r="B6" s="3647"/>
      <c r="C6" s="3647"/>
      <c r="D6" s="3219" t="s">
        <v>3218</v>
      </c>
      <c r="E6" s="3214"/>
      <c r="F6" s="3220">
        <f>'[7]公共服务设施控制指标（㎡ 千人）'!F2</f>
        <v>1434</v>
      </c>
      <c r="G6" s="3210"/>
      <c r="H6" s="3211"/>
      <c r="I6" s="3221"/>
    </row>
    <row r="7" spans="1:16" ht="16.5">
      <c r="A7" s="3647" t="s">
        <v>3219</v>
      </c>
      <c r="B7" s="3647"/>
      <c r="C7" s="3647"/>
      <c r="D7" s="3219" t="s">
        <v>3220</v>
      </c>
      <c r="E7" s="3222"/>
      <c r="F7" s="3215">
        <f>F9+F10</f>
        <v>164550</v>
      </c>
      <c r="G7" s="3210"/>
      <c r="H7" s="3211"/>
    </row>
    <row r="8" spans="1:16" ht="16.5">
      <c r="A8" s="3648" t="s">
        <v>3221</v>
      </c>
      <c r="B8" s="3649"/>
      <c r="C8" s="3650"/>
      <c r="D8" s="3214"/>
      <c r="E8" s="3222"/>
      <c r="F8" s="3215"/>
      <c r="G8" s="3210"/>
      <c r="H8" s="3211"/>
    </row>
    <row r="9" spans="1:16" ht="16.5">
      <c r="A9" s="3647" t="s">
        <v>3222</v>
      </c>
      <c r="B9" s="3647" t="s">
        <v>3223</v>
      </c>
      <c r="C9" s="3647"/>
      <c r="D9" s="3214" t="s">
        <v>3224</v>
      </c>
      <c r="E9" s="3222"/>
      <c r="F9" s="3215">
        <f>F12+F13+F24+F27</f>
        <v>64550</v>
      </c>
      <c r="G9" s="3210"/>
      <c r="H9" s="3211"/>
      <c r="J9" s="3221"/>
    </row>
    <row r="10" spans="1:16" ht="16.5">
      <c r="A10" s="3647"/>
      <c r="B10" s="3647" t="s">
        <v>3225</v>
      </c>
      <c r="C10" s="3647"/>
      <c r="D10" s="3214" t="s">
        <v>3224</v>
      </c>
      <c r="E10" s="3222"/>
      <c r="F10" s="3215">
        <f>F25+F26+F28</f>
        <v>100000</v>
      </c>
      <c r="G10" s="3210"/>
      <c r="H10" s="3211"/>
    </row>
    <row r="11" spans="1:16" ht="16.5">
      <c r="A11" s="3648" t="s">
        <v>3226</v>
      </c>
      <c r="B11" s="3649"/>
      <c r="C11" s="3650"/>
      <c r="D11" s="3214"/>
      <c r="E11" s="3222"/>
      <c r="F11" s="3215"/>
      <c r="G11" s="3210"/>
      <c r="H11" s="3211"/>
    </row>
    <row r="12" spans="1:16">
      <c r="A12" s="3651"/>
      <c r="B12" s="3654" t="s">
        <v>3227</v>
      </c>
      <c r="C12" s="3654"/>
      <c r="D12" s="3214" t="s">
        <v>3224</v>
      </c>
      <c r="E12" s="3214"/>
      <c r="F12" s="3215">
        <f>[7]A3组团表4!J8+[7]A3组团表4!J9+[7]A3组团表4!J10+[7]A3组团表4!J15+[7]A3组团表4!J19+[7]A3组团表4!J23</f>
        <v>59500</v>
      </c>
      <c r="G12" s="3223"/>
      <c r="H12" s="3211"/>
    </row>
    <row r="13" spans="1:16">
      <c r="A13" s="3652"/>
      <c r="B13" s="3654" t="s">
        <v>3228</v>
      </c>
      <c r="C13" s="3654"/>
      <c r="D13" s="3214" t="s">
        <v>3224</v>
      </c>
      <c r="E13" s="3214"/>
      <c r="F13" s="3215">
        <f>SUM(F14:F23)</f>
        <v>3775</v>
      </c>
      <c r="G13" s="3210"/>
      <c r="H13" s="3211"/>
      <c r="J13" s="3221"/>
      <c r="K13" s="3221"/>
      <c r="L13" s="3221"/>
      <c r="M13" s="3221"/>
      <c r="N13" s="3221"/>
      <c r="O13" s="3221"/>
      <c r="P13" s="3221"/>
    </row>
    <row r="14" spans="1:16">
      <c r="A14" s="3652"/>
      <c r="B14" s="3655" t="s">
        <v>3222</v>
      </c>
      <c r="C14" s="3224" t="s">
        <v>3229</v>
      </c>
      <c r="D14" s="3214" t="s">
        <v>3230</v>
      </c>
      <c r="E14" s="3214"/>
      <c r="F14" s="3215">
        <f>[7]A3组团表4!J28</f>
        <v>3450</v>
      </c>
      <c r="G14" s="3210" t="s">
        <v>3231</v>
      </c>
      <c r="H14" s="3211"/>
      <c r="J14" s="3221"/>
      <c r="K14" s="3221"/>
      <c r="L14" s="3221"/>
      <c r="M14" s="3221"/>
      <c r="N14" s="3221"/>
      <c r="O14" s="3221"/>
      <c r="P14" s="3221"/>
    </row>
    <row r="15" spans="1:16">
      <c r="A15" s="3652"/>
      <c r="B15" s="3656"/>
      <c r="C15" s="3224" t="s">
        <v>3232</v>
      </c>
      <c r="D15" s="3214" t="s">
        <v>3220</v>
      </c>
      <c r="E15" s="3214"/>
      <c r="F15" s="3215">
        <v>0</v>
      </c>
      <c r="G15" s="3210"/>
      <c r="H15" s="3211"/>
      <c r="J15" s="3221"/>
      <c r="K15" s="3221"/>
      <c r="L15" s="3221"/>
      <c r="M15" s="3221"/>
      <c r="N15" s="3221"/>
      <c r="O15" s="3221"/>
      <c r="P15" s="3221"/>
    </row>
    <row r="16" spans="1:16" ht="28.5">
      <c r="A16" s="3652"/>
      <c r="B16" s="3656"/>
      <c r="C16" s="3224" t="s">
        <v>3233</v>
      </c>
      <c r="D16" s="3214" t="s">
        <v>3220</v>
      </c>
      <c r="E16" s="3214"/>
      <c r="F16" s="3215">
        <f>0</f>
        <v>0</v>
      </c>
      <c r="G16" s="3225"/>
      <c r="H16" s="3211"/>
      <c r="J16" s="3221"/>
      <c r="K16" s="3221"/>
      <c r="L16" s="3221"/>
      <c r="M16" s="3221"/>
      <c r="N16" s="3221"/>
      <c r="O16" s="3221"/>
      <c r="P16" s="3221"/>
    </row>
    <row r="17" spans="1:16">
      <c r="A17" s="3652"/>
      <c r="B17" s="3656"/>
      <c r="C17" s="3224" t="s">
        <v>3234</v>
      </c>
      <c r="D17" s="3214" t="s">
        <v>3214</v>
      </c>
      <c r="E17" s="3214"/>
      <c r="F17" s="3215">
        <f>[7]A3组团表4!J6</f>
        <v>300</v>
      </c>
      <c r="G17" s="3210" t="s">
        <v>3235</v>
      </c>
      <c r="H17" s="3226"/>
      <c r="J17" s="3221"/>
      <c r="K17" s="3221"/>
      <c r="L17" s="3221"/>
      <c r="M17" s="3221"/>
      <c r="N17" s="3221"/>
      <c r="O17" s="3221"/>
      <c r="P17" s="3221"/>
    </row>
    <row r="18" spans="1:16">
      <c r="A18" s="3652"/>
      <c r="B18" s="3656"/>
      <c r="C18" s="3224" t="s">
        <v>3236</v>
      </c>
      <c r="D18" s="3214" t="s">
        <v>3214</v>
      </c>
      <c r="E18" s="3214"/>
      <c r="F18" s="3215">
        <f>[7]A3组团表4!J7</f>
        <v>25</v>
      </c>
      <c r="G18" s="3210" t="s">
        <v>3237</v>
      </c>
      <c r="H18" s="3211"/>
      <c r="J18" s="3221"/>
      <c r="K18" s="3221"/>
      <c r="L18" s="3221"/>
      <c r="M18" s="3221"/>
      <c r="N18" s="3221"/>
      <c r="O18" s="3221"/>
      <c r="P18" s="3221"/>
    </row>
    <row r="19" spans="1:16">
      <c r="A19" s="3652"/>
      <c r="B19" s="3656"/>
      <c r="C19" s="3224" t="s">
        <v>3238</v>
      </c>
      <c r="D19" s="3214" t="s">
        <v>3220</v>
      </c>
      <c r="E19" s="3214"/>
      <c r="F19" s="3215">
        <v>0</v>
      </c>
      <c r="G19" s="3210"/>
      <c r="H19" s="3211"/>
      <c r="J19" s="3221"/>
      <c r="K19" s="3221"/>
      <c r="L19" s="3221"/>
      <c r="M19" s="3221"/>
      <c r="N19" s="3221"/>
      <c r="O19" s="3221"/>
      <c r="P19" s="3221"/>
    </row>
    <row r="20" spans="1:16">
      <c r="A20" s="3652"/>
      <c r="B20" s="3656"/>
      <c r="C20" s="3224" t="s">
        <v>3239</v>
      </c>
      <c r="D20" s="3214" t="s">
        <v>3220</v>
      </c>
      <c r="E20" s="3214"/>
      <c r="F20" s="3215">
        <v>0</v>
      </c>
      <c r="G20" s="3210"/>
      <c r="H20" s="3211"/>
      <c r="J20" s="3221"/>
      <c r="K20" s="3221"/>
      <c r="L20" s="3221"/>
      <c r="M20" s="3221"/>
      <c r="N20" s="3221"/>
      <c r="O20" s="3221"/>
      <c r="P20" s="3221"/>
    </row>
    <row r="21" spans="1:16" ht="28.5">
      <c r="A21" s="3652"/>
      <c r="B21" s="3656"/>
      <c r="C21" s="3224" t="s">
        <v>3240</v>
      </c>
      <c r="D21" s="3214" t="s">
        <v>3220</v>
      </c>
      <c r="E21" s="3214"/>
      <c r="F21" s="3215">
        <v>0</v>
      </c>
      <c r="G21" s="3210"/>
      <c r="H21" s="3211"/>
      <c r="J21" s="3221"/>
      <c r="K21" s="3221"/>
      <c r="L21" s="3221"/>
      <c r="M21" s="3221"/>
      <c r="N21" s="3221"/>
      <c r="O21" s="3221"/>
      <c r="P21" s="3221"/>
    </row>
    <row r="22" spans="1:16">
      <c r="A22" s="3652"/>
      <c r="B22" s="3656"/>
      <c r="C22" s="3224" t="s">
        <v>3241</v>
      </c>
      <c r="D22" s="3214" t="s">
        <v>3220</v>
      </c>
      <c r="E22" s="3214"/>
      <c r="F22" s="3215">
        <v>0</v>
      </c>
      <c r="G22" s="3210"/>
      <c r="H22" s="3211"/>
      <c r="J22" s="3221"/>
      <c r="K22" s="3221"/>
      <c r="L22" s="3221"/>
      <c r="M22" s="3221"/>
      <c r="N22" s="3221"/>
      <c r="O22" s="3221"/>
      <c r="P22" s="3221"/>
    </row>
    <row r="23" spans="1:16">
      <c r="A23" s="3652"/>
      <c r="B23" s="3657"/>
      <c r="C23" s="3224" t="s">
        <v>3242</v>
      </c>
      <c r="D23" s="3214" t="s">
        <v>3220</v>
      </c>
      <c r="E23" s="3214"/>
      <c r="F23" s="3215">
        <v>0</v>
      </c>
      <c r="G23" s="3210"/>
      <c r="H23" s="3211"/>
      <c r="J23" s="3221"/>
      <c r="K23" s="3221"/>
      <c r="L23" s="3221"/>
      <c r="M23" s="3221"/>
      <c r="N23" s="3221"/>
      <c r="O23" s="3221"/>
      <c r="P23" s="3221"/>
    </row>
    <row r="24" spans="1:16">
      <c r="A24" s="3652"/>
      <c r="B24" s="3654" t="s">
        <v>3243</v>
      </c>
      <c r="C24" s="3654"/>
      <c r="D24" s="3214" t="s">
        <v>3224</v>
      </c>
      <c r="E24" s="3214"/>
      <c r="F24" s="3215">
        <v>0</v>
      </c>
      <c r="G24" s="3210"/>
      <c r="H24" s="3211"/>
      <c r="J24" s="3221"/>
      <c r="K24" s="3221"/>
      <c r="L24" s="3221"/>
      <c r="M24" s="3221"/>
      <c r="N24" s="3221"/>
      <c r="O24" s="3221"/>
      <c r="P24" s="3221"/>
    </row>
    <row r="25" spans="1:16">
      <c r="A25" s="3652"/>
      <c r="B25" s="3654" t="s">
        <v>3244</v>
      </c>
      <c r="C25" s="3654"/>
      <c r="D25" s="3214" t="s">
        <v>3224</v>
      </c>
      <c r="E25" s="3214"/>
      <c r="F25" s="3214">
        <f>[7]A3组团表4!G31+[7]A3组团表4!G33</f>
        <v>59700</v>
      </c>
      <c r="G25" s="3210"/>
      <c r="H25" s="3211"/>
    </row>
    <row r="26" spans="1:16">
      <c r="A26" s="3652"/>
      <c r="B26" s="3654" t="s">
        <v>3245</v>
      </c>
      <c r="C26" s="3654"/>
      <c r="D26" s="3214" t="s">
        <v>3220</v>
      </c>
      <c r="E26" s="3214"/>
      <c r="F26" s="3214">
        <f>[7]A3组团表4!G32+[7]A3组团表4!G34</f>
        <v>300</v>
      </c>
      <c r="G26" s="3210"/>
      <c r="H26" s="3211"/>
    </row>
    <row r="27" spans="1:16" ht="28.5">
      <c r="A27" s="3652"/>
      <c r="B27" s="3654" t="s">
        <v>3246</v>
      </c>
      <c r="C27" s="3654"/>
      <c r="D27" s="3214" t="s">
        <v>3224</v>
      </c>
      <c r="E27" s="3214"/>
      <c r="F27" s="3214">
        <f>[7]A3组团表4!O15+[7]A3组团表4!O19+[7]A3组团表4!O11+[7]A3组团表4!O23</f>
        <v>1275</v>
      </c>
      <c r="G27" s="3214" t="s">
        <v>3247</v>
      </c>
      <c r="H27" s="3211"/>
    </row>
    <row r="28" spans="1:16" ht="28.5">
      <c r="A28" s="3653"/>
      <c r="B28" s="3647" t="s">
        <v>3248</v>
      </c>
      <c r="C28" s="3647"/>
      <c r="D28" s="3214" t="s">
        <v>3224</v>
      </c>
      <c r="E28" s="3214"/>
      <c r="F28" s="3214">
        <f>[7]A3组团表4!I29+[7]A3组团表4!I30</f>
        <v>40000</v>
      </c>
      <c r="G28" s="3214" t="s">
        <v>3249</v>
      </c>
      <c r="H28" s="3211"/>
    </row>
    <row r="29" spans="1:16">
      <c r="A29" s="3647" t="s">
        <v>3250</v>
      </c>
      <c r="B29" s="3647"/>
      <c r="C29" s="3647"/>
      <c r="D29" s="3214" t="s">
        <v>3224</v>
      </c>
      <c r="E29" s="3214"/>
      <c r="F29" s="3215">
        <f>F12+F13+F24</f>
        <v>63275</v>
      </c>
      <c r="G29" s="3210"/>
      <c r="H29" s="3211"/>
    </row>
    <row r="30" spans="1:16">
      <c r="A30" s="3647" t="s">
        <v>2029</v>
      </c>
      <c r="B30" s="3647"/>
      <c r="C30" s="3647"/>
      <c r="D30" s="3214"/>
      <c r="E30" s="3214"/>
      <c r="F30" s="3215">
        <f>F29/F4</f>
        <v>1.6533510178527941</v>
      </c>
      <c r="G30" s="3214"/>
      <c r="H30" s="3216"/>
    </row>
    <row r="31" spans="1:16">
      <c r="A31" s="3647" t="s">
        <v>3251</v>
      </c>
      <c r="B31" s="3647"/>
      <c r="C31" s="3647"/>
      <c r="D31" s="3219" t="s">
        <v>3252</v>
      </c>
      <c r="E31" s="3214"/>
      <c r="F31" s="3214" t="s">
        <v>1764</v>
      </c>
      <c r="G31" s="3214" t="s">
        <v>3253</v>
      </c>
      <c r="H31" s="3216"/>
    </row>
    <row r="32" spans="1:16">
      <c r="A32" s="3647" t="s">
        <v>3254</v>
      </c>
      <c r="B32" s="3647"/>
      <c r="C32" s="3647"/>
      <c r="D32" s="3219" t="s">
        <v>3252</v>
      </c>
      <c r="E32" s="3214"/>
      <c r="F32" s="3214" t="s">
        <v>1764</v>
      </c>
      <c r="G32" s="3214" t="s">
        <v>3253</v>
      </c>
      <c r="H32" s="3216"/>
    </row>
    <row r="33" spans="1:8">
      <c r="A33" s="3647" t="s">
        <v>3255</v>
      </c>
      <c r="B33" s="3647"/>
      <c r="C33" s="3647"/>
      <c r="D33" s="3219" t="s">
        <v>3256</v>
      </c>
      <c r="E33" s="3214"/>
      <c r="F33" s="3214">
        <f>F34+F35</f>
        <v>1750</v>
      </c>
      <c r="G33" s="3214"/>
      <c r="H33" s="3216"/>
    </row>
    <row r="34" spans="1:8">
      <c r="A34" s="3647" t="s">
        <v>3222</v>
      </c>
      <c r="B34" s="3647" t="s">
        <v>3257</v>
      </c>
      <c r="C34" s="3647"/>
      <c r="D34" s="3219" t="s">
        <v>3256</v>
      </c>
      <c r="E34" s="3214"/>
      <c r="F34" s="3214">
        <v>0</v>
      </c>
      <c r="G34" s="3214"/>
      <c r="H34" s="3216"/>
    </row>
    <row r="35" spans="1:8">
      <c r="A35" s="3647"/>
      <c r="B35" s="3647" t="s">
        <v>3258</v>
      </c>
      <c r="C35" s="3647"/>
      <c r="D35" s="3219" t="s">
        <v>3256</v>
      </c>
      <c r="E35" s="3214"/>
      <c r="F35" s="3214">
        <f>[7]A3组团表4!L36</f>
        <v>1750</v>
      </c>
      <c r="G35" s="3210"/>
      <c r="H35" s="3211"/>
    </row>
    <row r="36" spans="1:8">
      <c r="A36" s="3640" t="s">
        <v>3259</v>
      </c>
      <c r="B36" s="3640"/>
      <c r="C36" s="3640"/>
      <c r="D36" s="3227" t="s">
        <v>3260</v>
      </c>
      <c r="E36" s="3228"/>
      <c r="F36" s="3228" t="s">
        <v>3261</v>
      </c>
      <c r="G36" s="3228"/>
      <c r="H36" s="3216"/>
    </row>
    <row r="37" spans="1:8">
      <c r="A37" s="3641" t="s">
        <v>3262</v>
      </c>
      <c r="B37" s="3642"/>
      <c r="C37" s="3642"/>
      <c r="D37" s="3642"/>
      <c r="E37" s="3642"/>
      <c r="F37" s="3642"/>
      <c r="G37" s="3643"/>
      <c r="H37" s="3229"/>
    </row>
    <row r="38" spans="1:8">
      <c r="A38" s="3644" t="s">
        <v>3263</v>
      </c>
      <c r="B38" s="3645"/>
      <c r="C38" s="3645"/>
      <c r="D38" s="3645"/>
      <c r="E38" s="3645"/>
      <c r="F38" s="3645"/>
      <c r="G38" s="3646"/>
      <c r="H38" s="3229"/>
    </row>
    <row r="39" spans="1:8">
      <c r="A39" s="3644" t="s">
        <v>3264</v>
      </c>
      <c r="B39" s="3645"/>
      <c r="C39" s="3645"/>
      <c r="D39" s="3645"/>
      <c r="E39" s="3645"/>
      <c r="F39" s="3645"/>
      <c r="G39" s="3646"/>
      <c r="H39" s="3229"/>
    </row>
    <row r="40" spans="1:8">
      <c r="A40" s="3644" t="s">
        <v>3265</v>
      </c>
      <c r="B40" s="3645"/>
      <c r="C40" s="3645"/>
      <c r="D40" s="3645"/>
      <c r="E40" s="3645"/>
      <c r="F40" s="3645"/>
      <c r="G40" s="3646"/>
      <c r="H40" s="3229"/>
    </row>
    <row r="41" spans="1:8">
      <c r="A41" s="3644" t="s">
        <v>3266</v>
      </c>
      <c r="B41" s="3645"/>
      <c r="C41" s="3645"/>
      <c r="D41" s="3645"/>
      <c r="E41" s="3645"/>
      <c r="F41" s="3645"/>
      <c r="G41" s="3646"/>
      <c r="H41" s="3229"/>
    </row>
    <row r="42" spans="1:8">
      <c r="A42" s="3637" t="s">
        <v>3267</v>
      </c>
      <c r="B42" s="3638"/>
      <c r="C42" s="3638"/>
      <c r="D42" s="3638"/>
      <c r="E42" s="3638"/>
      <c r="F42" s="3638"/>
      <c r="G42" s="3639"/>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6"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3279</v>
      </c>
      <c r="B1" s="3232"/>
      <c r="C1" s="3232"/>
      <c r="D1" s="3232"/>
      <c r="E1" s="3232"/>
      <c r="F1" s="3232"/>
      <c r="G1" s="3232"/>
    </row>
    <row r="2" spans="1:10" ht="25.5">
      <c r="A2" s="3658" t="s">
        <v>3280</v>
      </c>
      <c r="B2" s="3658"/>
      <c r="C2" s="3658"/>
      <c r="D2" s="3658"/>
      <c r="E2" s="3658"/>
      <c r="F2" s="3658"/>
      <c r="G2" s="3658"/>
    </row>
    <row r="3" spans="1:10">
      <c r="A3" s="3659" t="s">
        <v>3208</v>
      </c>
      <c r="B3" s="3659"/>
      <c r="C3" s="3659"/>
      <c r="D3" s="3214" t="s">
        <v>3281</v>
      </c>
      <c r="E3" s="3214" t="s">
        <v>3210</v>
      </c>
      <c r="F3" s="3214" t="s">
        <v>3211</v>
      </c>
      <c r="G3" s="3214" t="s">
        <v>3282</v>
      </c>
    </row>
    <row r="4" spans="1:10">
      <c r="A4" s="3647" t="s">
        <v>3213</v>
      </c>
      <c r="B4" s="3647"/>
      <c r="C4" s="3647"/>
      <c r="D4" s="3214" t="s">
        <v>3283</v>
      </c>
      <c r="E4" s="3233">
        <v>20145.650000000001</v>
      </c>
      <c r="F4" s="3233">
        <v>20145.650000000001</v>
      </c>
      <c r="G4" s="3214"/>
      <c r="I4" s="3211"/>
      <c r="J4" s="3234"/>
    </row>
    <row r="5" spans="1:10">
      <c r="A5" s="3647" t="s">
        <v>3215</v>
      </c>
      <c r="B5" s="3647"/>
      <c r="C5" s="3647"/>
      <c r="D5" s="3217" t="s">
        <v>3216</v>
      </c>
      <c r="E5" s="3214"/>
      <c r="F5" s="3218">
        <f>[7]F组团表4!K29</f>
        <v>336</v>
      </c>
      <c r="G5" s="3235"/>
      <c r="I5" s="3211"/>
      <c r="J5" s="3211"/>
    </row>
    <row r="6" spans="1:10">
      <c r="A6" s="3647" t="s">
        <v>3217</v>
      </c>
      <c r="B6" s="3647"/>
      <c r="C6" s="3647"/>
      <c r="D6" s="3219" t="s">
        <v>3218</v>
      </c>
      <c r="E6" s="3214"/>
      <c r="F6" s="3218">
        <f>'[7]公共服务设施控制指标（㎡ 千人）'!F7</f>
        <v>1076</v>
      </c>
      <c r="G6" s="3235"/>
      <c r="I6" s="3236"/>
      <c r="J6" s="3211"/>
    </row>
    <row r="7" spans="1:10" ht="16.5">
      <c r="A7" s="3647" t="s">
        <v>3219</v>
      </c>
      <c r="B7" s="3647"/>
      <c r="C7" s="3647"/>
      <c r="D7" s="3219" t="s">
        <v>3220</v>
      </c>
      <c r="E7" s="3222"/>
      <c r="F7" s="3215">
        <f>F9+F10</f>
        <v>75490</v>
      </c>
      <c r="G7" s="3235"/>
      <c r="I7" s="3211"/>
      <c r="J7" s="3211"/>
    </row>
    <row r="8" spans="1:10" ht="16.5">
      <c r="A8" s="3647" t="s">
        <v>3221</v>
      </c>
      <c r="B8" s="3647"/>
      <c r="C8" s="3647"/>
      <c r="D8" s="3214"/>
      <c r="E8" s="3222"/>
      <c r="F8" s="3215"/>
      <c r="G8" s="3235"/>
      <c r="I8" s="3211"/>
      <c r="J8" s="3211"/>
    </row>
    <row r="9" spans="1:10" ht="16.5">
      <c r="A9" s="3647" t="s">
        <v>3222</v>
      </c>
      <c r="B9" s="3647" t="s">
        <v>3223</v>
      </c>
      <c r="C9" s="3647"/>
      <c r="D9" s="3214" t="s">
        <v>3224</v>
      </c>
      <c r="E9" s="3222"/>
      <c r="F9" s="3215">
        <f>F12+F24+F27+F13</f>
        <v>55490</v>
      </c>
      <c r="G9" s="3235"/>
    </row>
    <row r="10" spans="1:10" ht="16.5">
      <c r="A10" s="3647"/>
      <c r="B10" s="3647" t="s">
        <v>3225</v>
      </c>
      <c r="C10" s="3647"/>
      <c r="D10" s="3214" t="s">
        <v>3224</v>
      </c>
      <c r="E10" s="3222"/>
      <c r="F10" s="3215">
        <f>F25+F26</f>
        <v>20000</v>
      </c>
      <c r="G10" s="3235"/>
    </row>
    <row r="11" spans="1:10" ht="16.5">
      <c r="A11" s="3648" t="s">
        <v>3226</v>
      </c>
      <c r="B11" s="3649"/>
      <c r="C11" s="3650"/>
      <c r="D11" s="3214"/>
      <c r="E11" s="3222"/>
      <c r="F11" s="3215"/>
      <c r="G11" s="3235"/>
    </row>
    <row r="12" spans="1:10">
      <c r="A12" s="3651"/>
      <c r="B12" s="3647" t="s">
        <v>3227</v>
      </c>
      <c r="C12" s="3647"/>
      <c r="D12" s="3214" t="s">
        <v>3224</v>
      </c>
      <c r="E12" s="3214"/>
      <c r="F12" s="3215">
        <f>[7]F组团表4!J7+[7]F组团表4!J11+[7]F组团表4!J15</f>
        <v>51750</v>
      </c>
      <c r="G12" s="3235"/>
    </row>
    <row r="13" spans="1:10">
      <c r="A13" s="3652"/>
      <c r="B13" s="3647" t="s">
        <v>3228</v>
      </c>
      <c r="C13" s="3647"/>
      <c r="D13" s="3214" t="s">
        <v>3224</v>
      </c>
      <c r="E13" s="3214"/>
      <c r="F13" s="3237">
        <f>SUM(F14:F23)</f>
        <v>1690</v>
      </c>
      <c r="G13" s="3235"/>
    </row>
    <row r="14" spans="1:10">
      <c r="A14" s="3652"/>
      <c r="B14" s="3651" t="s">
        <v>3222</v>
      </c>
      <c r="C14" s="3224" t="s">
        <v>3229</v>
      </c>
      <c r="D14" s="3214" t="s">
        <v>3283</v>
      </c>
      <c r="E14" s="3214"/>
      <c r="F14" s="3237">
        <v>0</v>
      </c>
      <c r="G14" s="3235"/>
    </row>
    <row r="15" spans="1:10">
      <c r="A15" s="3652"/>
      <c r="B15" s="3652"/>
      <c r="C15" s="3224" t="s">
        <v>3284</v>
      </c>
      <c r="D15" s="3214" t="s">
        <v>3220</v>
      </c>
      <c r="E15" s="3214"/>
      <c r="F15" s="3237">
        <v>0</v>
      </c>
      <c r="G15" s="3235"/>
    </row>
    <row r="16" spans="1:10" ht="28.5">
      <c r="A16" s="3652"/>
      <c r="B16" s="3652"/>
      <c r="C16" s="3224" t="s">
        <v>3285</v>
      </c>
      <c r="D16" s="3214" t="s">
        <v>3220</v>
      </c>
      <c r="E16" s="3214"/>
      <c r="F16" s="3237">
        <f>[7]F组团表4!J17</f>
        <v>500</v>
      </c>
      <c r="G16" s="3235" t="s">
        <v>3286</v>
      </c>
    </row>
    <row r="17" spans="1:7">
      <c r="A17" s="3652"/>
      <c r="B17" s="3652"/>
      <c r="C17" s="3224" t="s">
        <v>3287</v>
      </c>
      <c r="D17" s="3214" t="s">
        <v>3283</v>
      </c>
      <c r="E17" s="3214"/>
      <c r="F17" s="3237">
        <f>[7]F组团表4!J16</f>
        <v>270</v>
      </c>
      <c r="G17" s="3235" t="s">
        <v>3286</v>
      </c>
    </row>
    <row r="18" spans="1:7">
      <c r="A18" s="3652"/>
      <c r="B18" s="3652"/>
      <c r="C18" s="3224" t="s">
        <v>3288</v>
      </c>
      <c r="D18" s="3214" t="s">
        <v>3283</v>
      </c>
      <c r="E18" s="3214"/>
      <c r="F18" s="3237">
        <f>[7]F组团表4!J18</f>
        <v>20</v>
      </c>
      <c r="G18" s="3235" t="s">
        <v>3289</v>
      </c>
    </row>
    <row r="19" spans="1:7">
      <c r="A19" s="3652"/>
      <c r="B19" s="3652"/>
      <c r="C19" s="3224" t="s">
        <v>3238</v>
      </c>
      <c r="D19" s="3214" t="s">
        <v>3220</v>
      </c>
      <c r="E19" s="3214"/>
      <c r="F19" s="3237">
        <f>[7]F组团表4!J21+[7]F组团表4!J22</f>
        <v>900</v>
      </c>
      <c r="G19" s="3235" t="s">
        <v>3289</v>
      </c>
    </row>
    <row r="20" spans="1:7">
      <c r="A20" s="3652"/>
      <c r="B20" s="3652"/>
      <c r="C20" s="3224" t="s">
        <v>3239</v>
      </c>
      <c r="D20" s="3214" t="s">
        <v>3220</v>
      </c>
      <c r="E20" s="3214"/>
      <c r="F20" s="3237">
        <v>0</v>
      </c>
      <c r="G20" s="3235"/>
    </row>
    <row r="21" spans="1:7" ht="28.5">
      <c r="A21" s="3652"/>
      <c r="B21" s="3652"/>
      <c r="C21" s="3224" t="s">
        <v>3240</v>
      </c>
      <c r="D21" s="3214" t="s">
        <v>3220</v>
      </c>
      <c r="E21" s="3214"/>
      <c r="F21" s="3237">
        <v>0</v>
      </c>
      <c r="G21" s="3235"/>
    </row>
    <row r="22" spans="1:7">
      <c r="A22" s="3652"/>
      <c r="B22" s="3652"/>
      <c r="C22" s="3224" t="s">
        <v>3241</v>
      </c>
      <c r="D22" s="3214" t="s">
        <v>3220</v>
      </c>
      <c r="E22" s="3214"/>
      <c r="F22" s="3237">
        <v>0</v>
      </c>
      <c r="G22" s="3235"/>
    </row>
    <row r="23" spans="1:7">
      <c r="A23" s="3652"/>
      <c r="B23" s="3653"/>
      <c r="C23" s="3224" t="s">
        <v>3242</v>
      </c>
      <c r="D23" s="3214" t="s">
        <v>3220</v>
      </c>
      <c r="E23" s="3214"/>
      <c r="F23" s="3237">
        <v>0</v>
      </c>
      <c r="G23" s="3235"/>
    </row>
    <row r="24" spans="1:7">
      <c r="A24" s="3652"/>
      <c r="B24" s="3647" t="s">
        <v>3243</v>
      </c>
      <c r="C24" s="3647"/>
      <c r="D24" s="3214" t="s">
        <v>3224</v>
      </c>
      <c r="E24" s="3214"/>
      <c r="F24" s="3237">
        <f>[7]F组团表4!J20</f>
        <v>580</v>
      </c>
      <c r="G24" s="3235"/>
    </row>
    <row r="25" spans="1:7">
      <c r="A25" s="3652"/>
      <c r="B25" s="3647" t="s">
        <v>3244</v>
      </c>
      <c r="C25" s="3647"/>
      <c r="D25" s="3214" t="s">
        <v>3230</v>
      </c>
      <c r="E25" s="3214"/>
      <c r="F25" s="3214">
        <f>[7]F组团表4!G24+[7]F组团表4!G26</f>
        <v>19600</v>
      </c>
      <c r="G25" s="3235"/>
    </row>
    <row r="26" spans="1:7">
      <c r="A26" s="3652"/>
      <c r="B26" s="3647" t="s">
        <v>3245</v>
      </c>
      <c r="C26" s="3647"/>
      <c r="D26" s="3214" t="s">
        <v>3220</v>
      </c>
      <c r="E26" s="3214"/>
      <c r="F26" s="3214">
        <f>[7]F组团表4!G25+[7]F组团表4!G27</f>
        <v>400</v>
      </c>
      <c r="G26" s="3235"/>
    </row>
    <row r="27" spans="1:7">
      <c r="A27" s="3652"/>
      <c r="B27" s="3647" t="s">
        <v>3246</v>
      </c>
      <c r="C27" s="3647"/>
      <c r="D27" s="3214" t="s">
        <v>3230</v>
      </c>
      <c r="E27" s="3214"/>
      <c r="F27" s="3214">
        <f>[7]F组团表4!O4+[7]F组团表4!O8+[7]F组团表4!O12</f>
        <v>1470</v>
      </c>
      <c r="G27" s="3235" t="s">
        <v>3290</v>
      </c>
    </row>
    <row r="28" spans="1:7">
      <c r="A28" s="3653"/>
      <c r="B28" s="3648" t="s">
        <v>3291</v>
      </c>
      <c r="C28" s="3650"/>
      <c r="D28" s="3214" t="s">
        <v>3230</v>
      </c>
      <c r="E28" s="3214"/>
      <c r="F28" s="3214">
        <v>0</v>
      </c>
      <c r="G28" s="3235"/>
    </row>
    <row r="29" spans="1:7">
      <c r="A29" s="3647" t="s">
        <v>3250</v>
      </c>
      <c r="B29" s="3647"/>
      <c r="C29" s="3647"/>
      <c r="D29" s="3214" t="s">
        <v>3230</v>
      </c>
      <c r="E29" s="3214"/>
      <c r="F29" s="3215">
        <f>F12+F13+F24</f>
        <v>54020</v>
      </c>
      <c r="G29" s="3235"/>
    </row>
    <row r="30" spans="1:7">
      <c r="A30" s="3647" t="s">
        <v>2029</v>
      </c>
      <c r="B30" s="3647"/>
      <c r="C30" s="3647"/>
      <c r="D30" s="3214"/>
      <c r="E30" s="3214"/>
      <c r="F30" s="3215">
        <f>F29/F4</f>
        <v>2.6814721788574705</v>
      </c>
      <c r="G30" s="3214"/>
    </row>
    <row r="31" spans="1:7">
      <c r="A31" s="3647" t="s">
        <v>3251</v>
      </c>
      <c r="B31" s="3647"/>
      <c r="C31" s="3647"/>
      <c r="D31" s="3219" t="s">
        <v>3252</v>
      </c>
      <c r="E31" s="3214"/>
      <c r="F31" s="3214" t="s">
        <v>3292</v>
      </c>
      <c r="G31" s="3214" t="s">
        <v>3293</v>
      </c>
    </row>
    <row r="32" spans="1:7">
      <c r="A32" s="3647" t="s">
        <v>3254</v>
      </c>
      <c r="B32" s="3647"/>
      <c r="C32" s="3647"/>
      <c r="D32" s="3219" t="s">
        <v>3252</v>
      </c>
      <c r="E32" s="3214"/>
      <c r="F32" s="3214" t="s">
        <v>3292</v>
      </c>
      <c r="G32" s="3214" t="s">
        <v>3293</v>
      </c>
    </row>
    <row r="33" spans="1:7">
      <c r="A33" s="3647" t="s">
        <v>3255</v>
      </c>
      <c r="B33" s="3647"/>
      <c r="C33" s="3647"/>
      <c r="D33" s="3219" t="s">
        <v>3256</v>
      </c>
      <c r="E33" s="3214"/>
      <c r="F33" s="3214">
        <f>F34+F35</f>
        <v>560</v>
      </c>
      <c r="G33" s="3214"/>
    </row>
    <row r="34" spans="1:7">
      <c r="A34" s="3647" t="s">
        <v>3222</v>
      </c>
      <c r="B34" s="3647" t="s">
        <v>3294</v>
      </c>
      <c r="C34" s="3647"/>
      <c r="D34" s="3219" t="s">
        <v>3256</v>
      </c>
      <c r="E34" s="3214"/>
      <c r="F34" s="3214">
        <v>0</v>
      </c>
      <c r="G34" s="3214"/>
    </row>
    <row r="35" spans="1:7">
      <c r="A35" s="3647"/>
      <c r="B35" s="3647" t="s">
        <v>3258</v>
      </c>
      <c r="C35" s="3647"/>
      <c r="D35" s="3219" t="s">
        <v>3256</v>
      </c>
      <c r="E35" s="3214"/>
      <c r="F35" s="3214">
        <f>[7]F组团表4!L29</f>
        <v>560</v>
      </c>
      <c r="G35" s="3214"/>
    </row>
    <row r="36" spans="1:7">
      <c r="A36" s="3640" t="s">
        <v>3259</v>
      </c>
      <c r="B36" s="3640"/>
      <c r="C36" s="3640"/>
      <c r="D36" s="3227" t="s">
        <v>3295</v>
      </c>
      <c r="E36" s="3228"/>
      <c r="F36" s="3228" t="s">
        <v>3296</v>
      </c>
      <c r="G36" s="3228"/>
    </row>
    <row r="37" spans="1:7">
      <c r="A37" s="3641" t="s">
        <v>3297</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3300</v>
      </c>
      <c r="D1" s="3232"/>
    </row>
    <row r="2" spans="1:10" ht="30" customHeight="1">
      <c r="A2" s="3684" t="s">
        <v>3301</v>
      </c>
      <c r="B2" s="3685"/>
      <c r="C2" s="3685"/>
      <c r="D2" s="3685"/>
      <c r="E2" s="3685"/>
      <c r="F2" s="3685"/>
      <c r="G2" s="3686"/>
    </row>
    <row r="3" spans="1:10" ht="20.100000000000001" customHeight="1">
      <c r="A3" s="3673" t="s">
        <v>3208</v>
      </c>
      <c r="B3" s="3687"/>
      <c r="C3" s="3687"/>
      <c r="D3" s="3214" t="s">
        <v>3281</v>
      </c>
      <c r="E3" s="3241" t="s">
        <v>3210</v>
      </c>
      <c r="F3" s="3241" t="s">
        <v>3211</v>
      </c>
      <c r="G3" s="3242" t="s">
        <v>3282</v>
      </c>
    </row>
    <row r="4" spans="1:10" ht="20.100000000000001" customHeight="1">
      <c r="A4" s="3671" t="s">
        <v>3213</v>
      </c>
      <c r="B4" s="3672"/>
      <c r="C4" s="3672"/>
      <c r="D4" s="3214" t="s">
        <v>3283</v>
      </c>
      <c r="E4" s="3243">
        <v>9367.48</v>
      </c>
      <c r="F4" s="3243">
        <v>9367.48</v>
      </c>
      <c r="G4" s="3242"/>
      <c r="J4" s="3243"/>
    </row>
    <row r="5" spans="1:10" ht="20.100000000000001" customHeight="1">
      <c r="A5" s="3671" t="s">
        <v>3215</v>
      </c>
      <c r="B5" s="3672"/>
      <c r="C5" s="3672"/>
      <c r="D5" s="3217" t="s">
        <v>3216</v>
      </c>
      <c r="E5" s="3241"/>
      <c r="F5" s="3244">
        <f>[7]C组团表4!K19</f>
        <v>24</v>
      </c>
      <c r="G5" s="3245"/>
    </row>
    <row r="6" spans="1:10" ht="20.100000000000001" customHeight="1">
      <c r="A6" s="3671" t="s">
        <v>3217</v>
      </c>
      <c r="B6" s="3672"/>
      <c r="C6" s="3672"/>
      <c r="D6" s="3219" t="s">
        <v>3218</v>
      </c>
      <c r="E6" s="3241"/>
      <c r="F6" s="3246">
        <f>'[7]公共服务设施控制指标（㎡ 千人）'!F5</f>
        <v>77</v>
      </c>
      <c r="G6" s="3245"/>
    </row>
    <row r="7" spans="1:10" ht="20.100000000000001" customHeight="1">
      <c r="A7" s="3671" t="s">
        <v>3219</v>
      </c>
      <c r="B7" s="3672"/>
      <c r="C7" s="3672"/>
      <c r="D7" s="3219" t="s">
        <v>3220</v>
      </c>
      <c r="E7" s="3247"/>
      <c r="F7" s="3248">
        <f>F9+F10</f>
        <v>16042</v>
      </c>
      <c r="G7" s="3245"/>
    </row>
    <row r="8" spans="1:10" ht="20.100000000000001" customHeight="1">
      <c r="A8" s="3674" t="s">
        <v>3221</v>
      </c>
      <c r="B8" s="3675"/>
      <c r="C8" s="3676"/>
      <c r="D8" s="3219"/>
      <c r="E8" s="3247"/>
      <c r="F8" s="3248"/>
      <c r="G8" s="3245"/>
    </row>
    <row r="9" spans="1:10" ht="20.100000000000001" customHeight="1">
      <c r="A9" s="3671" t="s">
        <v>3222</v>
      </c>
      <c r="B9" s="3672" t="s">
        <v>3223</v>
      </c>
      <c r="C9" s="3672"/>
      <c r="D9" s="3214"/>
      <c r="E9" s="3247"/>
      <c r="F9" s="3248">
        <f>F12+F13+F24+F27</f>
        <v>9742</v>
      </c>
      <c r="G9" s="3245"/>
    </row>
    <row r="10" spans="1:10" ht="20.100000000000001" customHeight="1">
      <c r="A10" s="3671"/>
      <c r="B10" s="3672" t="s">
        <v>3225</v>
      </c>
      <c r="C10" s="3672"/>
      <c r="D10" s="3214" t="s">
        <v>3224</v>
      </c>
      <c r="E10" s="3247"/>
      <c r="F10" s="3248">
        <f>F25+F26</f>
        <v>6300</v>
      </c>
      <c r="G10" s="3245"/>
    </row>
    <row r="11" spans="1:10" ht="20.100000000000001" customHeight="1">
      <c r="A11" s="3674" t="s">
        <v>3226</v>
      </c>
      <c r="B11" s="3675"/>
      <c r="C11" s="3676"/>
      <c r="D11" s="3214"/>
      <c r="E11" s="3247"/>
      <c r="F11" s="3248"/>
      <c r="G11" s="3245"/>
    </row>
    <row r="12" spans="1:10" ht="20.100000000000001" customHeight="1">
      <c r="A12" s="3677"/>
      <c r="B12" s="3672" t="s">
        <v>3227</v>
      </c>
      <c r="C12" s="3672"/>
      <c r="D12" s="3214" t="s">
        <v>3224</v>
      </c>
      <c r="E12" s="3241"/>
      <c r="F12" s="3243">
        <f>[7]C组团表4!J8</f>
        <v>6512</v>
      </c>
      <c r="G12" s="3245"/>
    </row>
    <row r="13" spans="1:10" ht="20.100000000000001" customHeight="1">
      <c r="A13" s="3678"/>
      <c r="B13" s="3672" t="s">
        <v>3228</v>
      </c>
      <c r="C13" s="3672"/>
      <c r="D13" s="3214"/>
      <c r="E13" s="3241"/>
      <c r="F13" s="3248">
        <f>SUM(F14:F23)</f>
        <v>70</v>
      </c>
      <c r="G13" s="3245"/>
    </row>
    <row r="14" spans="1:10" ht="20.100000000000001" customHeight="1">
      <c r="A14" s="3678"/>
      <c r="B14" s="3680" t="s">
        <v>3222</v>
      </c>
      <c r="C14" s="3224" t="s">
        <v>3229</v>
      </c>
      <c r="D14" s="3214" t="s">
        <v>3283</v>
      </c>
      <c r="E14" s="3241"/>
      <c r="F14" s="3248">
        <v>0</v>
      </c>
      <c r="G14" s="3245"/>
    </row>
    <row r="15" spans="1:10" ht="20.100000000000001" customHeight="1">
      <c r="A15" s="3678"/>
      <c r="B15" s="3681"/>
      <c r="C15" s="3224" t="s">
        <v>3284</v>
      </c>
      <c r="D15" s="3214" t="s">
        <v>3220</v>
      </c>
      <c r="E15" s="3241"/>
      <c r="F15" s="3248">
        <v>0</v>
      </c>
      <c r="G15" s="3245"/>
    </row>
    <row r="16" spans="1:10" ht="20.100000000000001" customHeight="1">
      <c r="A16" s="3678"/>
      <c r="B16" s="3681"/>
      <c r="C16" s="3224" t="s">
        <v>3285</v>
      </c>
      <c r="D16" s="3214" t="s">
        <v>3283</v>
      </c>
      <c r="E16" s="3241"/>
      <c r="F16" s="3248">
        <v>0</v>
      </c>
      <c r="G16" s="3245"/>
    </row>
    <row r="17" spans="1:7">
      <c r="A17" s="3678"/>
      <c r="B17" s="3681"/>
      <c r="C17" s="3224" t="s">
        <v>3287</v>
      </c>
      <c r="D17" s="3214" t="s">
        <v>3283</v>
      </c>
      <c r="E17" s="3241"/>
      <c r="F17" s="3248">
        <f>[7]C组团表4!J10</f>
        <v>50</v>
      </c>
      <c r="G17" s="3245" t="s">
        <v>3302</v>
      </c>
    </row>
    <row r="18" spans="1:7">
      <c r="A18" s="3678"/>
      <c r="B18" s="3681"/>
      <c r="C18" s="3224" t="s">
        <v>3288</v>
      </c>
      <c r="D18" s="3214" t="s">
        <v>3220</v>
      </c>
      <c r="E18" s="3241"/>
      <c r="F18" s="3248">
        <f>[7]C组团表4!J11</f>
        <v>20</v>
      </c>
      <c r="G18" s="3245" t="s">
        <v>3303</v>
      </c>
    </row>
    <row r="19" spans="1:7">
      <c r="A19" s="3678"/>
      <c r="B19" s="3681"/>
      <c r="C19" s="3224" t="s">
        <v>3238</v>
      </c>
      <c r="D19" s="3214" t="s">
        <v>3224</v>
      </c>
      <c r="E19" s="3241"/>
      <c r="F19" s="3248">
        <v>0</v>
      </c>
      <c r="G19" s="3245"/>
    </row>
    <row r="20" spans="1:7">
      <c r="A20" s="3678"/>
      <c r="B20" s="3681"/>
      <c r="C20" s="3224" t="s">
        <v>3239</v>
      </c>
      <c r="D20" s="3214" t="s">
        <v>3224</v>
      </c>
      <c r="E20" s="3241"/>
      <c r="F20" s="3248">
        <v>0</v>
      </c>
      <c r="G20" s="3245"/>
    </row>
    <row r="21" spans="1:7" ht="28.5">
      <c r="A21" s="3678"/>
      <c r="B21" s="3681"/>
      <c r="C21" s="3224" t="s">
        <v>3240</v>
      </c>
      <c r="D21" s="3214" t="s">
        <v>3220</v>
      </c>
      <c r="E21" s="3241"/>
      <c r="F21" s="3248">
        <v>0</v>
      </c>
      <c r="G21" s="3245"/>
    </row>
    <row r="22" spans="1:7">
      <c r="A22" s="3678"/>
      <c r="B22" s="3681"/>
      <c r="C22" s="3224" t="s">
        <v>3241</v>
      </c>
      <c r="D22" s="3214" t="s">
        <v>3220</v>
      </c>
      <c r="E22" s="3241"/>
      <c r="F22" s="3248">
        <v>0</v>
      </c>
      <c r="G22" s="3245"/>
    </row>
    <row r="23" spans="1:7">
      <c r="A23" s="3678"/>
      <c r="B23" s="3682"/>
      <c r="C23" s="3224" t="s">
        <v>3242</v>
      </c>
      <c r="D23" s="3214" t="s">
        <v>3220</v>
      </c>
      <c r="E23" s="3241"/>
      <c r="F23" s="3248">
        <v>0</v>
      </c>
      <c r="G23" s="3245"/>
    </row>
    <row r="24" spans="1:7">
      <c r="A24" s="3678"/>
      <c r="B24" s="3672" t="s">
        <v>3243</v>
      </c>
      <c r="C24" s="3672"/>
      <c r="D24" s="3214" t="s">
        <v>3224</v>
      </c>
      <c r="E24" s="3241"/>
      <c r="F24" s="3248">
        <f>[7]C组团表4!J9+[7]C组团表4!J12+[7]C组团表4!J13</f>
        <v>3160</v>
      </c>
      <c r="G24" s="3245"/>
    </row>
    <row r="25" spans="1:7">
      <c r="A25" s="3678"/>
      <c r="B25" s="3672" t="s">
        <v>3244</v>
      </c>
      <c r="C25" s="3672"/>
      <c r="D25" s="3214" t="s">
        <v>3220</v>
      </c>
      <c r="E25" s="3241"/>
      <c r="F25" s="3241">
        <f>[7]C组团表4!G15+[7]C组团表4!G16</f>
        <v>6000</v>
      </c>
      <c r="G25" s="3245"/>
    </row>
    <row r="26" spans="1:7">
      <c r="A26" s="3678"/>
      <c r="B26" s="3672" t="s">
        <v>3245</v>
      </c>
      <c r="C26" s="3672"/>
      <c r="D26" s="3214" t="s">
        <v>3224</v>
      </c>
      <c r="E26" s="3241"/>
      <c r="F26" s="3241">
        <f>[7]C组团表4!G17</f>
        <v>300</v>
      </c>
      <c r="G26" s="3245"/>
    </row>
    <row r="27" spans="1:7">
      <c r="A27" s="3678"/>
      <c r="B27" s="3672" t="s">
        <v>3246</v>
      </c>
      <c r="C27" s="3672"/>
      <c r="D27" s="3214" t="s">
        <v>3283</v>
      </c>
      <c r="E27" s="3241"/>
      <c r="F27" s="3241">
        <v>0</v>
      </c>
      <c r="G27" s="3245"/>
    </row>
    <row r="28" spans="1:7">
      <c r="A28" s="3679"/>
      <c r="B28" s="3683" t="s">
        <v>3304</v>
      </c>
      <c r="C28" s="3676"/>
      <c r="D28" s="3214" t="s">
        <v>3283</v>
      </c>
      <c r="E28" s="3241"/>
      <c r="F28" s="3241">
        <v>0</v>
      </c>
      <c r="G28" s="3245"/>
    </row>
    <row r="29" spans="1:7">
      <c r="A29" s="3671" t="s">
        <v>3250</v>
      </c>
      <c r="B29" s="3672"/>
      <c r="C29" s="3672"/>
      <c r="D29" s="3214" t="s">
        <v>3220</v>
      </c>
      <c r="E29" s="3241"/>
      <c r="F29" s="3248">
        <f>[7]C组团表4!J19</f>
        <v>9742</v>
      </c>
      <c r="G29" s="3245"/>
    </row>
    <row r="30" spans="1:7">
      <c r="A30" s="3671" t="s">
        <v>2029</v>
      </c>
      <c r="B30" s="3672"/>
      <c r="C30" s="3672"/>
      <c r="D30" s="3214" t="s">
        <v>3283</v>
      </c>
      <c r="E30" s="3241"/>
      <c r="F30" s="3248">
        <f>F29/F4</f>
        <v>1.0399808699885136</v>
      </c>
      <c r="G30" s="3242"/>
    </row>
    <row r="31" spans="1:7">
      <c r="A31" s="3671" t="s">
        <v>3251</v>
      </c>
      <c r="B31" s="3672"/>
      <c r="C31" s="3672"/>
      <c r="D31" s="3214" t="s">
        <v>3283</v>
      </c>
      <c r="E31" s="3241"/>
      <c r="F31" s="3241" t="s">
        <v>3305</v>
      </c>
      <c r="G31" s="3242" t="s">
        <v>3306</v>
      </c>
    </row>
    <row r="32" spans="1:7">
      <c r="A32" s="3671" t="s">
        <v>3254</v>
      </c>
      <c r="B32" s="3672"/>
      <c r="C32" s="3672"/>
      <c r="D32" s="3214"/>
      <c r="E32" s="3241"/>
      <c r="F32" s="3241" t="s">
        <v>3305</v>
      </c>
      <c r="G32" s="3242" t="s">
        <v>3306</v>
      </c>
    </row>
    <row r="33" spans="1:7">
      <c r="A33" s="3671" t="s">
        <v>3255</v>
      </c>
      <c r="B33" s="3672"/>
      <c r="C33" s="3672"/>
      <c r="D33" s="3219" t="s">
        <v>3252</v>
      </c>
      <c r="E33" s="3241"/>
      <c r="F33" s="3241">
        <f>F35+F34</f>
        <v>150</v>
      </c>
      <c r="G33" s="3242"/>
    </row>
    <row r="34" spans="1:7">
      <c r="A34" s="3673" t="s">
        <v>3222</v>
      </c>
      <c r="B34" s="3672" t="s">
        <v>3307</v>
      </c>
      <c r="C34" s="3672"/>
      <c r="D34" s="3219" t="s">
        <v>3252</v>
      </c>
      <c r="E34" s="3241"/>
      <c r="F34" s="3241">
        <v>0</v>
      </c>
      <c r="G34" s="3242"/>
    </row>
    <row r="35" spans="1:7">
      <c r="A35" s="3673"/>
      <c r="B35" s="3672" t="s">
        <v>3258</v>
      </c>
      <c r="C35" s="3672"/>
      <c r="D35" s="3219" t="s">
        <v>3256</v>
      </c>
      <c r="E35" s="3241"/>
      <c r="F35" s="3241">
        <f>[7]C组团表4!L19</f>
        <v>150</v>
      </c>
      <c r="G35" s="3242"/>
    </row>
    <row r="36" spans="1:7">
      <c r="A36" s="3663" t="s">
        <v>3259</v>
      </c>
      <c r="B36" s="3664"/>
      <c r="C36" s="3664"/>
      <c r="D36" s="3249" t="s">
        <v>3256</v>
      </c>
      <c r="E36" s="3250"/>
      <c r="F36" s="3250" t="s">
        <v>3308</v>
      </c>
      <c r="G36" s="3251"/>
    </row>
    <row r="37" spans="1:7">
      <c r="A37" s="3665" t="s">
        <v>3309</v>
      </c>
      <c r="B37" s="3666"/>
      <c r="C37" s="3666"/>
      <c r="D37" s="3666"/>
      <c r="E37" s="3666"/>
      <c r="F37" s="3666"/>
      <c r="G37" s="3667"/>
    </row>
    <row r="38" spans="1:7">
      <c r="A38" s="3668" t="s">
        <v>3263</v>
      </c>
      <c r="B38" s="3669"/>
      <c r="C38" s="3669"/>
      <c r="D38" s="3669"/>
      <c r="E38" s="3669"/>
      <c r="F38" s="3669"/>
      <c r="G38" s="3670"/>
    </row>
    <row r="39" spans="1:7">
      <c r="A39" s="3668" t="s">
        <v>3264</v>
      </c>
      <c r="B39" s="3669"/>
      <c r="C39" s="3669"/>
      <c r="D39" s="3669"/>
      <c r="E39" s="3669"/>
      <c r="F39" s="3669"/>
      <c r="G39" s="3670"/>
    </row>
    <row r="40" spans="1:7">
      <c r="A40" s="3668" t="s">
        <v>3265</v>
      </c>
      <c r="B40" s="3669"/>
      <c r="C40" s="3669"/>
      <c r="D40" s="3669"/>
      <c r="E40" s="3669"/>
      <c r="F40" s="3669"/>
      <c r="G40" s="3670"/>
    </row>
    <row r="41" spans="1:7">
      <c r="A41" s="3668" t="s">
        <v>3266</v>
      </c>
      <c r="B41" s="3669"/>
      <c r="C41" s="3669"/>
      <c r="D41" s="3669"/>
      <c r="E41" s="3669"/>
      <c r="F41" s="3669"/>
      <c r="G41" s="3670"/>
    </row>
    <row r="42" spans="1:7">
      <c r="A42" s="3660" t="s">
        <v>3267</v>
      </c>
      <c r="B42" s="3661"/>
      <c r="C42" s="3661"/>
      <c r="D42" s="3661"/>
      <c r="E42" s="3661"/>
      <c r="F42" s="3661"/>
      <c r="G42" s="3662"/>
    </row>
    <row r="43" spans="1:7">
      <c r="D43" s="3240"/>
    </row>
    <row r="44" spans="1:7">
      <c r="D44" s="3240"/>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3312</v>
      </c>
      <c r="B1" s="3232"/>
      <c r="C1" s="3232"/>
      <c r="D1" s="3232"/>
      <c r="E1" s="3232"/>
      <c r="F1" s="3232"/>
      <c r="G1" s="3232"/>
    </row>
    <row r="2" spans="1:10" ht="25.5">
      <c r="A2" s="3658" t="s">
        <v>3313</v>
      </c>
      <c r="B2" s="3658"/>
      <c r="C2" s="3658"/>
      <c r="D2" s="3658"/>
      <c r="E2" s="3658"/>
      <c r="F2" s="3658"/>
      <c r="G2" s="3658"/>
    </row>
    <row r="3" spans="1:10">
      <c r="A3" s="3659" t="s">
        <v>3208</v>
      </c>
      <c r="B3" s="3659"/>
      <c r="C3" s="3659"/>
      <c r="D3" s="3214" t="s">
        <v>3314</v>
      </c>
      <c r="E3" s="3214" t="s">
        <v>3210</v>
      </c>
      <c r="F3" s="3214" t="s">
        <v>3211</v>
      </c>
      <c r="G3" s="3214" t="s">
        <v>3282</v>
      </c>
    </row>
    <row r="4" spans="1:10" ht="28.5">
      <c r="A4" s="3647" t="s">
        <v>3213</v>
      </c>
      <c r="B4" s="3647"/>
      <c r="C4" s="3647"/>
      <c r="D4" s="3214" t="s">
        <v>3315</v>
      </c>
      <c r="E4" s="3233" t="s">
        <v>3316</v>
      </c>
      <c r="F4" s="3252">
        <v>22838.42</v>
      </c>
      <c r="G4" s="3214"/>
      <c r="J4" s="3252"/>
    </row>
    <row r="5" spans="1:10">
      <c r="A5" s="3647" t="s">
        <v>3215</v>
      </c>
      <c r="B5" s="3647"/>
      <c r="C5" s="3647"/>
      <c r="D5" s="3217" t="s">
        <v>3216</v>
      </c>
      <c r="E5" s="3214"/>
      <c r="F5" s="3218">
        <f>[7]E2组团表4!K36</f>
        <v>432</v>
      </c>
      <c r="G5" s="3235"/>
    </row>
    <row r="6" spans="1:10">
      <c r="A6" s="3647" t="s">
        <v>3217</v>
      </c>
      <c r="B6" s="3647"/>
      <c r="C6" s="3647"/>
      <c r="D6" s="3219" t="s">
        <v>3218</v>
      </c>
      <c r="E6" s="3214"/>
      <c r="F6" s="3218">
        <f>'[7]公共服务设施控制指标（㎡ 千人）'!F6</f>
        <v>1383</v>
      </c>
      <c r="G6" s="3235"/>
    </row>
    <row r="7" spans="1:10" ht="16.5">
      <c r="A7" s="3647" t="s">
        <v>3219</v>
      </c>
      <c r="B7" s="3647"/>
      <c r="C7" s="3647"/>
      <c r="D7" s="3219" t="s">
        <v>3220</v>
      </c>
      <c r="E7" s="3222"/>
      <c r="F7" s="3253">
        <f>F9+F10</f>
        <v>143720</v>
      </c>
      <c r="G7" s="3235"/>
    </row>
    <row r="8" spans="1:10" ht="16.5">
      <c r="A8" s="3647" t="s">
        <v>3317</v>
      </c>
      <c r="B8" s="3647"/>
      <c r="C8" s="3647"/>
      <c r="D8" s="3214"/>
      <c r="E8" s="3222"/>
      <c r="F8" s="3253"/>
      <c r="G8" s="3235"/>
    </row>
    <row r="9" spans="1:10" ht="16.5">
      <c r="A9" s="3647" t="s">
        <v>3222</v>
      </c>
      <c r="B9" s="3647" t="s">
        <v>3223</v>
      </c>
      <c r="C9" s="3647"/>
      <c r="D9" s="3214" t="s">
        <v>3318</v>
      </c>
      <c r="E9" s="3222"/>
      <c r="F9" s="3253">
        <f>F12+F13+F27</f>
        <v>70820</v>
      </c>
      <c r="G9" s="3235"/>
    </row>
    <row r="10" spans="1:10" ht="16.5">
      <c r="A10" s="3647"/>
      <c r="B10" s="3647" t="s">
        <v>3225</v>
      </c>
      <c r="C10" s="3647"/>
      <c r="D10" s="3214" t="s">
        <v>3318</v>
      </c>
      <c r="E10" s="3222"/>
      <c r="F10" s="3253">
        <f>F25+F26+F28</f>
        <v>72900</v>
      </c>
      <c r="G10" s="3235"/>
    </row>
    <row r="11" spans="1:10" ht="16.5">
      <c r="A11" s="3648" t="s">
        <v>3319</v>
      </c>
      <c r="B11" s="3649"/>
      <c r="C11" s="3650"/>
      <c r="D11" s="3214"/>
      <c r="E11" s="3222"/>
      <c r="F11" s="3253"/>
      <c r="G11" s="3235"/>
    </row>
    <row r="12" spans="1:10">
      <c r="A12" s="3651"/>
      <c r="B12" s="3647" t="s">
        <v>3227</v>
      </c>
      <c r="C12" s="3647"/>
      <c r="D12" s="3214" t="s">
        <v>3318</v>
      </c>
      <c r="E12" s="3214"/>
      <c r="F12" s="3253">
        <f>[7]E2组团表4!J6+[7]E2组团表4!J9+[7]E2组团表4!J10+[7]E2组团表4!J15+[7]E2组团表4!J19</f>
        <v>66390</v>
      </c>
      <c r="G12" s="3235"/>
    </row>
    <row r="13" spans="1:10">
      <c r="A13" s="3652"/>
      <c r="B13" s="3647" t="s">
        <v>3228</v>
      </c>
      <c r="C13" s="3647"/>
      <c r="D13" s="3214" t="s">
        <v>3318</v>
      </c>
      <c r="E13" s="3214"/>
      <c r="F13" s="3253">
        <f>SUM(F14:F23)</f>
        <v>3820</v>
      </c>
      <c r="G13" s="3235"/>
    </row>
    <row r="14" spans="1:10">
      <c r="A14" s="3652"/>
      <c r="B14" s="3651" t="s">
        <v>3222</v>
      </c>
      <c r="C14" s="3224" t="s">
        <v>3229</v>
      </c>
      <c r="D14" s="3214" t="s">
        <v>3320</v>
      </c>
      <c r="E14" s="3214"/>
      <c r="F14" s="3253">
        <f>[7]E2组团表4!J24</f>
        <v>3450</v>
      </c>
      <c r="G14" s="3235" t="s">
        <v>3321</v>
      </c>
    </row>
    <row r="15" spans="1:10">
      <c r="A15" s="3652"/>
      <c r="B15" s="3652"/>
      <c r="C15" s="3224" t="s">
        <v>3322</v>
      </c>
      <c r="D15" s="3214" t="s">
        <v>3220</v>
      </c>
      <c r="E15" s="3214"/>
      <c r="F15" s="3253">
        <v>0</v>
      </c>
      <c r="G15" s="3235"/>
    </row>
    <row r="16" spans="1:10" ht="28.5">
      <c r="A16" s="3652"/>
      <c r="B16" s="3652"/>
      <c r="C16" s="3224" t="s">
        <v>3323</v>
      </c>
      <c r="D16" s="3214" t="s">
        <v>3220</v>
      </c>
      <c r="E16" s="3214"/>
      <c r="F16" s="3253">
        <f>0</f>
        <v>0</v>
      </c>
      <c r="G16" s="3235"/>
    </row>
    <row r="17" spans="1:8">
      <c r="A17" s="3652"/>
      <c r="B17" s="3652"/>
      <c r="C17" s="3224" t="s">
        <v>3324</v>
      </c>
      <c r="D17" s="3214" t="s">
        <v>3318</v>
      </c>
      <c r="E17" s="3214"/>
      <c r="F17" s="3253">
        <f>[7]E2组团表4!J7</f>
        <v>350</v>
      </c>
      <c r="G17" s="3235" t="s">
        <v>3325</v>
      </c>
    </row>
    <row r="18" spans="1:8">
      <c r="A18" s="3652"/>
      <c r="B18" s="3652"/>
      <c r="C18" s="3224" t="s">
        <v>3326</v>
      </c>
      <c r="D18" s="3214" t="s">
        <v>3318</v>
      </c>
      <c r="E18" s="3214"/>
      <c r="F18" s="3253">
        <f>[7]E2组团表4!J8</f>
        <v>20</v>
      </c>
      <c r="G18" s="3235" t="s">
        <v>3327</v>
      </c>
    </row>
    <row r="19" spans="1:8">
      <c r="A19" s="3652"/>
      <c r="B19" s="3652"/>
      <c r="C19" s="3224" t="s">
        <v>3328</v>
      </c>
      <c r="D19" s="3214" t="s">
        <v>3220</v>
      </c>
      <c r="E19" s="3214"/>
      <c r="F19" s="3253">
        <v>0</v>
      </c>
      <c r="G19" s="3235"/>
    </row>
    <row r="20" spans="1:8">
      <c r="A20" s="3652"/>
      <c r="B20" s="3652"/>
      <c r="C20" s="3224" t="s">
        <v>3329</v>
      </c>
      <c r="D20" s="3214" t="s">
        <v>3220</v>
      </c>
      <c r="E20" s="3214"/>
      <c r="F20" s="3253">
        <v>0</v>
      </c>
      <c r="G20" s="3235"/>
    </row>
    <row r="21" spans="1:8" ht="28.5">
      <c r="A21" s="3652"/>
      <c r="B21" s="3652"/>
      <c r="C21" s="3224" t="s">
        <v>3330</v>
      </c>
      <c r="D21" s="3214" t="s">
        <v>3220</v>
      </c>
      <c r="E21" s="3214"/>
      <c r="F21" s="3253">
        <v>0</v>
      </c>
      <c r="G21" s="3235"/>
    </row>
    <row r="22" spans="1:8">
      <c r="A22" s="3652"/>
      <c r="B22" s="3652"/>
      <c r="C22" s="3224" t="s">
        <v>3331</v>
      </c>
      <c r="D22" s="3214" t="s">
        <v>3220</v>
      </c>
      <c r="E22" s="3214"/>
      <c r="F22" s="3253">
        <v>0</v>
      </c>
      <c r="G22" s="3235"/>
    </row>
    <row r="23" spans="1:8">
      <c r="A23" s="3652"/>
      <c r="B23" s="3653"/>
      <c r="C23" s="3224" t="s">
        <v>3332</v>
      </c>
      <c r="D23" s="3214" t="s">
        <v>3220</v>
      </c>
      <c r="E23" s="3214"/>
      <c r="F23" s="3253">
        <v>0</v>
      </c>
      <c r="G23" s="3235"/>
    </row>
    <row r="24" spans="1:8">
      <c r="A24" s="3652"/>
      <c r="B24" s="3647" t="s">
        <v>3243</v>
      </c>
      <c r="C24" s="3647"/>
      <c r="D24" s="3214" t="s">
        <v>3315</v>
      </c>
      <c r="E24" s="3214"/>
      <c r="F24" s="3253">
        <v>0</v>
      </c>
      <c r="G24" s="3235"/>
    </row>
    <row r="25" spans="1:8">
      <c r="A25" s="3652"/>
      <c r="B25" s="3647" t="s">
        <v>3244</v>
      </c>
      <c r="C25" s="3647"/>
      <c r="D25" s="3214" t="s">
        <v>3315</v>
      </c>
      <c r="E25" s="3214"/>
      <c r="F25" s="3253">
        <f>[7]E2组团表4!G27+[7]E2组团表4!G29+[7]E2组团表4!G31+[7]E2组团表4!G33</f>
        <v>52000</v>
      </c>
      <c r="G25" s="3235"/>
    </row>
    <row r="26" spans="1:8">
      <c r="A26" s="3652"/>
      <c r="B26" s="3647" t="s">
        <v>3245</v>
      </c>
      <c r="C26" s="3647"/>
      <c r="D26" s="3214" t="s">
        <v>3220</v>
      </c>
      <c r="E26" s="3214"/>
      <c r="F26" s="3253">
        <f>[7]E2组团表4!G28+[7]E2组团表4!G30+[7]E2组团表4!G32+[7]E2组团表4!G34</f>
        <v>900</v>
      </c>
      <c r="G26" s="3235"/>
    </row>
    <row r="27" spans="1:8">
      <c r="A27" s="3652"/>
      <c r="B27" s="3647" t="s">
        <v>3246</v>
      </c>
      <c r="C27" s="3647"/>
      <c r="D27" s="3214" t="s">
        <v>3315</v>
      </c>
      <c r="E27" s="3214"/>
      <c r="F27" s="3253">
        <f>[7]E2组团表4!O11+[7]E2组团表4!O15</f>
        <v>610</v>
      </c>
      <c r="G27" s="3235" t="s">
        <v>3333</v>
      </c>
    </row>
    <row r="28" spans="1:8">
      <c r="A28" s="3653"/>
      <c r="B28" s="3647" t="s">
        <v>3334</v>
      </c>
      <c r="C28" s="3647"/>
      <c r="D28" s="3214" t="s">
        <v>3315</v>
      </c>
      <c r="E28" s="3214"/>
      <c r="F28" s="3214">
        <f>[7]E2组团表4!G25+[7]E2组团表4!G26</f>
        <v>20000</v>
      </c>
      <c r="G28" s="3210" t="s">
        <v>3335</v>
      </c>
      <c r="H28" s="3211"/>
    </row>
    <row r="29" spans="1:8">
      <c r="A29" s="3647" t="s">
        <v>3250</v>
      </c>
      <c r="B29" s="3647"/>
      <c r="C29" s="3647"/>
      <c r="D29" s="3214" t="s">
        <v>3315</v>
      </c>
      <c r="E29" s="3214"/>
      <c r="F29" s="3253">
        <f>F12+F13+F24</f>
        <v>70210</v>
      </c>
      <c r="G29" s="3235"/>
    </row>
    <row r="30" spans="1:8">
      <c r="A30" s="3647" t="s">
        <v>2029</v>
      </c>
      <c r="B30" s="3647"/>
      <c r="C30" s="3647"/>
      <c r="D30" s="3214"/>
      <c r="E30" s="3214"/>
      <c r="F30" s="3254">
        <f>F29/F4</f>
        <v>3.0742056587101914</v>
      </c>
      <c r="G30" s="3214"/>
    </row>
    <row r="31" spans="1:8">
      <c r="A31" s="3647" t="s">
        <v>3251</v>
      </c>
      <c r="B31" s="3647"/>
      <c r="C31" s="3647"/>
      <c r="D31" s="3219" t="s">
        <v>3252</v>
      </c>
      <c r="E31" s="3214"/>
      <c r="F31" s="3214" t="s">
        <v>3336</v>
      </c>
      <c r="G31" s="3214" t="s">
        <v>3337</v>
      </c>
    </row>
    <row r="32" spans="1:8">
      <c r="A32" s="3647" t="s">
        <v>3254</v>
      </c>
      <c r="B32" s="3647"/>
      <c r="C32" s="3647"/>
      <c r="D32" s="3219" t="s">
        <v>3252</v>
      </c>
      <c r="E32" s="3214"/>
      <c r="F32" s="3214" t="s">
        <v>3336</v>
      </c>
      <c r="G32" s="3214" t="s">
        <v>3337</v>
      </c>
    </row>
    <row r="33" spans="1:7">
      <c r="A33" s="3647" t="s">
        <v>3255</v>
      </c>
      <c r="B33" s="3647"/>
      <c r="C33" s="3647"/>
      <c r="D33" s="3219" t="s">
        <v>3256</v>
      </c>
      <c r="E33" s="3214"/>
      <c r="F33" s="3214">
        <f>F34+F35</f>
        <v>1580</v>
      </c>
      <c r="G33" s="3214"/>
    </row>
    <row r="34" spans="1:7">
      <c r="A34" s="3647" t="s">
        <v>3222</v>
      </c>
      <c r="B34" s="3647" t="s">
        <v>3338</v>
      </c>
      <c r="C34" s="3647"/>
      <c r="D34" s="3219" t="s">
        <v>3256</v>
      </c>
      <c r="E34" s="3214"/>
      <c r="F34" s="3214">
        <v>0</v>
      </c>
      <c r="G34" s="3214"/>
    </row>
    <row r="35" spans="1:7">
      <c r="A35" s="3647"/>
      <c r="B35" s="3647" t="s">
        <v>3258</v>
      </c>
      <c r="C35" s="3647"/>
      <c r="D35" s="3219" t="s">
        <v>3256</v>
      </c>
      <c r="E35" s="3214"/>
      <c r="F35" s="3214">
        <f>[7]E2组团表4!L36</f>
        <v>1580</v>
      </c>
      <c r="G35" s="3214"/>
    </row>
    <row r="36" spans="1:7">
      <c r="A36" s="3640" t="s">
        <v>3259</v>
      </c>
      <c r="B36" s="3640"/>
      <c r="C36" s="3640"/>
      <c r="D36" s="3227" t="s">
        <v>3339</v>
      </c>
      <c r="E36" s="3228"/>
      <c r="F36" s="3228" t="s">
        <v>3340</v>
      </c>
      <c r="G36" s="3228"/>
    </row>
    <row r="37" spans="1:7">
      <c r="A37" s="3641" t="s">
        <v>3341</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3343</v>
      </c>
      <c r="B1" s="3210"/>
      <c r="C1" s="3210"/>
      <c r="D1" s="3210"/>
      <c r="E1" s="3210"/>
      <c r="F1" s="3210"/>
      <c r="G1" s="3210"/>
      <c r="H1" s="3211"/>
    </row>
    <row r="2" spans="1:16" ht="25.5">
      <c r="A2" s="3658" t="s">
        <v>3344</v>
      </c>
      <c r="B2" s="3658"/>
      <c r="C2" s="3658"/>
      <c r="D2" s="3658"/>
      <c r="E2" s="3658"/>
      <c r="F2" s="3658"/>
      <c r="G2" s="3658"/>
      <c r="H2" s="3213"/>
    </row>
    <row r="3" spans="1:16">
      <c r="A3" s="3659" t="s">
        <v>3208</v>
      </c>
      <c r="B3" s="3659"/>
      <c r="C3" s="3659"/>
      <c r="D3" s="3214" t="s">
        <v>3345</v>
      </c>
      <c r="E3" s="3214" t="s">
        <v>3210</v>
      </c>
      <c r="F3" s="3214" t="s">
        <v>3211</v>
      </c>
      <c r="G3" s="3214" t="s">
        <v>3346</v>
      </c>
      <c r="H3" s="3213"/>
    </row>
    <row r="4" spans="1:16">
      <c r="A4" s="3647" t="s">
        <v>3213</v>
      </c>
      <c r="B4" s="3647"/>
      <c r="C4" s="3647"/>
      <c r="D4" s="3214" t="s">
        <v>3347</v>
      </c>
      <c r="E4" s="3233">
        <v>30322.45</v>
      </c>
      <c r="F4" s="3233">
        <v>30322.45</v>
      </c>
      <c r="G4" s="3233"/>
      <c r="H4" s="3216"/>
      <c r="J4" s="3233"/>
    </row>
    <row r="5" spans="1:16">
      <c r="A5" s="3647" t="s">
        <v>3215</v>
      </c>
      <c r="B5" s="3647"/>
      <c r="C5" s="3647"/>
      <c r="D5" s="3217" t="s">
        <v>3216</v>
      </c>
      <c r="E5" s="3214"/>
      <c r="F5" s="3256">
        <f>[7]B组团表4!K46</f>
        <v>1692</v>
      </c>
      <c r="G5" s="3210"/>
      <c r="H5" s="3211"/>
    </row>
    <row r="6" spans="1:16">
      <c r="A6" s="3647" t="s">
        <v>3217</v>
      </c>
      <c r="B6" s="3647"/>
      <c r="C6" s="3647"/>
      <c r="D6" s="3219" t="s">
        <v>3218</v>
      </c>
      <c r="E6" s="3214"/>
      <c r="F6" s="3257">
        <f>'[7]公共服务设施控制指标（㎡ 千人）'!F3</f>
        <v>5415</v>
      </c>
      <c r="G6" s="3210"/>
      <c r="H6" s="3211"/>
      <c r="I6" s="3221"/>
    </row>
    <row r="7" spans="1:16" ht="16.5">
      <c r="A7" s="3647" t="s">
        <v>3219</v>
      </c>
      <c r="B7" s="3647"/>
      <c r="C7" s="3647"/>
      <c r="D7" s="3219" t="s">
        <v>3220</v>
      </c>
      <c r="E7" s="3222"/>
      <c r="F7" s="3215">
        <f>F9+F10</f>
        <v>289250</v>
      </c>
      <c r="G7" s="3210"/>
      <c r="H7" s="3211"/>
    </row>
    <row r="8" spans="1:16" ht="16.5">
      <c r="A8" s="3648" t="s">
        <v>3348</v>
      </c>
      <c r="B8" s="3649"/>
      <c r="C8" s="3650"/>
      <c r="D8" s="3214"/>
      <c r="E8" s="3222"/>
      <c r="F8" s="3215"/>
      <c r="G8" s="3210"/>
      <c r="H8" s="3211"/>
    </row>
    <row r="9" spans="1:16" ht="16.5">
      <c r="A9" s="3647" t="s">
        <v>3222</v>
      </c>
      <c r="B9" s="3647" t="s">
        <v>3223</v>
      </c>
      <c r="C9" s="3647"/>
      <c r="D9" s="3214" t="s">
        <v>3349</v>
      </c>
      <c r="E9" s="3222"/>
      <c r="F9" s="3215">
        <f>F12+F13+F24+F27</f>
        <v>194300</v>
      </c>
      <c r="G9" s="3210"/>
      <c r="H9" s="3211"/>
    </row>
    <row r="10" spans="1:16" ht="16.5">
      <c r="A10" s="3647"/>
      <c r="B10" s="3647" t="s">
        <v>3225</v>
      </c>
      <c r="C10" s="3647"/>
      <c r="D10" s="3214" t="s">
        <v>3349</v>
      </c>
      <c r="E10" s="3222"/>
      <c r="F10" s="3215">
        <f>F25+F26+F28</f>
        <v>94950</v>
      </c>
      <c r="G10" s="3210"/>
      <c r="H10" s="3211"/>
    </row>
    <row r="11" spans="1:16" ht="16.5">
      <c r="A11" s="3648" t="s">
        <v>3350</v>
      </c>
      <c r="B11" s="3649"/>
      <c r="C11" s="3650"/>
      <c r="D11" s="3214"/>
      <c r="E11" s="3222"/>
      <c r="F11" s="3215"/>
      <c r="G11" s="3210"/>
      <c r="H11" s="3211"/>
    </row>
    <row r="12" spans="1:16">
      <c r="A12" s="3651"/>
      <c r="B12" s="3654" t="s">
        <v>3227</v>
      </c>
      <c r="C12" s="3654"/>
      <c r="D12" s="3214" t="s">
        <v>3349</v>
      </c>
      <c r="E12" s="3214"/>
      <c r="F12" s="3215">
        <f>[7]B组团表4!J4+[7]B组团表4!J5+[7]B组团表4!J6+[7]B组团表4!J8+[7]B组团表4!J9+[7]B组团表4!J10+[7]B组团表4!J12+[7]B组团表4!J13+[7]B组团表4!J14+[7]B组团表4!J16+[7]B组团表4!J19+[7]B组团表4!J20</f>
        <v>177110</v>
      </c>
      <c r="G12" s="3223"/>
      <c r="H12" s="3211"/>
    </row>
    <row r="13" spans="1:16">
      <c r="A13" s="3652"/>
      <c r="B13" s="3654" t="s">
        <v>3228</v>
      </c>
      <c r="C13" s="3654"/>
      <c r="D13" s="3214" t="s">
        <v>3349</v>
      </c>
      <c r="E13" s="3214"/>
      <c r="F13" s="3215">
        <f>SUM(F14:F23)</f>
        <v>875</v>
      </c>
      <c r="G13" s="3210"/>
      <c r="H13" s="3211"/>
      <c r="J13" s="3221"/>
      <c r="K13" s="3221"/>
      <c r="L13" s="3221"/>
      <c r="M13" s="3221"/>
      <c r="N13" s="3221"/>
      <c r="O13" s="3221"/>
      <c r="P13" s="3221"/>
    </row>
    <row r="14" spans="1:16">
      <c r="A14" s="3652"/>
      <c r="B14" s="3655" t="s">
        <v>3222</v>
      </c>
      <c r="C14" s="3224" t="s">
        <v>3229</v>
      </c>
      <c r="D14" s="3214" t="s">
        <v>3224</v>
      </c>
      <c r="E14" s="3214"/>
      <c r="F14" s="3215">
        <v>0</v>
      </c>
      <c r="G14" s="3210"/>
      <c r="H14" s="3211"/>
      <c r="J14" s="3221"/>
      <c r="K14" s="3221"/>
      <c r="L14" s="3221"/>
      <c r="M14" s="3221"/>
      <c r="N14" s="3221"/>
      <c r="O14" s="3221"/>
      <c r="P14" s="3221"/>
    </row>
    <row r="15" spans="1:16">
      <c r="A15" s="3652"/>
      <c r="B15" s="3656"/>
      <c r="C15" s="3224" t="s">
        <v>3351</v>
      </c>
      <c r="D15" s="3214" t="s">
        <v>3220</v>
      </c>
      <c r="E15" s="3214"/>
      <c r="F15" s="3215">
        <v>0</v>
      </c>
      <c r="G15" s="3210"/>
      <c r="H15" s="3211"/>
      <c r="J15" s="3221"/>
      <c r="K15" s="3221"/>
      <c r="L15" s="3221"/>
      <c r="M15" s="3221"/>
      <c r="N15" s="3221"/>
      <c r="O15" s="3221"/>
      <c r="P15" s="3221"/>
    </row>
    <row r="16" spans="1:16">
      <c r="A16" s="3652"/>
      <c r="B16" s="3656"/>
      <c r="C16" s="3224" t="s">
        <v>3352</v>
      </c>
      <c r="D16" s="3214" t="s">
        <v>3220</v>
      </c>
      <c r="E16" s="3214"/>
      <c r="F16" s="3215">
        <v>0</v>
      </c>
      <c r="G16" s="3210"/>
      <c r="H16" s="3211"/>
      <c r="J16" s="3221"/>
      <c r="K16" s="3221"/>
      <c r="L16" s="3221"/>
      <c r="M16" s="3221"/>
      <c r="N16" s="3221"/>
      <c r="O16" s="3221"/>
      <c r="P16" s="3221"/>
    </row>
    <row r="17" spans="1:16">
      <c r="A17" s="3652"/>
      <c r="B17" s="3656"/>
      <c r="C17" s="3224" t="s">
        <v>3353</v>
      </c>
      <c r="D17" s="3214" t="s">
        <v>3224</v>
      </c>
      <c r="E17" s="3214"/>
      <c r="F17" s="3215">
        <f>[7]B组团表4!J17</f>
        <v>770</v>
      </c>
      <c r="G17" s="3210" t="s">
        <v>3354</v>
      </c>
      <c r="H17" s="3226"/>
      <c r="J17" s="3221"/>
      <c r="K17" s="3221"/>
      <c r="L17" s="3221"/>
      <c r="M17" s="3221"/>
      <c r="N17" s="3221"/>
      <c r="O17" s="3221"/>
      <c r="P17" s="3221"/>
    </row>
    <row r="18" spans="1:16">
      <c r="A18" s="3652"/>
      <c r="B18" s="3656"/>
      <c r="C18" s="3224" t="s">
        <v>3355</v>
      </c>
      <c r="D18" s="3214" t="s">
        <v>3349</v>
      </c>
      <c r="E18" s="3214"/>
      <c r="F18" s="3215">
        <f>[7]B组团表4!J18+[7]B组团表4!J24+[7]B组团表4!J26+[7]B组团表4!J28</f>
        <v>105</v>
      </c>
      <c r="G18" s="3210" t="s">
        <v>3356</v>
      </c>
      <c r="H18" s="3211"/>
      <c r="J18" s="3221"/>
      <c r="K18" s="3221"/>
      <c r="L18" s="3221"/>
      <c r="M18" s="3221"/>
      <c r="N18" s="3221"/>
      <c r="O18" s="3221"/>
      <c r="P18" s="3221"/>
    </row>
    <row r="19" spans="1:16">
      <c r="A19" s="3652"/>
      <c r="B19" s="3656"/>
      <c r="C19" s="3224" t="s">
        <v>3357</v>
      </c>
      <c r="D19" s="3214" t="s">
        <v>3220</v>
      </c>
      <c r="E19" s="3214"/>
      <c r="F19" s="3215">
        <v>0</v>
      </c>
      <c r="G19" s="3210"/>
      <c r="H19" s="3211"/>
      <c r="J19" s="3221"/>
      <c r="K19" s="3221"/>
      <c r="L19" s="3221"/>
      <c r="M19" s="3221"/>
      <c r="N19" s="3221"/>
      <c r="O19" s="3221"/>
      <c r="P19" s="3221"/>
    </row>
    <row r="20" spans="1:16">
      <c r="A20" s="3652"/>
      <c r="B20" s="3656"/>
      <c r="C20" s="3224" t="s">
        <v>3358</v>
      </c>
      <c r="D20" s="3214" t="s">
        <v>3220</v>
      </c>
      <c r="E20" s="3214"/>
      <c r="F20" s="3215">
        <v>0</v>
      </c>
      <c r="G20" s="3210"/>
      <c r="H20" s="3211"/>
      <c r="J20" s="3221"/>
      <c r="K20" s="3221"/>
      <c r="L20" s="3221"/>
      <c r="M20" s="3221"/>
      <c r="N20" s="3221"/>
      <c r="O20" s="3221"/>
      <c r="P20" s="3221"/>
    </row>
    <row r="21" spans="1:16" ht="28.5">
      <c r="A21" s="3652"/>
      <c r="B21" s="3656"/>
      <c r="C21" s="3224" t="s">
        <v>3359</v>
      </c>
      <c r="D21" s="3214" t="s">
        <v>3220</v>
      </c>
      <c r="E21" s="3214"/>
      <c r="F21" s="3215">
        <v>0</v>
      </c>
      <c r="G21" s="3210"/>
      <c r="H21" s="3211"/>
      <c r="J21" s="3221"/>
      <c r="K21" s="3221"/>
      <c r="L21" s="3221"/>
      <c r="M21" s="3221"/>
      <c r="N21" s="3221"/>
      <c r="O21" s="3221"/>
      <c r="P21" s="3221"/>
    </row>
    <row r="22" spans="1:16">
      <c r="A22" s="3652"/>
      <c r="B22" s="3656"/>
      <c r="C22" s="3224" t="s">
        <v>3360</v>
      </c>
      <c r="D22" s="3214" t="s">
        <v>3220</v>
      </c>
      <c r="E22" s="3214"/>
      <c r="F22" s="3215">
        <v>0</v>
      </c>
      <c r="G22" s="3210"/>
      <c r="H22" s="3211"/>
      <c r="J22" s="3221"/>
      <c r="K22" s="3221"/>
      <c r="L22" s="3221"/>
      <c r="M22" s="3221"/>
      <c r="N22" s="3221"/>
      <c r="O22" s="3221"/>
      <c r="P22" s="3221"/>
    </row>
    <row r="23" spans="1:16">
      <c r="A23" s="3652"/>
      <c r="B23" s="3657"/>
      <c r="C23" s="3224" t="s">
        <v>3361</v>
      </c>
      <c r="D23" s="3214" t="s">
        <v>3220</v>
      </c>
      <c r="E23" s="3214"/>
      <c r="F23" s="3215">
        <v>0</v>
      </c>
      <c r="G23" s="3210"/>
      <c r="H23" s="3211"/>
      <c r="J23" s="3221"/>
      <c r="K23" s="3221"/>
      <c r="L23" s="3221"/>
      <c r="M23" s="3221"/>
      <c r="N23" s="3221"/>
      <c r="O23" s="3221"/>
      <c r="P23" s="3221"/>
    </row>
    <row r="24" spans="1:16">
      <c r="A24" s="3652"/>
      <c r="B24" s="3654" t="s">
        <v>3243</v>
      </c>
      <c r="C24" s="3654"/>
      <c r="D24" s="3214" t="s">
        <v>3349</v>
      </c>
      <c r="E24" s="3214"/>
      <c r="F24" s="3215">
        <f>[7]B组团表4!J22+[7]B组团表4!J23+[7]B组团表4!J25+[7]B组团表4!J27+[7]B组团表4!J29</f>
        <v>12665</v>
      </c>
      <c r="G24" s="3210"/>
      <c r="H24" s="3211"/>
      <c r="J24" s="3221"/>
      <c r="K24" s="3221"/>
      <c r="L24" s="3221"/>
      <c r="M24" s="3221"/>
      <c r="N24" s="3221"/>
      <c r="O24" s="3221"/>
      <c r="P24" s="3221"/>
    </row>
    <row r="25" spans="1:16">
      <c r="A25" s="3652"/>
      <c r="B25" s="3654" t="s">
        <v>3244</v>
      </c>
      <c r="C25" s="3654"/>
      <c r="D25" s="3214" t="s">
        <v>3349</v>
      </c>
      <c r="E25" s="3214"/>
      <c r="F25" s="3214">
        <f>[7]B组团表4!G31+[7]B组团表4!G33+[7]B组团表4!G37+[7]B组团表4!G39+[7]B组团表4!G41+[7]B组团表4!G35+[7]B组团表4!G43</f>
        <v>93700</v>
      </c>
      <c r="G25" s="3210"/>
      <c r="H25" s="3211"/>
    </row>
    <row r="26" spans="1:16">
      <c r="A26" s="3652"/>
      <c r="B26" s="3654" t="s">
        <v>3245</v>
      </c>
      <c r="C26" s="3654"/>
      <c r="D26" s="3214" t="s">
        <v>3220</v>
      </c>
      <c r="E26" s="3214"/>
      <c r="F26" s="3214">
        <f>[7]B组团表4!G32+[7]B组团表4!G34+[7]B组团表4!G38+[7]B组团表4!G40+[7]B组团表4!G42+[7]B组团表4!G44+[7]B组团表4!G36</f>
        <v>1250</v>
      </c>
      <c r="G26" s="3210"/>
      <c r="H26" s="3211"/>
    </row>
    <row r="27" spans="1:16" ht="28.5">
      <c r="A27" s="3652"/>
      <c r="B27" s="3654" t="s">
        <v>3246</v>
      </c>
      <c r="C27" s="3654"/>
      <c r="D27" s="3214" t="s">
        <v>3349</v>
      </c>
      <c r="E27" s="3214"/>
      <c r="F27" s="3214">
        <f>[7]B组团表4!P7+[7]B组团表4!P11+[7]B组团表4!P15+[7]B组团表4!P21</f>
        <v>3650</v>
      </c>
      <c r="G27" s="3214" t="s">
        <v>3362</v>
      </c>
      <c r="H27" s="3211"/>
    </row>
    <row r="28" spans="1:16">
      <c r="A28" s="3653"/>
      <c r="B28" s="3647" t="s">
        <v>3363</v>
      </c>
      <c r="C28" s="3647"/>
      <c r="D28" s="3214" t="s">
        <v>3349</v>
      </c>
      <c r="E28" s="3214"/>
      <c r="F28" s="3214">
        <v>0</v>
      </c>
      <c r="G28" s="3210"/>
      <c r="H28" s="3211"/>
    </row>
    <row r="29" spans="1:16">
      <c r="A29" s="3647" t="s">
        <v>3250</v>
      </c>
      <c r="B29" s="3647"/>
      <c r="C29" s="3647"/>
      <c r="D29" s="3214" t="s">
        <v>3349</v>
      </c>
      <c r="E29" s="3214"/>
      <c r="F29" s="3215">
        <f>F12+F13+F24</f>
        <v>190650</v>
      </c>
      <c r="G29" s="3210"/>
      <c r="H29" s="3211"/>
    </row>
    <row r="30" spans="1:16">
      <c r="A30" s="3647" t="s">
        <v>2029</v>
      </c>
      <c r="B30" s="3647"/>
      <c r="C30" s="3647"/>
      <c r="D30" s="3214"/>
      <c r="E30" s="3214"/>
      <c r="F30" s="3215">
        <f>F29/F4</f>
        <v>6.2874207064402778</v>
      </c>
      <c r="G30" s="3214"/>
      <c r="H30" s="3216"/>
    </row>
    <row r="31" spans="1:16">
      <c r="A31" s="3647" t="s">
        <v>3251</v>
      </c>
      <c r="B31" s="3647"/>
      <c r="C31" s="3647"/>
      <c r="D31" s="3219" t="s">
        <v>3252</v>
      </c>
      <c r="E31" s="3214"/>
      <c r="F31" s="3214" t="s">
        <v>3364</v>
      </c>
      <c r="G31" s="3214" t="s">
        <v>3365</v>
      </c>
      <c r="H31" s="3216"/>
    </row>
    <row r="32" spans="1:16">
      <c r="A32" s="3647" t="s">
        <v>3254</v>
      </c>
      <c r="B32" s="3647"/>
      <c r="C32" s="3647"/>
      <c r="D32" s="3219" t="s">
        <v>3252</v>
      </c>
      <c r="E32" s="3214"/>
      <c r="F32" s="3214" t="s">
        <v>3364</v>
      </c>
      <c r="G32" s="3214" t="s">
        <v>3365</v>
      </c>
      <c r="H32" s="3216"/>
    </row>
    <row r="33" spans="1:8">
      <c r="A33" s="3647" t="s">
        <v>3255</v>
      </c>
      <c r="B33" s="3647"/>
      <c r="C33" s="3647"/>
      <c r="D33" s="3219" t="s">
        <v>3256</v>
      </c>
      <c r="E33" s="3214"/>
      <c r="F33" s="3214">
        <f>F34+F35</f>
        <v>2283</v>
      </c>
      <c r="G33" s="3214"/>
      <c r="H33" s="3216"/>
    </row>
    <row r="34" spans="1:8">
      <c r="A34" s="3647" t="s">
        <v>3222</v>
      </c>
      <c r="B34" s="3647" t="s">
        <v>3366</v>
      </c>
      <c r="C34" s="3647"/>
      <c r="D34" s="3219" t="s">
        <v>3256</v>
      </c>
      <c r="E34" s="3214"/>
      <c r="F34" s="3214">
        <v>0</v>
      </c>
      <c r="G34" s="3214"/>
      <c r="H34" s="3216"/>
    </row>
    <row r="35" spans="1:8">
      <c r="A35" s="3647"/>
      <c r="B35" s="3647" t="s">
        <v>3258</v>
      </c>
      <c r="C35" s="3647"/>
      <c r="D35" s="3219" t="s">
        <v>3256</v>
      </c>
      <c r="E35" s="3214"/>
      <c r="F35" s="3214">
        <f>[7]B组团表4!L46</f>
        <v>2283</v>
      </c>
      <c r="G35" s="3210"/>
      <c r="H35" s="3211"/>
    </row>
    <row r="36" spans="1:8">
      <c r="A36" s="3640" t="s">
        <v>3259</v>
      </c>
      <c r="B36" s="3640"/>
      <c r="C36" s="3640"/>
      <c r="D36" s="3227" t="s">
        <v>3367</v>
      </c>
      <c r="E36" s="3228"/>
      <c r="F36" s="3258" t="s">
        <v>3368</v>
      </c>
      <c r="G36" s="3228"/>
      <c r="H36" s="3216"/>
    </row>
    <row r="37" spans="1:8">
      <c r="A37" s="3641" t="s">
        <v>3369</v>
      </c>
      <c r="B37" s="3642"/>
      <c r="C37" s="3642"/>
      <c r="D37" s="3642"/>
      <c r="E37" s="3642"/>
      <c r="F37" s="3642"/>
      <c r="G37" s="3643"/>
      <c r="H37" s="3229"/>
    </row>
    <row r="38" spans="1:8">
      <c r="A38" s="3644" t="s">
        <v>3263</v>
      </c>
      <c r="B38" s="3645"/>
      <c r="C38" s="3645"/>
      <c r="D38" s="3645"/>
      <c r="E38" s="3645"/>
      <c r="F38" s="3645"/>
      <c r="G38" s="3646"/>
      <c r="H38" s="3229"/>
    </row>
    <row r="39" spans="1:8">
      <c r="A39" s="3644" t="s">
        <v>3264</v>
      </c>
      <c r="B39" s="3645"/>
      <c r="C39" s="3645"/>
      <c r="D39" s="3645"/>
      <c r="E39" s="3645"/>
      <c r="F39" s="3645"/>
      <c r="G39" s="3646"/>
      <c r="H39" s="3229"/>
    </row>
    <row r="40" spans="1:8">
      <c r="A40" s="3644" t="s">
        <v>3265</v>
      </c>
      <c r="B40" s="3645"/>
      <c r="C40" s="3645"/>
      <c r="D40" s="3645"/>
      <c r="E40" s="3645"/>
      <c r="F40" s="3645"/>
      <c r="G40" s="3646"/>
      <c r="H40" s="3229"/>
    </row>
    <row r="41" spans="1:8">
      <c r="A41" s="3644" t="s">
        <v>3266</v>
      </c>
      <c r="B41" s="3645"/>
      <c r="C41" s="3645"/>
      <c r="D41" s="3645"/>
      <c r="E41" s="3645"/>
      <c r="F41" s="3645"/>
      <c r="G41" s="3646"/>
      <c r="H41" s="3229"/>
    </row>
    <row r="42" spans="1:8">
      <c r="A42" s="3637" t="s">
        <v>3267</v>
      </c>
      <c r="B42" s="3638"/>
      <c r="C42" s="3638"/>
      <c r="D42" s="3638"/>
      <c r="E42" s="3638"/>
      <c r="F42" s="3638"/>
      <c r="G42" s="3639"/>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19" workbookViewId="0">
      <selection activeCell="A30" sqref="A30:C30"/>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3279</v>
      </c>
      <c r="B1" s="3232"/>
      <c r="C1" s="3232"/>
      <c r="D1" s="3232"/>
      <c r="E1" s="3232"/>
      <c r="F1" s="3232"/>
      <c r="G1" s="3232"/>
    </row>
    <row r="2" spans="1:17" ht="25.5">
      <c r="A2" s="3658" t="s">
        <v>3370</v>
      </c>
      <c r="B2" s="3658"/>
      <c r="C2" s="3658"/>
      <c r="D2" s="3658"/>
      <c r="E2" s="3658"/>
      <c r="F2" s="3658"/>
      <c r="G2" s="3658"/>
    </row>
    <row r="3" spans="1:17">
      <c r="A3" s="3659" t="s">
        <v>3208</v>
      </c>
      <c r="B3" s="3659"/>
      <c r="C3" s="3659"/>
      <c r="D3" s="3214" t="s">
        <v>3281</v>
      </c>
      <c r="E3" s="3214" t="s">
        <v>3210</v>
      </c>
      <c r="F3" s="3214" t="s">
        <v>3211</v>
      </c>
      <c r="G3" s="3214" t="s">
        <v>3282</v>
      </c>
      <c r="I3" s="3211"/>
      <c r="J3" s="3211"/>
      <c r="K3" s="3211"/>
      <c r="L3" s="3211"/>
      <c r="M3" s="3211"/>
      <c r="N3" s="3211"/>
      <c r="O3" s="3211"/>
      <c r="P3" s="3211"/>
      <c r="Q3" s="3211"/>
    </row>
    <row r="4" spans="1:17" ht="18.75">
      <c r="A4" s="3647" t="s">
        <v>3213</v>
      </c>
      <c r="B4" s="3647"/>
      <c r="C4" s="3647"/>
      <c r="D4" s="3214" t="s">
        <v>3283</v>
      </c>
      <c r="E4" s="3237">
        <v>33664.449999999997</v>
      </c>
      <c r="F4" s="3233">
        <v>33664.449999999997</v>
      </c>
      <c r="G4" s="3214"/>
      <c r="I4" s="3211"/>
      <c r="J4" s="3234"/>
      <c r="K4" s="3211"/>
      <c r="L4" s="3259"/>
      <c r="M4" s="3211"/>
      <c r="N4" s="3211"/>
      <c r="O4" s="3211"/>
      <c r="P4" s="3211"/>
      <c r="Q4" s="3211"/>
    </row>
    <row r="5" spans="1:17" ht="18.75">
      <c r="A5" s="3647" t="s">
        <v>3215</v>
      </c>
      <c r="B5" s="3647"/>
      <c r="C5" s="3647"/>
      <c r="D5" s="3217" t="s">
        <v>3216</v>
      </c>
      <c r="E5" s="3214"/>
      <c r="F5" s="3260">
        <f>[7]G组团表4!K44</f>
        <v>168</v>
      </c>
      <c r="G5" s="3235"/>
      <c r="I5" s="3211"/>
      <c r="J5" s="3211"/>
      <c r="K5" s="3211"/>
      <c r="L5" s="3211"/>
      <c r="M5" s="3211"/>
      <c r="N5" s="3261"/>
      <c r="O5" s="3211"/>
      <c r="P5" s="3211"/>
      <c r="Q5" s="3211"/>
    </row>
    <row r="6" spans="1:17">
      <c r="A6" s="3647" t="s">
        <v>3217</v>
      </c>
      <c r="B6" s="3647"/>
      <c r="C6" s="3647"/>
      <c r="D6" s="3219" t="s">
        <v>3218</v>
      </c>
      <c r="E6" s="3214"/>
      <c r="F6" s="3262">
        <f>'[7]公共服务设施控制指标（㎡ 千人）'!F4</f>
        <v>538</v>
      </c>
      <c r="G6" s="3235"/>
      <c r="I6" s="3211"/>
      <c r="J6" s="3211"/>
      <c r="K6" s="3211"/>
      <c r="L6" s="3211"/>
      <c r="M6" s="3211"/>
      <c r="N6" s="3211"/>
      <c r="O6" s="3211"/>
      <c r="P6" s="3211"/>
      <c r="Q6" s="3211"/>
    </row>
    <row r="7" spans="1:17" ht="16.5">
      <c r="A7" s="3647" t="s">
        <v>3219</v>
      </c>
      <c r="B7" s="3647"/>
      <c r="C7" s="3647"/>
      <c r="D7" s="3219" t="s">
        <v>3220</v>
      </c>
      <c r="E7" s="3222"/>
      <c r="F7" s="3214">
        <f>F9+F10</f>
        <v>158537</v>
      </c>
      <c r="G7" s="3235"/>
      <c r="I7" s="3211"/>
      <c r="J7" s="3211"/>
      <c r="K7" s="3211"/>
      <c r="L7" s="3211"/>
      <c r="M7" s="3211"/>
      <c r="N7" s="3211"/>
      <c r="O7" s="3211"/>
      <c r="P7" s="3211"/>
      <c r="Q7" s="3211"/>
    </row>
    <row r="8" spans="1:17" ht="16.5">
      <c r="A8" s="3647" t="s">
        <v>3317</v>
      </c>
      <c r="B8" s="3647"/>
      <c r="C8" s="3647"/>
      <c r="D8" s="3214"/>
      <c r="E8" s="3222"/>
      <c r="F8" s="3214"/>
      <c r="G8" s="3235"/>
      <c r="I8" s="3211"/>
      <c r="J8" s="3211"/>
      <c r="K8" s="3211"/>
      <c r="L8" s="3211"/>
      <c r="M8" s="3211"/>
      <c r="N8" s="3211"/>
      <c r="O8" s="3211"/>
      <c r="P8" s="3211"/>
      <c r="Q8" s="3211"/>
    </row>
    <row r="9" spans="1:17" ht="18.75">
      <c r="A9" s="3647" t="s">
        <v>3222</v>
      </c>
      <c r="B9" s="3647" t="s">
        <v>3223</v>
      </c>
      <c r="C9" s="3647"/>
      <c r="D9" s="3214" t="s">
        <v>3318</v>
      </c>
      <c r="E9" s="3222"/>
      <c r="F9" s="3214">
        <f>F12+F13+F24+F27</f>
        <v>91337</v>
      </c>
      <c r="G9" s="3235"/>
      <c r="I9" s="3211"/>
      <c r="J9" s="3211"/>
      <c r="K9" s="3690"/>
      <c r="L9" s="3690"/>
      <c r="M9" s="3690"/>
      <c r="N9" s="3263"/>
      <c r="O9" s="3264"/>
      <c r="P9" s="3264"/>
      <c r="Q9" s="3211"/>
    </row>
    <row r="10" spans="1:17" ht="18.75">
      <c r="A10" s="3647"/>
      <c r="B10" s="3647" t="s">
        <v>3225</v>
      </c>
      <c r="C10" s="3647"/>
      <c r="D10" s="3214" t="s">
        <v>3318</v>
      </c>
      <c r="E10" s="3222"/>
      <c r="F10" s="3214">
        <f>F26+F25</f>
        <v>67200</v>
      </c>
      <c r="G10" s="3235"/>
      <c r="I10" s="3211"/>
      <c r="J10" s="3211"/>
      <c r="K10" s="3690"/>
      <c r="L10" s="3690"/>
      <c r="M10" s="3690"/>
      <c r="N10" s="3259"/>
      <c r="O10" s="3263"/>
      <c r="P10" s="3263"/>
      <c r="Q10" s="3211"/>
    </row>
    <row r="11" spans="1:17" ht="18.75">
      <c r="A11" s="3648" t="s">
        <v>3319</v>
      </c>
      <c r="B11" s="3649"/>
      <c r="C11" s="3650"/>
      <c r="D11" s="3214"/>
      <c r="E11" s="3222"/>
      <c r="F11" s="3215"/>
      <c r="G11" s="3235"/>
      <c r="I11" s="3211"/>
      <c r="J11" s="3211"/>
      <c r="K11" s="3688"/>
      <c r="L11" s="3688"/>
      <c r="M11" s="3265"/>
      <c r="N11" s="3259"/>
      <c r="O11" s="3259"/>
      <c r="P11" s="3259"/>
      <c r="Q11" s="3211"/>
    </row>
    <row r="12" spans="1:17" ht="18.75">
      <c r="A12" s="3651"/>
      <c r="B12" s="3647" t="s">
        <v>3227</v>
      </c>
      <c r="C12" s="3647"/>
      <c r="D12" s="3214" t="s">
        <v>3318</v>
      </c>
      <c r="E12" s="3214"/>
      <c r="F12" s="3233">
        <f>[7]G组团表4!J16+[7]G组团表4!J19+[7]G组团表4!J20</f>
        <v>26525</v>
      </c>
      <c r="G12" s="3235"/>
      <c r="I12" s="3211"/>
      <c r="J12" s="3211"/>
      <c r="K12" s="3689"/>
      <c r="L12" s="3688"/>
      <c r="M12" s="3259"/>
      <c r="N12" s="3259"/>
      <c r="O12" s="3259"/>
      <c r="P12" s="3259"/>
      <c r="Q12" s="3211"/>
    </row>
    <row r="13" spans="1:17" ht="18.75">
      <c r="A13" s="3652"/>
      <c r="B13" s="3647" t="s">
        <v>3228</v>
      </c>
      <c r="C13" s="3647"/>
      <c r="D13" s="3214" t="s">
        <v>3318</v>
      </c>
      <c r="E13" s="3214"/>
      <c r="F13" s="3214">
        <f>SUM(F14:F23)</f>
        <v>1685</v>
      </c>
      <c r="G13" s="3235"/>
      <c r="I13" s="3211"/>
      <c r="J13" s="3211"/>
      <c r="K13" s="3689"/>
      <c r="L13" s="3688"/>
      <c r="M13" s="3259"/>
      <c r="N13" s="3259"/>
      <c r="O13" s="3259"/>
      <c r="P13" s="3259"/>
      <c r="Q13" s="3211"/>
    </row>
    <row r="14" spans="1:17" ht="18.75">
      <c r="A14" s="3652"/>
      <c r="B14" s="3651" t="s">
        <v>3222</v>
      </c>
      <c r="C14" s="3224" t="s">
        <v>3229</v>
      </c>
      <c r="D14" s="3214" t="s">
        <v>3371</v>
      </c>
      <c r="E14" s="3214"/>
      <c r="F14" s="3214">
        <v>0</v>
      </c>
      <c r="G14" s="3235"/>
      <c r="I14" s="3211"/>
      <c r="J14" s="3211"/>
      <c r="K14" s="3689"/>
      <c r="L14" s="3688"/>
      <c r="M14" s="3259"/>
      <c r="N14" s="3259"/>
      <c r="O14" s="3259"/>
      <c r="P14" s="3259"/>
      <c r="Q14" s="3211"/>
    </row>
    <row r="15" spans="1:17" ht="18.75">
      <c r="A15" s="3652"/>
      <c r="B15" s="3652"/>
      <c r="C15" s="3224" t="s">
        <v>3372</v>
      </c>
      <c r="D15" s="3214" t="s">
        <v>3371</v>
      </c>
      <c r="E15" s="3214"/>
      <c r="F15" s="3214">
        <v>0</v>
      </c>
      <c r="G15" s="3235"/>
      <c r="I15" s="3211"/>
      <c r="J15" s="3211"/>
      <c r="K15" s="3689"/>
      <c r="L15" s="3688"/>
      <c r="M15" s="3259"/>
      <c r="N15" s="3259"/>
      <c r="O15" s="3259"/>
      <c r="P15" s="3259"/>
      <c r="Q15" s="3211"/>
    </row>
    <row r="16" spans="1:17" ht="18.75">
      <c r="A16" s="3652"/>
      <c r="B16" s="3652"/>
      <c r="C16" s="3224" t="s">
        <v>3373</v>
      </c>
      <c r="D16" s="3214" t="s">
        <v>3220</v>
      </c>
      <c r="E16" s="3214"/>
      <c r="F16" s="3214">
        <v>0</v>
      </c>
      <c r="G16" s="3235"/>
      <c r="I16" s="3211"/>
      <c r="J16" s="3211"/>
      <c r="K16" s="3689"/>
      <c r="L16" s="3259"/>
      <c r="M16" s="3259"/>
      <c r="N16" s="3259"/>
      <c r="O16" s="3259"/>
      <c r="P16" s="3259"/>
      <c r="Q16" s="3211"/>
    </row>
    <row r="17" spans="1:17" ht="18.75">
      <c r="A17" s="3652"/>
      <c r="B17" s="3652"/>
      <c r="C17" s="3224" t="s">
        <v>3374</v>
      </c>
      <c r="D17" s="3214" t="s">
        <v>3371</v>
      </c>
      <c r="E17" s="3214"/>
      <c r="F17" s="3214">
        <f>[7]G组团表4!J17</f>
        <v>465</v>
      </c>
      <c r="G17" s="3235" t="s">
        <v>3375</v>
      </c>
      <c r="I17" s="3211"/>
      <c r="J17" s="3211"/>
      <c r="K17" s="3689"/>
      <c r="L17" s="3259"/>
      <c r="M17" s="3211"/>
      <c r="N17" s="3259"/>
      <c r="O17" s="3263"/>
      <c r="P17" s="3263"/>
      <c r="Q17" s="3211"/>
    </row>
    <row r="18" spans="1:17" ht="18.75">
      <c r="A18" s="3652"/>
      <c r="B18" s="3652"/>
      <c r="C18" s="3224" t="s">
        <v>3326</v>
      </c>
      <c r="D18" s="3214" t="s">
        <v>3318</v>
      </c>
      <c r="E18" s="3214"/>
      <c r="F18" s="3214">
        <f>[7]G组团表4!J18+[7]G组团表4!J26+[7]G组团表4!J28</f>
        <v>60</v>
      </c>
      <c r="G18" s="3235" t="s">
        <v>3375</v>
      </c>
      <c r="I18" s="3211"/>
      <c r="J18" s="3211"/>
      <c r="K18" s="3689"/>
      <c r="L18" s="3259"/>
      <c r="M18" s="3259"/>
      <c r="N18" s="3259"/>
      <c r="O18" s="3259"/>
      <c r="P18" s="3259"/>
      <c r="Q18" s="3211"/>
    </row>
    <row r="19" spans="1:17" ht="18.75">
      <c r="A19" s="3652"/>
      <c r="B19" s="3652"/>
      <c r="C19" s="3224" t="s">
        <v>3376</v>
      </c>
      <c r="D19" s="3214" t="s">
        <v>3220</v>
      </c>
      <c r="E19" s="3214"/>
      <c r="F19" s="3214">
        <v>0</v>
      </c>
      <c r="G19" s="3235"/>
      <c r="I19" s="3211"/>
      <c r="J19" s="3211"/>
      <c r="K19" s="3689"/>
      <c r="L19" s="3259"/>
      <c r="M19" s="3259"/>
      <c r="N19" s="3259"/>
      <c r="O19" s="3259"/>
      <c r="P19" s="3259"/>
      <c r="Q19" s="3211"/>
    </row>
    <row r="20" spans="1:17" ht="18.75">
      <c r="A20" s="3652"/>
      <c r="B20" s="3652"/>
      <c r="C20" s="3224" t="s">
        <v>3377</v>
      </c>
      <c r="D20" s="3214" t="s">
        <v>3220</v>
      </c>
      <c r="E20" s="3214"/>
      <c r="F20" s="3214">
        <v>0</v>
      </c>
      <c r="G20" s="3235"/>
      <c r="I20" s="3211"/>
      <c r="J20" s="3211"/>
      <c r="K20" s="3689"/>
      <c r="L20" s="3259"/>
      <c r="M20" s="3259"/>
      <c r="N20" s="3259"/>
      <c r="O20" s="3259"/>
      <c r="P20" s="3259"/>
      <c r="Q20" s="3211"/>
    </row>
    <row r="21" spans="1:17" ht="28.5">
      <c r="A21" s="3652"/>
      <c r="B21" s="3652"/>
      <c r="C21" s="3224" t="s">
        <v>3378</v>
      </c>
      <c r="D21" s="3214" t="s">
        <v>3220</v>
      </c>
      <c r="E21" s="3214"/>
      <c r="F21" s="3214">
        <f>[7]G组团表4!J24</f>
        <v>100</v>
      </c>
      <c r="G21" s="3235"/>
      <c r="I21" s="3211"/>
      <c r="J21" s="3211"/>
      <c r="K21" s="3690"/>
      <c r="L21" s="3690"/>
      <c r="M21" s="3265"/>
      <c r="N21" s="3259"/>
      <c r="O21" s="3259"/>
      <c r="P21" s="3259"/>
      <c r="Q21" s="3211"/>
    </row>
    <row r="22" spans="1:17" ht="18.75">
      <c r="A22" s="3652"/>
      <c r="B22" s="3652"/>
      <c r="C22" s="3224" t="s">
        <v>3379</v>
      </c>
      <c r="D22" s="3214" t="s">
        <v>3318</v>
      </c>
      <c r="E22" s="3214"/>
      <c r="F22" s="3214">
        <f>[7]G组团表4!J23</f>
        <v>500</v>
      </c>
      <c r="G22" s="3235"/>
      <c r="I22" s="3211"/>
      <c r="J22" s="3211"/>
      <c r="K22" s="3688"/>
      <c r="L22" s="3688"/>
      <c r="M22" s="3259"/>
      <c r="N22" s="3259"/>
      <c r="O22" s="3259"/>
      <c r="P22" s="3263"/>
      <c r="Q22" s="3211"/>
    </row>
    <row r="23" spans="1:17">
      <c r="A23" s="3652"/>
      <c r="B23" s="3653"/>
      <c r="C23" s="3224" t="s">
        <v>3332</v>
      </c>
      <c r="D23" s="3214" t="s">
        <v>3315</v>
      </c>
      <c r="E23" s="3214"/>
      <c r="F23" s="3214">
        <f>[7]G组团表4!J30</f>
        <v>560</v>
      </c>
      <c r="G23" s="3235"/>
      <c r="I23" s="3211"/>
      <c r="J23" s="3211"/>
      <c r="K23" s="3211"/>
      <c r="L23" s="3211"/>
      <c r="M23" s="3211"/>
      <c r="N23" s="3211"/>
      <c r="O23" s="3211"/>
      <c r="P23" s="3211"/>
      <c r="Q23" s="3211"/>
    </row>
    <row r="24" spans="1:17">
      <c r="A24" s="3652"/>
      <c r="B24" s="3647" t="s">
        <v>3243</v>
      </c>
      <c r="C24" s="3647"/>
      <c r="D24" s="3214" t="s">
        <v>3315</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652"/>
      <c r="B25" s="3647" t="s">
        <v>3244</v>
      </c>
      <c r="C25" s="3647"/>
      <c r="D25" s="3214" t="s">
        <v>3315</v>
      </c>
      <c r="E25" s="3214"/>
      <c r="F25" s="3233">
        <f>[7]G组团表4!G35+[7]G组团表4!G37+[7]G组团表4!G39+[7]G组团表4!G41</f>
        <v>66100</v>
      </c>
      <c r="G25" s="3235"/>
      <c r="I25" s="3211"/>
      <c r="J25" s="3211"/>
      <c r="K25" s="3211"/>
      <c r="L25" s="3211"/>
      <c r="M25" s="3211"/>
      <c r="N25" s="3211"/>
      <c r="O25" s="3211"/>
      <c r="P25" s="3211"/>
      <c r="Q25" s="3211"/>
    </row>
    <row r="26" spans="1:17">
      <c r="A26" s="3652"/>
      <c r="B26" s="3647" t="s">
        <v>3245</v>
      </c>
      <c r="C26" s="3647"/>
      <c r="D26" s="3214" t="s">
        <v>3220</v>
      </c>
      <c r="E26" s="3214"/>
      <c r="F26" s="3214">
        <f>[7]G组团表4!G36+[7]G组团表4!G38+[7]G组团表4!G40+[7]G组团表4!G42</f>
        <v>1100</v>
      </c>
      <c r="G26" s="3235"/>
      <c r="I26" s="3211"/>
      <c r="J26" s="3211"/>
      <c r="K26" s="3211"/>
      <c r="L26" s="3211"/>
      <c r="M26" s="3211"/>
      <c r="N26" s="3211"/>
      <c r="O26" s="3211"/>
      <c r="P26" s="3211"/>
      <c r="Q26" s="3211"/>
    </row>
    <row r="27" spans="1:17">
      <c r="A27" s="3652"/>
      <c r="B27" s="3647" t="s">
        <v>3246</v>
      </c>
      <c r="C27" s="3647"/>
      <c r="D27" s="3214" t="s">
        <v>3315</v>
      </c>
      <c r="E27" s="3214"/>
      <c r="F27" s="3214">
        <f>[7]G组团表4!O16</f>
        <v>980</v>
      </c>
      <c r="G27" s="3214" t="s">
        <v>3380</v>
      </c>
      <c r="I27" s="3211"/>
      <c r="J27" s="3211"/>
      <c r="K27" s="3211"/>
      <c r="L27" s="3211"/>
      <c r="M27" s="3211"/>
      <c r="N27" s="3211"/>
      <c r="O27" s="3211"/>
      <c r="P27" s="3211"/>
      <c r="Q27" s="3211"/>
    </row>
    <row r="28" spans="1:17">
      <c r="A28" s="3653"/>
      <c r="B28" s="3648" t="s">
        <v>3334</v>
      </c>
      <c r="C28" s="3650"/>
      <c r="D28" s="3214" t="s">
        <v>3315</v>
      </c>
      <c r="E28" s="3214"/>
      <c r="F28" s="3214">
        <v>0</v>
      </c>
      <c r="G28" s="3235"/>
      <c r="I28" s="3211"/>
      <c r="J28" s="3211"/>
      <c r="K28" s="3211"/>
      <c r="L28" s="3211"/>
      <c r="M28" s="3211"/>
      <c r="N28" s="3211"/>
      <c r="O28" s="3211"/>
      <c r="P28" s="3211"/>
      <c r="Q28" s="3211"/>
    </row>
    <row r="29" spans="1:17" ht="18.75">
      <c r="A29" s="3647" t="s">
        <v>3250</v>
      </c>
      <c r="B29" s="3647"/>
      <c r="C29" s="3647"/>
      <c r="D29" s="3214" t="s">
        <v>3315</v>
      </c>
      <c r="E29" s="3214"/>
      <c r="F29" s="3214">
        <f>F12+F13+F24</f>
        <v>90357</v>
      </c>
      <c r="G29" s="3235"/>
      <c r="I29" s="3211"/>
      <c r="J29" s="3211"/>
      <c r="K29" s="3211"/>
      <c r="L29" s="3259"/>
      <c r="M29" s="3259"/>
      <c r="N29" s="3264"/>
      <c r="O29" s="3264"/>
      <c r="P29" s="3211"/>
      <c r="Q29" s="3211"/>
    </row>
    <row r="30" spans="1:17">
      <c r="A30" s="3647" t="s">
        <v>2029</v>
      </c>
      <c r="B30" s="3647"/>
      <c r="C30" s="3647"/>
      <c r="D30" s="3214"/>
      <c r="E30" s="3214"/>
      <c r="F30" s="3215">
        <f>F29/F4</f>
        <v>2.6840480091015895</v>
      </c>
      <c r="G30" s="3214"/>
      <c r="I30" s="3211"/>
      <c r="J30" s="3211"/>
      <c r="K30" s="3211"/>
      <c r="L30" s="3211"/>
      <c r="M30" s="3211"/>
      <c r="N30" s="3211"/>
      <c r="O30" s="3211"/>
      <c r="P30" s="3211"/>
      <c r="Q30" s="3211"/>
    </row>
    <row r="31" spans="1:17">
      <c r="A31" s="3647" t="s">
        <v>3251</v>
      </c>
      <c r="B31" s="3647"/>
      <c r="C31" s="3647"/>
      <c r="D31" s="3219" t="s">
        <v>3252</v>
      </c>
      <c r="E31" s="3214"/>
      <c r="F31" s="3214" t="s">
        <v>3336</v>
      </c>
      <c r="G31" s="3214" t="s">
        <v>3337</v>
      </c>
      <c r="I31" s="3211"/>
      <c r="J31" s="3211"/>
      <c r="K31" s="3211"/>
      <c r="L31" s="3211"/>
      <c r="M31" s="3211"/>
      <c r="N31" s="3211"/>
      <c r="O31" s="3211"/>
      <c r="P31" s="3211"/>
      <c r="Q31" s="3211"/>
    </row>
    <row r="32" spans="1:17">
      <c r="A32" s="3647" t="s">
        <v>3254</v>
      </c>
      <c r="B32" s="3647"/>
      <c r="C32" s="3647"/>
      <c r="D32" s="3219" t="s">
        <v>3252</v>
      </c>
      <c r="E32" s="3214"/>
      <c r="F32" s="3214" t="s">
        <v>3336</v>
      </c>
      <c r="G32" s="3214" t="s">
        <v>3337</v>
      </c>
    </row>
    <row r="33" spans="1:7">
      <c r="A33" s="3647" t="s">
        <v>3255</v>
      </c>
      <c r="B33" s="3647"/>
      <c r="C33" s="3647"/>
      <c r="D33" s="3219" t="s">
        <v>3256</v>
      </c>
      <c r="E33" s="3214"/>
      <c r="F33" s="3214">
        <f>F34+F35</f>
        <v>1660</v>
      </c>
      <c r="G33" s="3214"/>
    </row>
    <row r="34" spans="1:7">
      <c r="A34" s="3647" t="s">
        <v>3222</v>
      </c>
      <c r="B34" s="3647" t="s">
        <v>3338</v>
      </c>
      <c r="C34" s="3647"/>
      <c r="D34" s="3219" t="s">
        <v>3256</v>
      </c>
      <c r="E34" s="3214"/>
      <c r="F34" s="3214">
        <v>0</v>
      </c>
      <c r="G34" s="3214"/>
    </row>
    <row r="35" spans="1:7">
      <c r="A35" s="3647"/>
      <c r="B35" s="3647" t="s">
        <v>3258</v>
      </c>
      <c r="C35" s="3647"/>
      <c r="D35" s="3219" t="s">
        <v>3256</v>
      </c>
      <c r="E35" s="3214"/>
      <c r="F35" s="3214">
        <f>[7]G组团表4!L44</f>
        <v>1660</v>
      </c>
      <c r="G35" s="3214"/>
    </row>
    <row r="36" spans="1:7">
      <c r="A36" s="3640" t="s">
        <v>3259</v>
      </c>
      <c r="B36" s="3640"/>
      <c r="C36" s="3640"/>
      <c r="D36" s="3227" t="s">
        <v>3339</v>
      </c>
      <c r="E36" s="3228"/>
      <c r="F36" s="3228" t="s">
        <v>3381</v>
      </c>
      <c r="G36" s="3228"/>
    </row>
    <row r="37" spans="1:7">
      <c r="A37" s="3641" t="s">
        <v>3341</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42">
    <mergeCell ref="A7:C7"/>
    <mergeCell ref="A2:G2"/>
    <mergeCell ref="A3:C3"/>
    <mergeCell ref="A4:C4"/>
    <mergeCell ref="A5:C5"/>
    <mergeCell ref="A6:C6"/>
    <mergeCell ref="A8:C8"/>
    <mergeCell ref="A9:A10"/>
    <mergeCell ref="B9:C9"/>
    <mergeCell ref="K9:M9"/>
    <mergeCell ref="B10:C10"/>
    <mergeCell ref="K10:M10"/>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30:C30"/>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2035</v>
      </c>
      <c r="B1" s="3290"/>
      <c r="C1" s="3290"/>
      <c r="D1" s="3290"/>
      <c r="E1" s="3290"/>
      <c r="F1" s="3290"/>
      <c r="G1" s="3290"/>
      <c r="H1" s="3290"/>
      <c r="I1" s="3290"/>
      <c r="J1" s="3290"/>
      <c r="K1" s="3290"/>
      <c r="L1" s="3290"/>
      <c r="M1" s="3290"/>
      <c r="N1" s="3290"/>
      <c r="O1" s="3290"/>
      <c r="P1" s="3290"/>
      <c r="Q1" s="3290"/>
      <c r="R1" s="3290"/>
    </row>
    <row r="2" spans="1:18">
      <c r="A2" s="1791" t="s">
        <v>2037</v>
      </c>
      <c r="B2" s="1791"/>
      <c r="C2" s="1791"/>
      <c r="D2" s="1791"/>
      <c r="E2" s="1791"/>
      <c r="F2" s="1791"/>
      <c r="G2" s="1791"/>
      <c r="H2" s="1791"/>
      <c r="I2" s="1792"/>
      <c r="J2" s="1792"/>
      <c r="K2" s="1793" t="str">
        <f>"估价期日："&amp;TEXT(项目基本情况!D3,"yyyy年m月d日;;")</f>
        <v>估价期日：2019年7月4日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91" t="s">
        <v>2026</v>
      </c>
      <c r="B3" s="3291" t="s">
        <v>2727</v>
      </c>
      <c r="C3" s="3292" t="s">
        <v>2027</v>
      </c>
      <c r="D3" s="3291" t="s">
        <v>2731</v>
      </c>
      <c r="E3" s="3294" t="s">
        <v>2028</v>
      </c>
      <c r="F3" s="3294"/>
      <c r="G3" s="3294"/>
      <c r="H3" s="3294" t="s">
        <v>2029</v>
      </c>
      <c r="I3" s="3294"/>
      <c r="J3" s="3294"/>
      <c r="K3" s="3292" t="s">
        <v>2030</v>
      </c>
      <c r="L3" s="3292" t="s">
        <v>2031</v>
      </c>
      <c r="M3" s="3291" t="s">
        <v>2728</v>
      </c>
      <c r="N3" s="3293" t="str">
        <f>"（分摊）"&amp;项目基本情况!B16&amp;"国有建设用地使用权面积/㎡"</f>
        <v>（分摊）出让国有建设用地使用权面积/㎡</v>
      </c>
      <c r="O3" s="3291" t="s">
        <v>2060</v>
      </c>
      <c r="P3" s="3292" t="s">
        <v>2040</v>
      </c>
      <c r="Q3" s="3292" t="s">
        <v>2061</v>
      </c>
      <c r="R3" s="3292" t="s">
        <v>2032</v>
      </c>
    </row>
    <row r="4" spans="1:18" ht="36.75" customHeight="1">
      <c r="A4" s="3291"/>
      <c r="B4" s="3291"/>
      <c r="C4" s="3292"/>
      <c r="D4" s="3291"/>
      <c r="E4" s="2612" t="s">
        <v>2039</v>
      </c>
      <c r="F4" s="2612" t="s">
        <v>2740</v>
      </c>
      <c r="G4" s="2612" t="s">
        <v>2033</v>
      </c>
      <c r="H4" s="2612" t="s">
        <v>2034</v>
      </c>
      <c r="I4" s="2612" t="s">
        <v>2741</v>
      </c>
      <c r="J4" s="2612" t="s">
        <v>2033</v>
      </c>
      <c r="K4" s="3292"/>
      <c r="L4" s="3292"/>
      <c r="M4" s="3291"/>
      <c r="N4" s="3293"/>
      <c r="O4" s="3291"/>
      <c r="P4" s="3292"/>
      <c r="Q4" s="3292"/>
      <c r="R4" s="3292"/>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30008</v>
      </c>
      <c r="O5" s="1794">
        <f>项目基本情况!C21</f>
        <v>129023.22</v>
      </c>
      <c r="P5" s="1794">
        <f ca="1">结果表!E42</f>
        <v>29971</v>
      </c>
      <c r="Q5" s="1794">
        <f ca="1">结果表!D42</f>
        <v>6971</v>
      </c>
      <c r="R5" s="1795">
        <f ca="1">结果表!C42</f>
        <v>89938</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96">
        <f ca="1">结果表!O39</f>
        <v>89938</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6"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27" sqref="G27"/>
    </sheetView>
  </sheetViews>
  <sheetFormatPr defaultRowHeight="13.5"/>
  <sheetData>
    <row r="1" spans="1:1">
      <c r="A1" s="3284"/>
    </row>
    <row r="2" spans="1:1">
      <c r="A2" s="3284"/>
    </row>
    <row r="3" spans="1:1">
      <c r="A3" s="3284"/>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99" t="s">
        <v>2062</v>
      </c>
      <c r="B1" s="3299"/>
      <c r="C1" s="3299"/>
      <c r="D1" s="3299"/>
    </row>
    <row r="2" spans="1:4" ht="47.25" customHeight="1">
      <c r="A2" s="3300" t="str">
        <f>"1.权利限制："&amp;项目基本情况!L24&amp;"未设定租赁等其他他项权利。"</f>
        <v>1.权利限制：根据估价对象《不动产权证书》复印件、，截至估价期日，估价对象已设定抵押。未设定租赁等其他他项权利。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9"/>
      <c r="C3" s="3299"/>
      <c r="D3" s="3299"/>
    </row>
    <row r="4" spans="1:4" ht="36.75" customHeight="1">
      <c r="A4" s="3299" t="str">
        <f>"3.估价规划限制条件：详见"&amp;项目基本情况!E21&amp;"。"</f>
        <v>3.估价规划限制条件：详见《阳光100指标》及委托估价方介绍。</v>
      </c>
      <c r="B4" s="3299"/>
      <c r="C4" s="3299"/>
      <c r="D4" s="3299"/>
    </row>
    <row r="5" spans="1:4">
      <c r="A5" s="3298" t="s">
        <v>2063</v>
      </c>
      <c r="B5" s="3298"/>
      <c r="C5" s="3298"/>
      <c r="D5" s="3298"/>
    </row>
    <row r="6" spans="1:4">
      <c r="A6" s="3299" t="s">
        <v>2041</v>
      </c>
      <c r="B6" s="3299"/>
      <c r="C6" s="3299"/>
      <c r="D6" s="3299"/>
    </row>
    <row r="7" spans="1:4" ht="33" customHeight="1">
      <c r="A7" s="3299" t="s">
        <v>2572</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9"/>
      <c r="C8" s="3299"/>
      <c r="D8" s="3299"/>
    </row>
    <row r="9" spans="1:4" ht="33.75" customHeight="1">
      <c r="A9" s="32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9"/>
      <c r="C9" s="3299"/>
      <c r="D9" s="3299"/>
    </row>
    <row r="10" spans="1:4">
      <c r="A10" s="3299" t="str">
        <f>IF(项目基本情况!B8="抵押","4.估价师所知悉的法定优先受偿款情况为：","——")</f>
        <v>4.估价师所知悉的法定优先受偿款情况为：</v>
      </c>
      <c r="B10" s="3299"/>
      <c r="C10" s="3299"/>
      <c r="D10" s="3299"/>
    </row>
    <row r="11" spans="1:4" ht="37.5" customHeight="1">
      <c r="A11" s="3301"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1"/>
      <c r="C11" s="3301"/>
      <c r="D11" s="3301"/>
    </row>
    <row r="12" spans="1:4" ht="168" customHeight="1">
      <c r="A12" s="3298" t="s">
        <v>2065</v>
      </c>
      <c r="B12" s="3298"/>
      <c r="C12" s="3298"/>
      <c r="D12" s="3298"/>
    </row>
    <row r="13" spans="1:4">
      <c r="A13" s="3302" t="s">
        <v>2742</v>
      </c>
      <c r="B13" s="3302"/>
      <c r="C13" s="3302"/>
      <c r="D13" s="3302"/>
    </row>
    <row r="14" spans="1:4">
      <c r="A14" s="3301" t="str">
        <f>IF(项目基本情况!B8="抵押","综上，"&amp;结果表!K47,"——")</f>
        <v>综上，本次评估不存在估价师知悉的法定优先受偿款</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2698</v>
      </c>
      <c r="B17" s="3299"/>
      <c r="C17" s="3299"/>
      <c r="D17" s="3299"/>
    </row>
    <row r="18" spans="1:4">
      <c r="A18" s="3299" t="s">
        <v>2690</v>
      </c>
      <c r="B18" s="3299"/>
      <c r="C18" s="3299"/>
      <c r="D18" s="3299"/>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99" t="s">
        <v>2695</v>
      </c>
      <c r="B23" s="3299"/>
      <c r="C23" s="3299"/>
      <c r="D23" s="3299"/>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10" t="s">
        <v>53</v>
      </c>
      <c r="B15" s="3311" t="s">
        <v>846</v>
      </c>
      <c r="C15" s="3307"/>
    </row>
    <row r="16" spans="1:7" ht="14.25">
      <c r="A16" s="3310"/>
      <c r="B16" s="3308" t="s">
        <v>54</v>
      </c>
      <c r="C16" s="1168" t="s">
        <v>53</v>
      </c>
    </row>
    <row r="17" spans="1:3" ht="14.25">
      <c r="A17" s="3310"/>
      <c r="B17" s="3308"/>
      <c r="C17" s="1168" t="s">
        <v>55</v>
      </c>
    </row>
    <row r="18" spans="1:3" ht="14.25">
      <c r="A18" s="3310"/>
      <c r="B18" s="3308"/>
      <c r="C18" s="1168" t="s">
        <v>56</v>
      </c>
    </row>
    <row r="19" spans="1:3" ht="14.25">
      <c r="A19" s="3310"/>
      <c r="B19" s="3306" t="s">
        <v>57</v>
      </c>
      <c r="C19" s="3307"/>
    </row>
    <row r="20" spans="1:3" ht="14.25">
      <c r="A20" s="1169" t="s">
        <v>58</v>
      </c>
      <c r="B20" s="1170"/>
      <c r="C20" s="1171"/>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72" t="s">
        <v>837</v>
      </c>
    </row>
    <row r="25" spans="1:3" ht="14.25">
      <c r="A25" s="3309"/>
      <c r="B25" s="3313"/>
      <c r="C25" s="1172" t="s">
        <v>838</v>
      </c>
    </row>
    <row r="26" spans="1:3" ht="14.25">
      <c r="A26" s="3309"/>
      <c r="B26" s="3313"/>
      <c r="C26" s="1172" t="s">
        <v>839</v>
      </c>
    </row>
    <row r="27" spans="1:3" ht="14.25">
      <c r="A27" s="3309"/>
      <c r="B27" s="3313"/>
      <c r="C27" s="1172" t="s">
        <v>840</v>
      </c>
    </row>
    <row r="28" spans="1:3" ht="14.25">
      <c r="A28" s="3309"/>
      <c r="B28" s="3313"/>
      <c r="C28" s="1172" t="s">
        <v>841</v>
      </c>
    </row>
    <row r="29" spans="1:3" ht="14.25">
      <c r="A29" s="3309"/>
      <c r="B29" s="3313"/>
      <c r="C29" s="1172" t="s">
        <v>842</v>
      </c>
    </row>
    <row r="30" spans="1:3" ht="14.25">
      <c r="A30" s="3309"/>
      <c r="B30" s="3313"/>
      <c r="C30" s="1172" t="s">
        <v>843</v>
      </c>
    </row>
    <row r="31" spans="1:3" ht="14.25">
      <c r="A31" s="3309"/>
      <c r="B31" s="3313"/>
      <c r="C31" s="1172" t="s">
        <v>844</v>
      </c>
    </row>
    <row r="32" spans="1:3" ht="14.25">
      <c r="A32" s="3309"/>
      <c r="B32" s="3313"/>
      <c r="C32" s="1172" t="s">
        <v>1646</v>
      </c>
    </row>
    <row r="33" spans="1:3" ht="14.25">
      <c r="A33" s="3309"/>
      <c r="B33" s="3303" t="s">
        <v>1652</v>
      </c>
      <c r="C33" s="1172" t="s">
        <v>1647</v>
      </c>
    </row>
    <row r="34" spans="1:3" ht="14.25">
      <c r="A34" s="3309"/>
      <c r="B34" s="3304"/>
      <c r="C34" s="1177" t="s">
        <v>1648</v>
      </c>
    </row>
    <row r="35" spans="1:3" ht="14.25">
      <c r="A35" s="3309"/>
      <c r="B35" s="3304"/>
      <c r="C35" s="1178" t="s">
        <v>1649</v>
      </c>
    </row>
    <row r="36" spans="1:3" ht="14.25">
      <c r="A36" s="3309"/>
      <c r="B36" s="3304"/>
      <c r="C36" s="1178" t="s">
        <v>1650</v>
      </c>
    </row>
    <row r="37" spans="1:3" ht="14.25">
      <c r="A37" s="3309"/>
      <c r="B37" s="330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43662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t="str">
        <f ca="1">IF(C11&lt;B2,"已过期",1120100036)</f>
        <v>已过期</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14" t="s">
        <v>1926</v>
      </c>
      <c r="B25" s="3314"/>
      <c r="C25" s="3314"/>
      <c r="D25" s="3314"/>
      <c r="E25" s="3314"/>
      <c r="F25" s="3314"/>
      <c r="G25" s="3314"/>
    </row>
    <row r="26" spans="1:7" ht="20.25" customHeight="1">
      <c r="A26" s="3315" t="s">
        <v>1927</v>
      </c>
      <c r="B26" s="3315"/>
      <c r="C26" s="3315"/>
      <c r="D26" s="3315" t="s">
        <v>1928</v>
      </c>
      <c r="E26" s="3315"/>
      <c r="F26" s="331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2945</v>
      </c>
      <c r="C18" s="1541"/>
    </row>
    <row r="19" spans="1:3">
      <c r="A19" s="8" t="s">
        <v>120</v>
      </c>
      <c r="B19" s="3060" t="s">
        <v>2953</v>
      </c>
      <c r="C19" s="1541"/>
    </row>
    <row r="20" spans="1:3">
      <c r="A20" s="8" t="s">
        <v>121</v>
      </c>
      <c r="B20" s="8" t="s">
        <v>3383</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1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c r="D53" s="1751"/>
      <c r="E53" s="1751"/>
    </row>
    <row r="54" spans="1:5">
      <c r="A54" s="331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1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1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1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A3总规划</vt:lpstr>
      <vt:lpstr>F总规划</vt:lpstr>
      <vt:lpstr>C总规划</vt:lpstr>
      <vt:lpstr>E2总规划</vt:lpstr>
      <vt:lpstr>B总规划</vt:lpstr>
      <vt:lpstr>G总规划</vt:lpstr>
      <vt:lpstr>剩余法成本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2019-07-16T06:08:04Z</dcterms:modified>
</cp:coreProperties>
</file>