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4F373CE6-EA04-4B32-8A1E-659DE959CC8D}" xr6:coauthVersionLast="47" xr6:coauthVersionMax="47" xr10:uidLastSave="{00000000-0000-0000-0000-000000000000}"/>
  <bookViews>
    <workbookView xWindow="-120" yWindow="-120" windowWidth="19440" windowHeight="15000" tabRatio="899" firstSheet="13"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0" i="78" l="1"/>
  <c r="L9" i="78"/>
  <c r="L8" i="78"/>
  <c r="L7" i="78"/>
  <c r="L6" i="78"/>
  <c r="L5" i="78"/>
  <c r="L4" i="78"/>
  <c r="L3" i="78"/>
  <c r="H8" i="78"/>
  <c r="F8" i="78"/>
  <c r="J5" i="80" l="1"/>
  <c r="I5" i="80"/>
  <c r="B9" i="80"/>
  <c r="B18" i="80" s="1"/>
  <c r="B5" i="80"/>
  <c r="B14" i="80" s="1"/>
  <c r="B4" i="80"/>
  <c r="B13" i="80" s="1"/>
  <c r="F142" i="79" l="1"/>
  <c r="F141" i="79"/>
  <c r="F140" i="79"/>
  <c r="I6" i="1"/>
  <c r="J6" i="1"/>
  <c r="J52" i="15"/>
  <c r="M5" i="78"/>
  <c r="M6" i="78"/>
  <c r="M7" i="78"/>
  <c r="M8" i="78"/>
  <c r="M9" i="78"/>
  <c r="M4" i="78"/>
  <c r="A25" i="31"/>
  <c r="A26" i="31"/>
  <c r="A27" i="31"/>
  <c r="A28" i="31"/>
  <c r="A29" i="31"/>
  <c r="A30" i="31"/>
  <c r="A24" i="31"/>
  <c r="F91" i="78" l="1"/>
  <c r="E9" i="80" s="1"/>
  <c r="G8" i="78"/>
  <c r="H3" i="78"/>
  <c r="H4" i="78"/>
  <c r="G4" i="80" s="1"/>
  <c r="H5" i="78"/>
  <c r="H6" i="78"/>
  <c r="H7" i="78"/>
  <c r="F93" i="78"/>
  <c r="G9" i="80" s="1"/>
  <c r="P22" i="1"/>
  <c r="P23" i="1"/>
  <c r="P21" i="1"/>
  <c r="Q21" i="1" s="1"/>
  <c r="N6" i="1" s="1"/>
  <c r="Y6" i="1" s="1"/>
  <c r="G88" i="78"/>
  <c r="G8" i="80" s="1"/>
  <c r="G84" i="78"/>
  <c r="F8" i="80" s="1"/>
  <c r="G40" i="78"/>
  <c r="G6" i="80" s="1"/>
  <c r="G78" i="78"/>
  <c r="E8" i="80" s="1"/>
  <c r="G34" i="78"/>
  <c r="F6" i="80" s="1"/>
  <c r="G26" i="78"/>
  <c r="E6" i="80" s="1"/>
  <c r="G66" i="78"/>
  <c r="A19" i="78"/>
  <c r="B6" i="80" s="1"/>
  <c r="B15" i="80" s="1"/>
  <c r="A59" i="78"/>
  <c r="B8" i="80" s="1"/>
  <c r="B17" i="80" s="1"/>
  <c r="G57" i="78"/>
  <c r="G7" i="80" s="1"/>
  <c r="F15" i="78"/>
  <c r="G53" i="78"/>
  <c r="F7" i="80" s="1"/>
  <c r="G49" i="78"/>
  <c r="E7" i="80" s="1"/>
  <c r="A44" i="78"/>
  <c r="B7" i="80" s="1"/>
  <c r="B16" i="80" s="1"/>
  <c r="F2" i="78"/>
  <c r="C4" i="80" l="1"/>
  <c r="H2" i="78"/>
  <c r="F4" i="80" s="1"/>
  <c r="F18" i="78"/>
  <c r="C5" i="80" s="1"/>
  <c r="E5" i="80"/>
  <c r="E10" i="80" s="1"/>
  <c r="D8" i="80"/>
  <c r="D10" i="80" s="1"/>
  <c r="B30" i="31"/>
  <c r="J4" i="80"/>
  <c r="J10" i="80" s="1"/>
  <c r="B29" i="31"/>
  <c r="I4" i="80"/>
  <c r="I10" i="80" s="1"/>
  <c r="B28" i="31"/>
  <c r="H4" i="80"/>
  <c r="H10" i="80" s="1"/>
  <c r="B27" i="31"/>
  <c r="G10" i="80"/>
  <c r="B26" i="31"/>
  <c r="G89" i="78"/>
  <c r="C8" i="80" s="1"/>
  <c r="K13" i="3"/>
  <c r="G19" i="6" s="1"/>
  <c r="F92" i="78"/>
  <c r="F94" i="78"/>
  <c r="C9" i="80" s="1"/>
  <c r="G41" i="78"/>
  <c r="C6" i="80" s="1"/>
  <c r="G58" i="78"/>
  <c r="C7" i="80" s="1"/>
  <c r="G14" i="73"/>
  <c r="F14" i="73"/>
  <c r="E14" i="73"/>
  <c r="F9" i="80" l="1"/>
  <c r="F10" i="80"/>
  <c r="C10" i="80"/>
  <c r="B24" i="31"/>
  <c r="I13" i="3"/>
  <c r="F19" i="6" s="1"/>
  <c r="G15" i="73"/>
  <c r="F15" i="73"/>
  <c r="E15" i="73"/>
  <c r="B25" i="31" l="1"/>
  <c r="M10" i="78"/>
  <c r="U6" i="1"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P27" i="7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R447" i="31"/>
  <c r="R448" i="31"/>
  <c r="R449" i="31"/>
  <c r="R450" i="3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8" i="31"/>
  <c r="S404" i="31"/>
  <c r="S400" i="31"/>
  <c r="S396" i="31"/>
  <c r="S392" i="31"/>
  <c r="S388" i="31"/>
  <c r="S384" i="31"/>
  <c r="S380" i="31"/>
  <c r="S376" i="31"/>
  <c r="S372" i="31"/>
  <c r="S366" i="31"/>
  <c r="S358" i="31"/>
  <c r="S352" i="31"/>
  <c r="S348" i="31"/>
  <c r="S344" i="31"/>
  <c r="S340" i="31"/>
  <c r="S336" i="31"/>
  <c r="S332" i="31"/>
  <c r="S328" i="31"/>
  <c r="S324" i="31"/>
  <c r="S320" i="31"/>
  <c r="S316" i="31"/>
  <c r="S312" i="31"/>
  <c r="S308" i="31"/>
  <c r="S304" i="31"/>
  <c r="S300" i="31"/>
  <c r="S296" i="31"/>
  <c r="S292" i="31"/>
  <c r="S288" i="31"/>
  <c r="S284" i="31"/>
  <c r="S280" i="31"/>
  <c r="S276" i="31"/>
  <c r="S272" i="31"/>
  <c r="S268" i="31"/>
  <c r="S264" i="31"/>
  <c r="S260" i="31"/>
  <c r="S256" i="31"/>
  <c r="S251" i="31"/>
  <c r="S247" i="31"/>
  <c r="S243" i="31"/>
  <c r="S239" i="31"/>
  <c r="S235" i="31"/>
  <c r="S231" i="31"/>
  <c r="S227"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86" i="31"/>
  <c r="S478" i="31"/>
  <c r="S470" i="31"/>
  <c r="S440" i="31"/>
  <c r="S432" i="31"/>
  <c r="S119" i="31"/>
  <c r="S115" i="31"/>
  <c r="S504" i="31"/>
  <c r="S466" i="31"/>
  <c r="S458" i="31"/>
  <c r="S450" i="31"/>
  <c r="S51" i="31"/>
  <c r="S47" i="31"/>
  <c r="S43" i="31"/>
  <c r="S39" i="31"/>
  <c r="S35" i="31"/>
  <c r="S77" i="31"/>
  <c r="S73" i="31"/>
  <c r="S69" i="31"/>
  <c r="S65" i="31"/>
  <c r="S61" i="31"/>
  <c r="S57" i="31"/>
  <c r="S95" i="31"/>
  <c r="S91" i="31"/>
  <c r="S87" i="31"/>
  <c r="S83" i="31"/>
  <c r="S79" i="31"/>
  <c r="S99" i="31"/>
  <c r="S103" i="31"/>
  <c r="S107" i="31"/>
  <c r="S111" i="31"/>
  <c r="S445" i="31"/>
  <c r="S446" i="31"/>
  <c r="S447" i="31"/>
  <c r="S448" i="31"/>
  <c r="S449" i="31"/>
  <c r="S50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U35" i="33"/>
  <c r="W33" i="33"/>
  <c r="W39"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BL554" i="3"/>
  <c r="BL546" i="3"/>
  <c r="BL542" i="3"/>
  <c r="BL538" i="3"/>
  <c r="BL534" i="3"/>
  <c r="BL530" i="3"/>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BA562" i="3"/>
  <c r="AZ562" i="3" s="1"/>
  <c r="BA560" i="3"/>
  <c r="BA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AZ558" i="3" s="1"/>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S501"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A10"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BA13" i="3"/>
  <c r="E11" i="6"/>
  <c r="BL17" i="3"/>
  <c r="AZ17" i="3" s="1"/>
  <c r="BL13" i="3"/>
  <c r="G30" i="6"/>
  <c r="J56" i="9"/>
  <c r="J57" i="9" s="1"/>
  <c r="J59" i="9" s="1"/>
  <c r="J61" i="9" s="1"/>
  <c r="A24" i="51"/>
  <c r="B18" i="72"/>
  <c r="U29" i="34"/>
  <c r="E14" i="6"/>
  <c r="E63" i="39" s="1"/>
  <c r="E5" i="6"/>
  <c r="P10" i="1"/>
  <c r="I101" i="43"/>
  <c r="I106" i="43" s="1"/>
  <c r="E32" i="6"/>
  <c r="L19" i="6"/>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U10" i="33"/>
  <c r="AC10" i="33"/>
  <c r="W10" i="33"/>
  <c r="S37" i="21"/>
  <c r="AA23" i="21"/>
  <c r="AB15" i="21"/>
  <c r="J23" i="21"/>
  <c r="F85" i="21"/>
  <c r="G85" i="21" s="1"/>
  <c r="H23" i="21"/>
  <c r="AB23" i="21" s="1"/>
  <c r="S13" i="21"/>
  <c r="D6" i="52"/>
  <c r="S3" i="43"/>
  <c r="K14" i="1"/>
  <c r="M14" i="1" s="1"/>
  <c r="O14" i="1" s="1"/>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D4" i="73"/>
  <c r="E9" i="76"/>
  <c r="D2" i="37"/>
  <c r="E13" i="76"/>
  <c r="F42" i="67"/>
  <c r="M28" i="15"/>
  <c r="D35" i="9"/>
  <c r="M24" i="67"/>
  <c r="D6" i="73"/>
  <c r="E11" i="76"/>
  <c r="AO11" i="1"/>
  <c r="E12" i="76"/>
  <c r="M6" i="67"/>
  <c r="M28" i="67"/>
  <c r="F43" i="15"/>
  <c r="F37" i="15"/>
  <c r="AO7" i="1"/>
  <c r="M9" i="67"/>
  <c r="D3" i="73"/>
  <c r="D5" i="73"/>
  <c r="D2" i="36"/>
  <c r="F7" i="15"/>
  <c r="L47" i="67"/>
  <c r="L48" i="15"/>
  <c r="F6" i="67"/>
  <c r="F9" i="67"/>
  <c r="M26" i="15"/>
  <c r="D2" i="21"/>
  <c r="E10" i="76"/>
  <c r="AO13" i="1"/>
  <c r="F16" i="67"/>
  <c r="F36" i="67"/>
  <c r="L48" i="67"/>
  <c r="E2" i="69"/>
  <c r="B7" i="76"/>
  <c r="L47" i="15"/>
  <c r="F5" i="73"/>
  <c r="E7" i="76"/>
  <c r="F4" i="73"/>
  <c r="F13" i="15"/>
  <c r="B8" i="76"/>
  <c r="M29" i="15"/>
  <c r="F7" i="73"/>
  <c r="F36" i="15"/>
  <c r="F37" i="67"/>
  <c r="D7" i="73"/>
  <c r="B10" i="76"/>
  <c r="F3" i="73"/>
  <c r="AO12" i="1"/>
  <c r="AO8" i="1"/>
  <c r="F20" i="31"/>
  <c r="D2" i="34"/>
  <c r="F6" i="73"/>
  <c r="M9" i="15"/>
  <c r="B11" i="76"/>
  <c r="AO9" i="1"/>
  <c r="E8" i="76"/>
  <c r="E2" i="68"/>
  <c r="C76" i="67"/>
  <c r="D2" i="33"/>
  <c r="F8" i="67"/>
  <c r="D2" i="35"/>
  <c r="B9" i="76"/>
  <c r="B12" i="76"/>
  <c r="B13" i="76"/>
  <c r="D34" i="9"/>
  <c r="F26" i="15"/>
  <c r="M6" i="15"/>
  <c r="M24" i="15"/>
  <c r="F38" i="15"/>
  <c r="AO10" i="1"/>
  <c r="C76" i="15"/>
  <c r="L27" i="6" l="1"/>
  <c r="AZ369" i="3"/>
  <c r="AZ351" i="3"/>
  <c r="AZ318" i="3"/>
  <c r="AZ389" i="3"/>
  <c r="AZ380" i="3"/>
  <c r="AZ360" i="3"/>
  <c r="AZ336" i="3"/>
  <c r="AZ322" i="3"/>
  <c r="AZ311" i="3"/>
  <c r="AZ304" i="3"/>
  <c r="AZ567" i="3"/>
  <c r="AZ530" i="3"/>
  <c r="AZ538" i="3"/>
  <c r="AZ560" i="3"/>
  <c r="G583" i="3"/>
  <c r="G575" i="3"/>
  <c r="G567" i="3"/>
  <c r="BA565" i="3"/>
  <c r="AZ565" i="3" s="1"/>
  <c r="BL564" i="3"/>
  <c r="AZ564" i="3" s="1"/>
  <c r="BA551" i="3"/>
  <c r="AZ551" i="3" s="1"/>
  <c r="G551" i="3"/>
  <c r="G5" i="3" s="1"/>
  <c r="B3" i="3" s="1"/>
  <c r="BL550" i="3"/>
  <c r="BA550" i="3"/>
  <c r="AZ550" i="3" s="1"/>
  <c r="BL548" i="3"/>
  <c r="AZ548" i="3" s="1"/>
  <c r="BL15" i="3"/>
  <c r="AZ15" i="3" s="1"/>
  <c r="A15" i="62"/>
  <c r="B61" i="72" s="1"/>
  <c r="J51" i="15"/>
  <c r="AA3" i="71"/>
  <c r="AA28" i="71"/>
  <c r="C58" i="33"/>
  <c r="I7" i="33"/>
  <c r="E7" i="33"/>
  <c r="G7" i="33"/>
  <c r="C77" i="9"/>
  <c r="C74" i="9" s="1"/>
  <c r="J22" i="43"/>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F16" i="15"/>
  <c r="M22" i="15"/>
  <c r="M22" i="67"/>
  <c r="F7" i="67"/>
  <c r="M23" i="67"/>
  <c r="M29" i="67"/>
  <c r="G1" i="73"/>
  <c r="M23" i="15"/>
  <c r="M21" i="67"/>
  <c r="F13" i="67"/>
  <c r="M26" i="67"/>
  <c r="F35" i="67"/>
  <c r="F8" i="15"/>
  <c r="F38" i="67"/>
  <c r="M27" i="67"/>
  <c r="F40" i="15"/>
  <c r="J15" i="15"/>
  <c r="F43" i="67"/>
  <c r="M8" i="15"/>
  <c r="F42" i="15"/>
  <c r="J15" i="67"/>
  <c r="M8" i="67"/>
  <c r="F6" i="15"/>
  <c r="F26" i="67"/>
  <c r="F40" i="67"/>
  <c r="M27" i="15"/>
  <c r="F9" i="15"/>
  <c r="BL5" i="3" l="1"/>
  <c r="E114" i="3"/>
  <c r="E69" i="3"/>
  <c r="E278" i="3"/>
  <c r="E563" i="3"/>
  <c r="E172" i="3"/>
  <c r="E445" i="3"/>
  <c r="E535" i="3"/>
  <c r="O6" i="3"/>
  <c r="E574" i="3"/>
  <c r="E359" i="3"/>
  <c r="E285" i="3"/>
  <c r="E97" i="3"/>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5" i="3"/>
  <c r="G16" i="1"/>
  <c r="F10" i="39" s="1"/>
  <c r="L109" i="43"/>
  <c r="L102" i="43"/>
  <c r="L105" i="43"/>
  <c r="L104" i="43"/>
  <c r="L106" i="43"/>
  <c r="L107" i="43"/>
  <c r="L103" i="43"/>
  <c r="E64" i="39"/>
  <c r="F107" i="43"/>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4" i="67"/>
  <c r="F41" i="67"/>
  <c r="C16" i="15"/>
  <c r="AE6" i="1"/>
  <c r="C17" i="67"/>
  <c r="C16" i="67"/>
  <c r="F69" i="67" l="1"/>
  <c r="AB10" i="40"/>
  <c r="C49" i="67"/>
  <c r="M17" i="67"/>
  <c r="J10" i="15"/>
  <c r="J5" i="15" s="1"/>
  <c r="J26"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41" i="15"/>
  <c r="C17" i="15"/>
  <c r="F69" i="15" l="1"/>
  <c r="J29" i="15"/>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C14" i="15"/>
  <c r="B6" i="76"/>
  <c r="E6" i="76"/>
  <c r="C18" i="15" l="1"/>
  <c r="C15" i="15"/>
  <c r="T16" i="1"/>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B2" i="33" l="1"/>
  <c r="B3" i="33" s="1"/>
  <c r="R24" i="31"/>
  <c r="C19" i="15"/>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S24" i="31" l="1"/>
  <c r="R29" i="31"/>
  <c r="S29" i="31" s="1"/>
  <c r="R25" i="31"/>
  <c r="S25" i="31" s="1"/>
  <c r="R28" i="31"/>
  <c r="S28" i="31" s="1"/>
  <c r="R27" i="31"/>
  <c r="S27" i="31" s="1"/>
  <c r="R30" i="31"/>
  <c r="S30" i="31" s="1"/>
  <c r="R26" i="31"/>
  <c r="S26" i="31" s="1"/>
  <c r="C26" i="15"/>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L51" i="67"/>
  <c r="F35" i="15"/>
  <c r="M21" i="15"/>
  <c r="S22" i="31" l="1"/>
  <c r="C29" i="15"/>
  <c r="F63" i="15"/>
  <c r="C62" i="15" s="1"/>
  <c r="C34" i="15"/>
  <c r="C31" i="15" s="1"/>
  <c r="J20" i="15"/>
  <c r="R16" i="1"/>
  <c r="C80" i="67"/>
  <c r="C79" i="67" s="1"/>
  <c r="C58" i="67"/>
  <c r="C67" i="67" s="1"/>
  <c r="C68" i="67" s="1"/>
  <c r="C71" i="67" s="1"/>
  <c r="C40" i="67"/>
  <c r="C43" i="67" s="1"/>
  <c r="Q68" i="67"/>
  <c r="C49" i="11"/>
  <c r="C51" i="11" s="1"/>
  <c r="C52" i="11" s="1"/>
  <c r="C27" i="12"/>
  <c r="C25" i="12" s="1"/>
  <c r="C32" i="12" s="1"/>
  <c r="B2" i="12" s="1"/>
  <c r="B3" i="12" s="1"/>
  <c r="B2" i="11"/>
  <c r="B3" i="11"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Q67" i="67"/>
  <c r="L57" i="67"/>
  <c r="L60" i="67" s="1"/>
  <c r="L46" i="67" s="1"/>
  <c r="R22" i="31" l="1"/>
  <c r="B20" i="31"/>
  <c r="F11" i="80"/>
  <c r="G11" i="80"/>
  <c r="I11" i="80"/>
  <c r="E11" i="80"/>
  <c r="H11" i="80"/>
  <c r="J11" i="80"/>
  <c r="D11" i="80"/>
  <c r="C11" i="80" s="1"/>
  <c r="C36" i="15"/>
  <c r="J19" i="15"/>
  <c r="J17" i="15" s="1"/>
  <c r="Q49" i="15"/>
  <c r="J14" i="15"/>
  <c r="C13" i="15"/>
  <c r="C57" i="15"/>
  <c r="L57" i="15"/>
  <c r="L60" i="15" s="1"/>
  <c r="L46" i="15" s="1"/>
  <c r="C45" i="67"/>
  <c r="C46" i="67" s="1"/>
  <c r="Q65" i="67"/>
  <c r="Q47" i="67"/>
  <c r="Q53" i="67" s="1"/>
  <c r="C83" i="67"/>
  <c r="C82" i="67" s="1"/>
  <c r="Q56" i="67"/>
  <c r="D2" i="67"/>
  <c r="B3" i="67" s="1"/>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B2" i="67"/>
  <c r="C19" i="9"/>
  <c r="C102" i="9" l="1"/>
  <c r="C21" i="9"/>
  <c r="B21" i="31"/>
  <c r="C56" i="15"/>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C20" i="9"/>
  <c r="L51" i="15"/>
  <c r="C103" i="9" l="1"/>
  <c r="J16" i="15"/>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D19" i="9"/>
  <c r="AO6" i="1"/>
  <c r="D21" i="9" l="1"/>
  <c r="D102" i="9"/>
  <c r="G19" i="9"/>
  <c r="D12" i="80" s="1"/>
  <c r="D22" i="9"/>
  <c r="B6" i="70"/>
  <c r="B2" i="70" s="1"/>
  <c r="B3" i="70" s="1"/>
  <c r="B3" i="15"/>
  <c r="D10" i="71"/>
  <c r="C9" i="71"/>
  <c r="W7" i="39"/>
  <c r="AC7" i="39"/>
  <c r="V47" i="39" s="1"/>
  <c r="I47" i="39" s="1"/>
  <c r="E47" i="39"/>
  <c r="R48" i="39"/>
  <c r="U7" i="39"/>
  <c r="AB7" i="39"/>
  <c r="T47" i="39" s="1"/>
  <c r="G47" i="39" s="1"/>
  <c r="J7" i="40"/>
  <c r="F7" i="40"/>
  <c r="H7" i="40"/>
  <c r="D20" i="9"/>
  <c r="E12" i="80" l="1"/>
  <c r="G12" i="80"/>
  <c r="I12" i="80"/>
  <c r="F12" i="80"/>
  <c r="H12" i="80"/>
  <c r="J12" i="80"/>
  <c r="G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H13" i="80"/>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8" i="80" l="1"/>
  <c r="G18" i="80"/>
  <c r="G19" i="80" s="1"/>
  <c r="F18" i="80"/>
  <c r="I18" i="80"/>
  <c r="I19" i="80" s="1"/>
  <c r="H18" i="80"/>
  <c r="J18" i="80"/>
  <c r="J19" i="80" s="1"/>
  <c r="E18" i="80"/>
  <c r="C17" i="80"/>
  <c r="K17" i="80" s="1"/>
  <c r="C15" i="80"/>
  <c r="K15" i="80" s="1"/>
  <c r="C16" i="80"/>
  <c r="K16" i="80" s="1"/>
  <c r="C14" i="80"/>
  <c r="K14" i="80" s="1"/>
  <c r="F19" i="80"/>
  <c r="E19" i="80"/>
  <c r="H19" i="80"/>
  <c r="C13" i="80"/>
  <c r="K13" i="80" s="1"/>
  <c r="D19" i="80"/>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<sst xmlns="http://schemas.openxmlformats.org/spreadsheetml/2006/main" count="7575" uniqueCount="3279">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</sst>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xf numFmtId="0" fontId="46" fillId="9" borderId="37"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172" fillId="20" borderId="3" xfId="0" applyFont="1" applyFill="1" applyBorder="1" applyAlignment="1" applyProtection="1">
      <alignment horizontal="center" vertical="center" wrapText="1"/>
      <protection locked="0"/>
    </xf>
    <xf numFmtId="0" fontId="172" fillId="20" borderId="5" xfId="0" applyFont="1" applyFill="1" applyBorder="1" applyAlignment="1" applyProtection="1">
      <alignment horizontal="center" vertical="center" wrapText="1"/>
      <protection locked="0"/>
    </xf>
    <xf numFmtId="0" fontId="172" fillId="20" borderId="23" xfId="0" applyFont="1" applyFill="1" applyBorder="1" applyAlignment="1" applyProtection="1">
      <alignment horizontal="center" vertical="center" wrapText="1"/>
      <protection locked="0"/>
    </xf>
    <xf numFmtId="0" fontId="172" fillId="20" borderId="24" xfId="0" applyFont="1" applyFill="1" applyBorder="1" applyAlignment="1" applyProtection="1">
      <alignment horizontal="center" vertical="center" wrapText="1"/>
      <protection locked="0"/>
    </xf>
    <xf numFmtId="0" fontId="49" fillId="9" borderId="16" xfId="0" applyNumberFormat="1"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房地产抵押价值预评估</v>
      </c>
    </row>
    <row r="3" spans="1:2" s="1317" customFormat="1">
      <c r="A3" s="1315" t="s">
        <v>948</v>
      </c>
      <c r="B3" s="1316">
        <f>'预评函-封皮'!B40</f>
        <v>0</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受贵公司委托，我公司对房地产抵押价值进行了预评估。</v>
      </c>
    </row>
    <row r="7" spans="1:2" s="1317" customFormat="1">
      <c r="A7" s="1315" t="s">
        <v>991</v>
      </c>
      <c r="B7" s="1316" t="str">
        <f>'预评函-1'!A7</f>
        <v>估价对象为房地产，为所有。根据《国有土地使用证》[]，估价对象（分摊）出让国有建设用地使用权面积为0平方米，建筑面积为19251.75平方米。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估价对象为房地产,属开发建设的，该项目尚在开发建设中。根据《国有土地使用证》[]，估价对象（分摊）出让国有建设用地使用权面积为0平方米，规划建筑面积为19251.75平方米。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2022年7月25日</v>
      </c>
    </row>
    <row r="13" spans="1:2" s="1317" customFormat="1">
      <c r="A13" s="1315" t="s">
        <v>954</v>
      </c>
      <c r="B13" s="1316"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28832</v>
      </c>
    </row>
    <row r="21" spans="1:2" s="1317" customFormat="1">
      <c r="A21" s="1315" t="s">
        <v>962</v>
      </c>
      <c r="B21" s="1316">
        <f ca="1">'预评函-2'!D7</f>
        <v>14976</v>
      </c>
    </row>
    <row r="22" spans="1:2" s="1317" customFormat="1">
      <c r="A22" s="1315" t="s">
        <v>963</v>
      </c>
      <c r="B22" s="1316" t="str">
        <f ca="1">'预评函-2'!D6</f>
        <v>贰亿捌仟捌佰叁拾贰万元整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28832</v>
      </c>
    </row>
    <row r="31" spans="1:2" s="1317" customFormat="1">
      <c r="A31" s="1315" t="s">
        <v>1001</v>
      </c>
      <c r="B31" s="1316">
        <f ca="1">'预评函-2'!D15</f>
        <v>14976</v>
      </c>
    </row>
    <row r="32" spans="1:2" s="1317" customFormat="1">
      <c r="A32" s="1315" t="s">
        <v>968</v>
      </c>
      <c r="B32" s="1316" t="str">
        <f ca="1">'预评函-2'!D14</f>
        <v>贰亿捌仟捌佰叁拾贰万元整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房地产</v>
      </c>
    </row>
    <row r="42" spans="1:2" s="1317" customFormat="1">
      <c r="A42" s="1315" t="s">
        <v>1015</v>
      </c>
      <c r="B42" s="1316" t="str">
        <f>'预评函-3'!B2</f>
        <v>建筑面积</v>
      </c>
    </row>
    <row r="43" spans="1:2" s="1317" customFormat="1">
      <c r="A43" s="1315" t="s">
        <v>1016</v>
      </c>
      <c r="B43" s="1316">
        <f>'预评函-3'!B4</f>
        <v>19251.75</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689" t="s">
        <v>651</v>
      </c>
      <c r="C54" s="1686" t="s">
        <v>1008</v>
      </c>
    </row>
    <row r="55" spans="1:4">
      <c r="A55" s="3292"/>
      <c r="B55" s="1689" t="s">
        <v>652</v>
      </c>
      <c r="C55" s="1686" t="s">
        <v>1009</v>
      </c>
    </row>
    <row r="56" spans="1:4">
      <c r="A56" s="3292"/>
      <c r="B56" s="1689" t="s">
        <v>653</v>
      </c>
      <c r="C56" s="1686" t="s">
        <v>1013</v>
      </c>
    </row>
    <row r="57" spans="1:4">
      <c r="A57" s="329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93" t="str">
        <f>IF(B10="北京市","北京市",C10)&amp;F10&amp;IF(结果表!G1="在建","出让国有建设用地使用权及在建建筑物",IF(结果表!G1="土地","出让国有建设用地使用权",))&amp;B9&amp;"预评估"</f>
        <v>房地产抵押价值预评估</v>
      </c>
      <c r="C1" s="3294"/>
      <c r="D1" s="3294"/>
      <c r="E1" s="3294"/>
      <c r="F1" s="3294"/>
      <c r="G1" s="3294"/>
      <c r="H1" s="3294"/>
      <c r="I1" s="3295"/>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c r="A3" s="308" t="s">
        <v>2670</v>
      </c>
      <c r="B3" s="2546"/>
      <c r="C3" s="2547" t="s">
        <v>2671</v>
      </c>
      <c r="D3" s="2546">
        <v>44767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t="s">
        <v>3277</v>
      </c>
      <c r="C4" s="2549">
        <f ca="1">SUMIF(注册房地产估价师,B4,估价师及机构信息!B3:B24)</f>
        <v>1120050019</v>
      </c>
      <c r="D4" s="2548" t="s">
        <v>3278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王鹏（注册号：1120050019)、郑燚（注册号：1120070131)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3175</v>
      </c>
      <c r="C8" s="2563"/>
      <c r="D8" s="3296" t="s">
        <v>2677</v>
      </c>
      <c r="E8" s="2564" t="s">
        <v>3174</v>
      </c>
      <c r="F8" s="2565"/>
      <c r="G8" s="2839"/>
      <c r="H8" s="2839"/>
      <c r="I8" s="2839"/>
      <c r="J8" s="2614"/>
      <c r="K8" s="2789"/>
      <c r="L8" s="2788"/>
      <c r="M8" s="2788"/>
      <c r="N8" s="2614"/>
      <c r="O8" s="2625"/>
      <c r="P8" s="2614"/>
      <c r="Q8" s="2614"/>
      <c r="R8" s="2614"/>
    </row>
    <row r="9" spans="1:28" ht="13.5" thickBot="1">
      <c r="A9" s="2566" t="s">
        <v>2678</v>
      </c>
      <c r="B9" s="2567" t="s">
        <v>3174</v>
      </c>
      <c r="C9" s="2568"/>
      <c r="D9" s="3297"/>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v>52327</v>
      </c>
      <c r="F13" s="945"/>
      <c r="G13" s="945"/>
      <c r="H13" s="945"/>
      <c r="I13" s="945"/>
      <c r="J13" s="2614"/>
      <c r="K13" s="2791"/>
      <c r="L13" s="2788"/>
      <c r="M13" s="2788"/>
      <c r="N13" s="2614"/>
      <c r="O13" s="2625"/>
      <c r="P13" s="2614"/>
      <c r="Q13" s="2614"/>
      <c r="R13" s="2614"/>
    </row>
    <row r="14" spans="1:28">
      <c r="A14" s="1193"/>
      <c r="B14" s="2580"/>
      <c r="C14" s="2581" t="s">
        <v>2691</v>
      </c>
      <c r="D14" s="2582"/>
      <c r="E14" s="2582">
        <v>40</v>
      </c>
      <c r="F14" s="2582"/>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20.71</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03"/>
      <c r="C16" s="3304"/>
      <c r="D16" s="3305"/>
      <c r="E16" s="2588" t="s">
        <v>2694</v>
      </c>
      <c r="F16" s="3306"/>
      <c r="G16" s="3307"/>
      <c r="H16" s="3307"/>
      <c r="I16" s="3308"/>
      <c r="J16" s="2614"/>
      <c r="K16" s="2793"/>
      <c r="L16" s="2626"/>
      <c r="M16" s="2626"/>
      <c r="N16" s="2684"/>
      <c r="O16" s="2626"/>
      <c r="P16" s="2684"/>
      <c r="Q16" s="2614"/>
      <c r="R16" s="2614"/>
    </row>
    <row r="17" spans="1:28">
      <c r="A17" s="319" t="s">
        <v>2695</v>
      </c>
      <c r="B17" s="308" t="s">
        <v>2696</v>
      </c>
      <c r="C17" s="11">
        <f>'数据-汇总表'!E3</f>
        <v>19251.75</v>
      </c>
      <c r="D17" s="2495" t="s">
        <v>2697</v>
      </c>
      <c r="E17" s="3309" t="s">
        <v>2698</v>
      </c>
      <c r="F17" s="3310"/>
      <c r="G17" s="3310"/>
      <c r="H17" s="3310"/>
      <c r="I17" s="3311"/>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312" t="s">
        <v>2702</v>
      </c>
      <c r="F18" s="3313"/>
      <c r="G18" s="3313"/>
      <c r="H18" s="3313"/>
      <c r="I18" s="3314"/>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299" t="s">
        <v>2706</v>
      </c>
      <c r="C20" s="3300"/>
      <c r="D20" s="3301" t="s">
        <v>2707</v>
      </c>
      <c r="E20" s="3302"/>
      <c r="F20" s="2823" t="s">
        <v>1501</v>
      </c>
      <c r="G20" s="2840"/>
      <c r="H20" s="2840"/>
      <c r="I20" s="2840"/>
      <c r="J20" s="2614"/>
      <c r="K20" s="3298"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29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29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6"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6"/>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6"/>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7"/>
      <c r="B30" s="308" t="s">
        <v>2718</v>
      </c>
      <c r="C30" s="3318"/>
      <c r="D30" s="3319"/>
      <c r="E30" s="2840"/>
      <c r="F30" s="2840"/>
      <c r="G30" s="2840"/>
      <c r="H30" s="2840"/>
      <c r="I30" s="2840"/>
      <c r="J30" s="2614"/>
      <c r="K30" s="2791"/>
      <c r="L30" s="2788"/>
      <c r="M30" s="2788"/>
      <c r="N30" s="2614"/>
      <c r="O30" s="2625"/>
      <c r="P30" s="2614"/>
      <c r="Q30" s="2614"/>
      <c r="R30" s="2614"/>
      <c r="S30" s="2614"/>
      <c r="T30" s="2614"/>
      <c r="U30" s="2614"/>
      <c r="V30" s="2614"/>
    </row>
    <row r="31" spans="1:28">
      <c r="A31" s="3320"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21"/>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21"/>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15" t="s">
        <v>2728</v>
      </c>
      <c r="T34" s="2603" t="str">
        <f>NUMBERSTRING(7-K34,1)&amp;"通"</f>
        <v>七通</v>
      </c>
      <c r="U34" s="2614"/>
      <c r="V34" s="2614"/>
    </row>
    <row r="35" spans="1:30">
      <c r="A35" s="2604"/>
      <c r="B35" s="3322" t="s">
        <v>2729</v>
      </c>
      <c r="C35" s="3322"/>
      <c r="D35" s="3322"/>
      <c r="E35" s="3322"/>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5"/>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19251.75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3237</v>
      </c>
      <c r="J9" s="898"/>
      <c r="K9" s="1738" t="s">
        <v>3238</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3236</v>
      </c>
      <c r="E13" s="16">
        <f>IF($C$3="是",ROUND($A$3*G13/$B$3,2),ROUND($A$3*(G13-AT13)/$B$3,2))</f>
        <v>0</v>
      </c>
      <c r="F13" s="32"/>
      <c r="G13" s="33">
        <f>H13+AC13+AT13</f>
        <v>19251.75</v>
      </c>
      <c r="H13" s="20">
        <f>SUMIF(I$12:AB$12,"总值",I13:AB13)</f>
        <v>19251.75</v>
      </c>
      <c r="I13" s="1761">
        <f>面积清单!L3+面积清单!L4+面积清单!L5+面积清单!L6+面积清单!L7+面积清单!L8</f>
        <v>18937.57</v>
      </c>
      <c r="J13" s="1761"/>
      <c r="K13" s="1761">
        <f>面积清单!L9</f>
        <v>314.17999999999995</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4" t="s">
        <v>1576</v>
      </c>
      <c r="B2" s="3334"/>
      <c r="C2" s="3334"/>
      <c r="D2" s="884" t="s">
        <v>1552</v>
      </c>
      <c r="E2" s="1774" t="s">
        <v>1553</v>
      </c>
      <c r="F2" s="2835"/>
      <c r="G2" s="2826"/>
      <c r="H2" s="2827"/>
      <c r="I2" s="2498" t="s">
        <v>1577</v>
      </c>
      <c r="J2" s="2835"/>
      <c r="K2" s="2835"/>
      <c r="L2" s="2835"/>
      <c r="M2" s="2835"/>
      <c r="N2" s="2837"/>
      <c r="O2" s="2835"/>
      <c r="P2" s="2835"/>
    </row>
    <row r="3" spans="1:16" ht="15.75" thickBot="1">
      <c r="A3" s="3335" t="s">
        <v>1550</v>
      </c>
      <c r="B3" s="3335"/>
      <c r="C3" s="3335"/>
      <c r="D3" s="46">
        <f>'数据-基础表'!AY6</f>
        <v>0</v>
      </c>
      <c r="E3" s="46">
        <f>'数据-基础表'!AZ5</f>
        <v>19251.75</v>
      </c>
      <c r="F3" s="2835"/>
      <c r="G3" s="1259"/>
      <c r="H3" s="1137" t="s">
        <v>1551</v>
      </c>
      <c r="I3" s="944" t="e">
        <f>ROUND('数据-基础表'!B3/'数据-基础表'!A3,2)</f>
        <v>#DIV/0!</v>
      </c>
      <c r="J3" s="2835"/>
      <c r="K3" s="2835"/>
      <c r="L3" s="2835"/>
      <c r="M3" s="2835"/>
      <c r="N3" s="2837"/>
      <c r="O3" s="2835"/>
      <c r="P3" s="2835"/>
    </row>
    <row r="4" spans="1:16" ht="15">
      <c r="A4" s="3336"/>
      <c r="B4" s="3337"/>
      <c r="C4" s="3338"/>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39" t="s">
        <v>1555</v>
      </c>
      <c r="C5" s="3339"/>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39" t="s">
        <v>1556</v>
      </c>
      <c r="C6" s="3339"/>
      <c r="D6" s="48">
        <f>ROUND($D$3*E6/$E$3,2)</f>
        <v>0</v>
      </c>
      <c r="E6" s="49">
        <f>E3-E5</f>
        <v>19251.75</v>
      </c>
      <c r="F6" s="2835"/>
      <c r="G6" s="2829" t="s">
        <v>1557</v>
      </c>
      <c r="H6" s="1260" t="s">
        <v>1558</v>
      </c>
      <c r="I6" s="2830" t="e">
        <f>ROUND(F31/D31,2)</f>
        <v>#DIV/0!</v>
      </c>
      <c r="J6" s="2835"/>
      <c r="K6" s="2835"/>
      <c r="L6" s="2835"/>
      <c r="M6" s="2835"/>
      <c r="N6" s="2835"/>
      <c r="O6" s="2835"/>
      <c r="P6" s="2835"/>
    </row>
    <row r="7" spans="1:16" ht="15.75" thickBot="1">
      <c r="A7" s="3331"/>
      <c r="B7" s="3332"/>
      <c r="C7" s="3333"/>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18937.57</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314.17999999999995</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19251.75</v>
      </c>
      <c r="F16" s="2835"/>
      <c r="G16" s="2836"/>
      <c r="H16" s="1783" t="s">
        <v>1580</v>
      </c>
      <c r="I16" s="1784"/>
      <c r="J16" s="1253"/>
      <c r="K16" s="3328" t="s">
        <v>1580</v>
      </c>
      <c r="L16" s="3329"/>
      <c r="M16" s="3329"/>
      <c r="N16" s="3329"/>
      <c r="O16" s="3329"/>
      <c r="P16" s="3330"/>
    </row>
    <row r="17" spans="1:19" ht="15">
      <c r="A17" s="1785" t="s">
        <v>1581</v>
      </c>
      <c r="B17" s="1786" t="s">
        <v>1582</v>
      </c>
      <c r="C17" s="1787" t="s">
        <v>1583</v>
      </c>
      <c r="D17" s="1788" t="s">
        <v>1571</v>
      </c>
      <c r="E17" s="1789" t="s">
        <v>1572</v>
      </c>
      <c r="F17" s="1790"/>
      <c r="G17" s="1791"/>
      <c r="H17" s="1792" t="s">
        <v>1584</v>
      </c>
      <c r="I17" s="1793" t="s">
        <v>1569</v>
      </c>
      <c r="J17" s="1253"/>
      <c r="K17" s="3325" t="s">
        <v>1585</v>
      </c>
      <c r="L17" s="3326"/>
      <c r="M17" s="3327"/>
      <c r="N17" s="3325" t="s">
        <v>1586</v>
      </c>
      <c r="O17" s="3326"/>
      <c r="P17" s="3327"/>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5" t="s">
        <v>3239</v>
      </c>
      <c r="D19" s="48">
        <f>ROUND($D$3*E19/$E$3,2)</f>
        <v>0</v>
      </c>
      <c r="E19" s="56">
        <f t="shared" ref="E19:E26" si="1">SUM(F19:G19)</f>
        <v>19251.75</v>
      </c>
      <c r="F19" s="2975">
        <f>'数据-基础表'!I13</f>
        <v>18937.57</v>
      </c>
      <c r="G19" s="2976">
        <f>'数据-基础表'!K13</f>
        <v>314.17999999999995</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19251.75</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19251.75</v>
      </c>
      <c r="F27" s="1254">
        <f>IF(SUM(F19:F26)=E8,SUM(F19:F26),"地上面积有误")</f>
        <v>18937.57</v>
      </c>
      <c r="G27" s="1256">
        <f>SUM(G19:G26)</f>
        <v>314.17999999999995</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19251.75</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19251.75</v>
      </c>
      <c r="F31" s="685">
        <f>F27+F30</f>
        <v>18937.57</v>
      </c>
      <c r="G31" s="686">
        <f>G27+G30</f>
        <v>314.17999999999995</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44767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3216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52327</v>
      </c>
      <c r="F6" s="68">
        <f>SUMIF(项目基本情况!D$12:I$12,C6,项目基本情况!D$15:I$15)</f>
        <v>20.71</v>
      </c>
      <c r="G6" s="69">
        <f>IF(ISERROR(ROUND(POWER(1+H6,D6-F6)*(POWER(1+H6,F6)-1)/(POWER(1+H6,D6)-1),3)),0,ROUND(POWER(1+H6,D6-F6)*(POWER(1+H6,F6)-1)/(POWER(1+H6,D6)-1),3))</f>
        <v>0.75900000000000001</v>
      </c>
      <c r="H6" s="740">
        <v>5.5E-2</v>
      </c>
      <c r="I6" s="740">
        <f>H6+0.005</f>
        <v>0.06</v>
      </c>
      <c r="J6" s="70">
        <f>I6+0.015</f>
        <v>7.4999999999999997E-2</v>
      </c>
      <c r="K6" s="1141">
        <f>SUMIF('数据-汇总表'!C$19:C$33,A6,'数据-汇总表'!E$19:E$33)</f>
        <v>19251.75</v>
      </c>
      <c r="L6" s="741">
        <v>3000</v>
      </c>
      <c r="M6" s="71">
        <f t="shared" ref="M6:M14" si="0">ROUND(K6*L6/10000,0)</f>
        <v>5776</v>
      </c>
      <c r="N6" s="739">
        <f>Q21</f>
        <v>0.81</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286">
        <f>ROUND($L$14*S6/10000,0)</f>
        <v>0</v>
      </c>
      <c r="U6" s="74">
        <f>面积清单!M10</f>
        <v>3.03</v>
      </c>
      <c r="V6" s="75">
        <v>0.03</v>
      </c>
      <c r="W6" s="75">
        <v>0.1</v>
      </c>
      <c r="X6" s="1151"/>
      <c r="Y6" s="76">
        <f>N6</f>
        <v>0.81</v>
      </c>
      <c r="Z6" s="77"/>
      <c r="AA6" s="70"/>
      <c r="AB6" s="70"/>
      <c r="AC6" s="1151"/>
      <c r="AD6" s="78"/>
      <c r="AE6" s="1152">
        <f ca="1">IF(AN6="",0,SUMIF(INDIRECT("'"&amp;AN6&amp;"'"&amp;"!E:E"),$AE$5,INDIRECT("'"&amp;AN6&amp;"'"&amp;"!F:F")))</f>
        <v>20.71</v>
      </c>
      <c r="AF6" s="1482"/>
      <c r="AG6" s="143">
        <f>IF(AF6="",0,AE6-AF6)</f>
        <v>0</v>
      </c>
      <c r="AH6" s="79"/>
      <c r="AI6" s="81">
        <v>365</v>
      </c>
      <c r="AJ6" s="82"/>
      <c r="AK6" s="83">
        <v>0.01</v>
      </c>
      <c r="AL6" s="84">
        <v>1E-3</v>
      </c>
      <c r="AM6" s="85">
        <v>0.01</v>
      </c>
      <c r="AN6" s="1851" t="s">
        <v>3218</v>
      </c>
      <c r="AO6" s="55">
        <f ca="1">SUMIF(INDIRECT("'"&amp;AN6&amp;"'"&amp;"!A:A"),"总价",INDIRECT("'"&amp;AN6&amp;"'"&amp;"!B:B"))</f>
        <v>22186</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0.75900000000000001</v>
      </c>
      <c r="H16" s="95">
        <f>ROUND(SUMPRODUCT(H6:H13,K6:K13)/SUMPRODUCT((H6:H13&gt;0)*(K6:K13)),3)</f>
        <v>5.5E-2</v>
      </c>
      <c r="I16" s="96"/>
      <c r="J16" s="96"/>
      <c r="K16" s="97">
        <f>SUM(K6:K15)</f>
        <v>19251.75</v>
      </c>
      <c r="L16" s="98">
        <f>ROUND(M16*10000/SUM(K6:K14),0)</f>
        <v>3000</v>
      </c>
      <c r="M16" s="98">
        <f>SUM(M6:M14)</f>
        <v>5776</v>
      </c>
      <c r="N16" s="99">
        <f>ROUND(SUMPRODUCT(M6:M14,N6:N14)/M16,3)</f>
        <v>0.81</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2849"/>
      <c r="N21" s="3232">
        <v>16397.330000000002</v>
      </c>
      <c r="O21" s="3232">
        <v>2010</v>
      </c>
      <c r="P21" s="3232">
        <f>ROUND(1-(2022-O21)/60,2)</f>
        <v>0.8</v>
      </c>
      <c r="Q21" s="3232">
        <f>ROUND((N21*P21+N22*P22+N23*P23)/N24,2)</f>
        <v>0.81</v>
      </c>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2849"/>
      <c r="N22" s="3232">
        <v>2015.1799999999998</v>
      </c>
      <c r="O22" s="3232">
        <v>2007</v>
      </c>
      <c r="P22" s="3232">
        <f t="shared" ref="P22:P23" si="12">ROUND(1-(2022-O22)/60,2)</f>
        <v>0.75</v>
      </c>
      <c r="Q22" s="3232"/>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3232">
        <v>2510.87</v>
      </c>
      <c r="O23" s="3232">
        <v>2017</v>
      </c>
      <c r="P23" s="3232">
        <f t="shared" si="12"/>
        <v>0.92</v>
      </c>
      <c r="Q23" s="3232"/>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3232">
        <v>20923.38</v>
      </c>
      <c r="O24" s="3232"/>
      <c r="P24" s="3232"/>
      <c r="Q24" s="3232"/>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290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150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3217</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20</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211</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20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0" t="s">
        <v>2786</v>
      </c>
      <c r="B1" s="3341"/>
      <c r="C1" s="3341"/>
      <c r="D1" s="3341"/>
      <c r="E1" s="3341"/>
      <c r="F1" s="3341"/>
      <c r="G1" s="334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19251.75</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44767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28832</v>
      </c>
      <c r="C5" s="2687">
        <f ca="1">ROUND(B5*10000/$B$1,0)</f>
        <v>14976</v>
      </c>
      <c r="D5" s="2687" t="e">
        <f ca="1">ROUND(B5*10000/$B$2,0)</f>
        <v>#DIV/0!</v>
      </c>
      <c r="E5" s="2864"/>
      <c r="F5" s="2865"/>
      <c r="G5" s="2865"/>
      <c r="H5" s="2866"/>
      <c r="I5" s="2866"/>
      <c r="J5" s="2866"/>
      <c r="K5" s="2866"/>
    </row>
    <row r="6" spans="1:11" ht="16.5">
      <c r="A6" s="2687" t="s">
        <v>1081</v>
      </c>
      <c r="B6" s="2687">
        <f ca="1">SUM(G14:G23)</f>
        <v>28832</v>
      </c>
      <c r="C6" s="2687">
        <f ca="1">ROUND(B6*10000/$B$1,0)</f>
        <v>14976</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19251.75</v>
      </c>
      <c r="C14" s="2693">
        <f>结果表!C118</f>
        <v>0</v>
      </c>
      <c r="D14" s="2693">
        <f ca="1">结果表!H118</f>
        <v>28832</v>
      </c>
      <c r="E14" s="2693">
        <f ca="1">ROUND(D14*10000/B14,0)</f>
        <v>14976</v>
      </c>
      <c r="F14" s="2693" t="e">
        <f ca="1">ROUND(D14*10000/C14,0)</f>
        <v>#DIV/0!</v>
      </c>
      <c r="G14" s="2693">
        <f ca="1">结果表!D122</f>
        <v>28832</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26" sqref="J26"/>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12" t="str">
        <f>项目基本情况!S2</f>
        <v>房地产</v>
      </c>
      <c r="B2" s="3413"/>
      <c r="C2" s="3413"/>
      <c r="D2" s="3413"/>
      <c r="E2" s="3413"/>
      <c r="F2" s="3413"/>
      <c r="G2" s="3413"/>
      <c r="H2" s="3413"/>
      <c r="I2" s="3414"/>
    </row>
    <row r="3" spans="1:12" ht="12.75">
      <c r="A3" s="3416" t="s">
        <v>1709</v>
      </c>
      <c r="B3" s="3417"/>
      <c r="C3" s="3417"/>
      <c r="D3" s="3417"/>
      <c r="E3" s="3417"/>
      <c r="F3" s="3417"/>
      <c r="G3" s="3417"/>
      <c r="H3" s="3417"/>
      <c r="I3" s="3417"/>
    </row>
    <row r="4" spans="1:12" ht="14.25">
      <c r="A4" s="1890" t="s">
        <v>1710</v>
      </c>
      <c r="B4" s="1891" t="s">
        <v>1711</v>
      </c>
      <c r="C4" s="1892" t="s">
        <v>3243</v>
      </c>
      <c r="D4" s="1892" t="s">
        <v>3218</v>
      </c>
      <c r="E4" s="3421" t="s">
        <v>1712</v>
      </c>
      <c r="F4" s="3422"/>
      <c r="G4" s="3422"/>
      <c r="H4" s="3422"/>
      <c r="I4" s="342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7" t="s">
        <v>1713</v>
      </c>
      <c r="B5" s="3415">
        <v>25</v>
      </c>
      <c r="C5" s="3418"/>
      <c r="D5" s="3406"/>
      <c r="E5" s="136" t="s">
        <v>1714</v>
      </c>
      <c r="F5" s="1893"/>
      <c r="G5" s="1893"/>
      <c r="H5" s="1893"/>
      <c r="I5" s="1507"/>
    </row>
    <row r="6" spans="1:12" ht="12.75">
      <c r="A6" s="3357"/>
      <c r="B6" s="3415"/>
      <c r="C6" s="3420"/>
      <c r="D6" s="3406"/>
      <c r="E6" s="136" t="s">
        <v>1715</v>
      </c>
      <c r="F6" s="1893"/>
      <c r="G6" s="1893"/>
      <c r="H6" s="1893"/>
      <c r="I6" s="1507"/>
    </row>
    <row r="7" spans="1:12" ht="12.75">
      <c r="A7" s="3357"/>
      <c r="B7" s="3415"/>
      <c r="C7" s="3419"/>
      <c r="D7" s="3406"/>
      <c r="E7" s="136" t="s">
        <v>1716</v>
      </c>
      <c r="F7" s="1893"/>
      <c r="G7" s="1893"/>
      <c r="H7" s="1893"/>
      <c r="I7" s="1507"/>
    </row>
    <row r="8" spans="1:12" ht="12.75">
      <c r="A8" s="3357" t="s">
        <v>1717</v>
      </c>
      <c r="B8" s="3415">
        <v>15</v>
      </c>
      <c r="C8" s="3418"/>
      <c r="D8" s="3406"/>
      <c r="E8" s="136" t="s">
        <v>1718</v>
      </c>
      <c r="F8" s="1893"/>
      <c r="G8" s="1893"/>
      <c r="H8" s="1893"/>
      <c r="I8" s="1507"/>
    </row>
    <row r="9" spans="1:12" ht="12.75">
      <c r="A9" s="3357"/>
      <c r="B9" s="3415"/>
      <c r="C9" s="3419"/>
      <c r="D9" s="3406"/>
      <c r="E9" s="136" t="s">
        <v>1719</v>
      </c>
      <c r="F9" s="1893"/>
      <c r="G9" s="1893"/>
      <c r="H9" s="1893"/>
      <c r="I9" s="1507"/>
    </row>
    <row r="10" spans="1:12" ht="12.75">
      <c r="A10" s="3357" t="s">
        <v>1720</v>
      </c>
      <c r="B10" s="3415">
        <v>15</v>
      </c>
      <c r="C10" s="3418"/>
      <c r="D10" s="3406"/>
      <c r="E10" s="136" t="s">
        <v>1721</v>
      </c>
      <c r="F10" s="1893"/>
      <c r="G10" s="1893"/>
      <c r="H10" s="1893"/>
      <c r="I10" s="1507"/>
    </row>
    <row r="11" spans="1:12" ht="12.75">
      <c r="A11" s="3357"/>
      <c r="B11" s="3415"/>
      <c r="C11" s="3419"/>
      <c r="D11" s="3406"/>
      <c r="E11" s="136" t="s">
        <v>1722</v>
      </c>
      <c r="F11" s="1893"/>
      <c r="G11" s="1893"/>
      <c r="H11" s="1893"/>
      <c r="I11" s="1507"/>
    </row>
    <row r="12" spans="1:12" ht="12.75">
      <c r="A12" s="3357" t="s">
        <v>1723</v>
      </c>
      <c r="B12" s="3415">
        <v>15</v>
      </c>
      <c r="C12" s="3418"/>
      <c r="D12" s="3406"/>
      <c r="E12" s="136" t="s">
        <v>1724</v>
      </c>
      <c r="F12" s="1893"/>
      <c r="G12" s="1893"/>
      <c r="H12" s="1893"/>
      <c r="I12" s="1507"/>
    </row>
    <row r="13" spans="1:12" ht="12.75">
      <c r="A13" s="3357"/>
      <c r="B13" s="3415"/>
      <c r="C13" s="3419"/>
      <c r="D13" s="3406"/>
      <c r="E13" s="136" t="s">
        <v>1725</v>
      </c>
      <c r="F13" s="1893"/>
      <c r="G13" s="1893"/>
      <c r="H13" s="1893"/>
      <c r="I13" s="1507"/>
    </row>
    <row r="14" spans="1:12" ht="12.75">
      <c r="A14" s="3357" t="s">
        <v>1726</v>
      </c>
      <c r="B14" s="3415">
        <v>30</v>
      </c>
      <c r="C14" s="3418">
        <v>6</v>
      </c>
      <c r="D14" s="3406">
        <v>4</v>
      </c>
      <c r="E14" s="136" t="s">
        <v>1727</v>
      </c>
      <c r="F14" s="1893"/>
      <c r="G14" s="1893"/>
      <c r="H14" s="1893"/>
      <c r="I14" s="1507"/>
    </row>
    <row r="15" spans="1:12" ht="12.75">
      <c r="A15" s="3357"/>
      <c r="B15" s="3415"/>
      <c r="C15" s="3420"/>
      <c r="D15" s="3406"/>
      <c r="E15" s="136" t="s">
        <v>1728</v>
      </c>
      <c r="F15" s="1893"/>
      <c r="G15" s="1893"/>
      <c r="H15" s="1893"/>
      <c r="I15" s="1507"/>
    </row>
    <row r="16" spans="1:12" ht="12.75">
      <c r="A16" s="3357"/>
      <c r="B16" s="3415"/>
      <c r="C16" s="3419"/>
      <c r="D16" s="3406"/>
      <c r="E16" s="136" t="s">
        <v>1729</v>
      </c>
      <c r="F16" s="1893"/>
      <c r="G16" s="1893"/>
      <c r="H16" s="1893"/>
      <c r="I16" s="1507"/>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437" t="s">
        <v>2631</v>
      </c>
      <c r="F18" s="3438"/>
      <c r="G18" s="3438"/>
      <c r="H18" s="3438"/>
      <c r="I18" s="3438"/>
      <c r="K18" s="308" t="s">
        <v>1734</v>
      </c>
      <c r="L18" s="308">
        <f>IF(C1="",'数据-汇总表'!E3,SUMIF(项目类型,C1,'数据-汇总表'!E17:E26)+SUMIF(项目类型,C1,'数据-汇总表'!I17:I26))</f>
        <v>19251.75</v>
      </c>
      <c r="M18" s="308">
        <f>IF(C1="",'数据-汇总表'!E3,SUMIF(项目类型,C1,'数据-汇总表'!E17:E26))</f>
        <v>19251.75</v>
      </c>
    </row>
    <row r="19" spans="1:36" ht="15">
      <c r="A19" s="1897" t="s">
        <v>1735</v>
      </c>
      <c r="B19" s="1898" t="s">
        <v>1736</v>
      </c>
      <c r="C19" s="139">
        <f ca="1">SUMIF(INDIRECT("'"&amp;C4&amp;"'"&amp;"!A:A"),结果表!B19,INDIRECT("'"&amp;C4&amp;"'"&amp;"!B:B"))</f>
        <v>33262</v>
      </c>
      <c r="D19" s="140">
        <f ca="1">SUMIF(INDIRECT("'"&amp;D4&amp;"'"&amp;"!A:A"),结果表!B19,INDIRECT("'"&amp;D4&amp;"'"&amp;"!B:B"))</f>
        <v>22186</v>
      </c>
      <c r="E19" s="1897" t="s">
        <v>1737</v>
      </c>
      <c r="F19" s="1898" t="s">
        <v>1736</v>
      </c>
      <c r="G19" s="141">
        <f ca="1">ROUND(C19*$C$18+D19*$D$18,0)</f>
        <v>28832</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SUMIF(INDIRECT("'"&amp;C4&amp;"'"&amp;"!A:A"),结果表!B20,INDIRECT("'"&amp;C4&amp;"'"&amp;"!B:B"))</f>
        <v>17277</v>
      </c>
      <c r="D20" s="143">
        <f ca="1">SUMIF(INDIRECT("'"&amp;D4&amp;"'"&amp;"!A:A"),结果表!B20,INDIRECT("'"&amp;D4&amp;"'"&amp;"!B:B"))</f>
        <v>11524</v>
      </c>
      <c r="E20" s="1900"/>
      <c r="F20" s="1137" t="s">
        <v>1740</v>
      </c>
      <c r="G20" s="144">
        <f ca="1">ROUND(C20*$C$18+D20*$D$18,0)</f>
        <v>14976</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0.49923375101415313</v>
      </c>
      <c r="E22" s="134"/>
      <c r="F22" s="134"/>
      <c r="G22" s="134"/>
      <c r="H22" s="134"/>
      <c r="I22" s="134"/>
    </row>
    <row r="23" spans="1:36" ht="13.5" thickBot="1">
      <c r="A23" s="1883"/>
      <c r="B23" s="1883"/>
      <c r="C23" s="1883"/>
      <c r="D23" s="1883"/>
      <c r="E23" s="134"/>
      <c r="F23" s="134"/>
      <c r="G23" s="134"/>
      <c r="H23" s="134"/>
      <c r="I23" s="134"/>
    </row>
    <row r="24" spans="1:36" ht="14.25">
      <c r="A24" s="3430" t="s">
        <v>1744</v>
      </c>
      <c r="B24" s="1898" t="s">
        <v>1736</v>
      </c>
      <c r="C24" s="141">
        <f>IF(B30=0,0,D30)</f>
        <v>0</v>
      </c>
      <c r="D24" s="1905"/>
      <c r="E24" s="134"/>
      <c r="F24" s="134"/>
      <c r="G24" s="134"/>
      <c r="H24" s="134"/>
      <c r="I24" s="134"/>
    </row>
    <row r="25" spans="1:36" ht="14.25">
      <c r="A25" s="3431"/>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28832</v>
      </c>
      <c r="D32" s="1911" t="s">
        <v>3265</v>
      </c>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07" t="s">
        <v>1757</v>
      </c>
      <c r="B36" s="1923" t="s">
        <v>1758</v>
      </c>
      <c r="C36" s="150"/>
      <c r="D36" s="1924"/>
      <c r="E36" s="1925"/>
      <c r="F36" s="1926"/>
      <c r="G36" s="134"/>
      <c r="H36" s="134"/>
      <c r="I36" s="134"/>
    </row>
    <row r="37" spans="1:15" ht="15.75" thickBot="1">
      <c r="A37" s="3408"/>
      <c r="B37" s="1810" t="s">
        <v>1759</v>
      </c>
      <c r="C37" s="152"/>
      <c r="D37" s="1253"/>
      <c r="E37" s="1253"/>
      <c r="F37" s="1926"/>
      <c r="G37" s="134"/>
      <c r="H37" s="134"/>
      <c r="I37" s="134"/>
    </row>
    <row r="38" spans="1:15" ht="15.75" thickBot="1">
      <c r="A38" s="3409"/>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7" t="s">
        <v>1771</v>
      </c>
      <c r="B45" s="3428"/>
      <c r="C45" s="3429"/>
      <c r="D45" s="160">
        <f ca="1">ROUND(H101*F45,0)</f>
        <v>28832</v>
      </c>
      <c r="E45" s="161" t="s">
        <v>1772</v>
      </c>
      <c r="F45" s="162">
        <v>1</v>
      </c>
      <c r="G45" s="163" t="s">
        <v>1773</v>
      </c>
      <c r="H45" s="134"/>
      <c r="I45" s="134"/>
      <c r="J45" s="3344" t="s">
        <v>1774</v>
      </c>
      <c r="K45" s="3344"/>
      <c r="L45" s="3344"/>
      <c r="M45" s="3344"/>
      <c r="N45" s="3344"/>
      <c r="O45" s="3344"/>
    </row>
    <row r="46" spans="1:15" ht="14.25" customHeight="1">
      <c r="A46" s="3424" t="s">
        <v>1775</v>
      </c>
      <c r="B46" s="3425"/>
      <c r="C46" s="3425"/>
      <c r="D46" s="3425"/>
      <c r="E46" s="3425"/>
      <c r="F46" s="3425"/>
      <c r="G46" s="3426"/>
      <c r="H46" s="1942"/>
      <c r="I46" s="164"/>
      <c r="J46" s="2698">
        <v>1</v>
      </c>
      <c r="K46" s="3345" t="s">
        <v>1776</v>
      </c>
      <c r="L46" s="3345"/>
      <c r="M46" s="3346"/>
      <c r="N46" s="3346"/>
      <c r="O46" s="3346"/>
    </row>
    <row r="47" spans="1:15" ht="12" customHeight="1">
      <c r="A47" s="165" t="s">
        <v>1777</v>
      </c>
      <c r="B47" s="166"/>
      <c r="C47" s="167"/>
      <c r="D47" s="1199" t="s">
        <v>1778</v>
      </c>
      <c r="E47" s="308" t="s">
        <v>1779</v>
      </c>
      <c r="F47" s="168" t="s">
        <v>1780</v>
      </c>
      <c r="G47" s="2721" t="s">
        <v>1781</v>
      </c>
      <c r="H47" s="2722"/>
      <c r="I47" s="164"/>
      <c r="J47" s="2698">
        <v>2</v>
      </c>
      <c r="K47" s="3345" t="s">
        <v>1782</v>
      </c>
      <c r="L47" s="3345"/>
      <c r="M47" s="3347">
        <f>'数据-取费表'!B2</f>
        <v>44767</v>
      </c>
      <c r="N47" s="3347"/>
      <c r="O47" s="3347"/>
    </row>
    <row r="48" spans="1:15" ht="25.5">
      <c r="A48" s="3410" t="s">
        <v>1783</v>
      </c>
      <c r="B48" s="3411"/>
      <c r="C48" s="3411"/>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45" t="s">
        <v>1785</v>
      </c>
      <c r="L48" s="3345"/>
      <c r="M48" s="3348">
        <f ca="1">H101</f>
        <v>28832</v>
      </c>
      <c r="N48" s="3348"/>
      <c r="O48" s="3348"/>
    </row>
    <row r="49" spans="1:35" ht="25.5" customHeight="1">
      <c r="A49" s="2506" t="s">
        <v>1786</v>
      </c>
      <c r="B49" s="3393" t="s">
        <v>1787</v>
      </c>
      <c r="C49" s="3393"/>
      <c r="D49" s="1725">
        <v>0</v>
      </c>
      <c r="E49" s="330" t="s">
        <v>1788</v>
      </c>
      <c r="F49" s="2599" t="s">
        <v>34</v>
      </c>
      <c r="G49" s="3376"/>
      <c r="H49" s="2478" t="s">
        <v>2634</v>
      </c>
      <c r="I49" s="2479"/>
      <c r="J49" s="2698">
        <v>4</v>
      </c>
      <c r="K49" s="3345" t="str">
        <f>IF(项目基本情况!E8="房地产抵押价值","房地产抵押价值","抵押担保权已注销时的房地产抵押价值")</f>
        <v>房地产抵押价值</v>
      </c>
      <c r="L49" s="3345"/>
      <c r="M49" s="3348">
        <f ca="1">IF(项目基本情况!E8="房地产抵押价值",H107,H109)</f>
        <v>28832</v>
      </c>
      <c r="N49" s="3348"/>
      <c r="O49" s="3348"/>
    </row>
    <row r="50" spans="1:35" ht="25.5" customHeight="1">
      <c r="A50" s="2726"/>
      <c r="B50" s="3393" t="s">
        <v>1789</v>
      </c>
      <c r="C50" s="3393"/>
      <c r="D50" s="2727"/>
      <c r="E50" s="338"/>
      <c r="F50" s="2599"/>
      <c r="G50" s="3377"/>
      <c r="H50" s="2480" t="s">
        <v>2635</v>
      </c>
      <c r="I50" s="2479"/>
      <c r="J50" s="3344" t="s">
        <v>1790</v>
      </c>
      <c r="K50" s="3344"/>
      <c r="L50" s="3344"/>
      <c r="M50" s="3344"/>
      <c r="N50" s="3344"/>
      <c r="O50" s="3344"/>
    </row>
    <row r="51" spans="1:35" ht="20.45" customHeight="1">
      <c r="A51" s="2728"/>
      <c r="B51" s="3393" t="s">
        <v>1791</v>
      </c>
      <c r="C51" s="3393"/>
      <c r="D51" s="1199"/>
      <c r="E51" s="333"/>
      <c r="F51" s="2599"/>
      <c r="G51" s="3378"/>
      <c r="H51" s="2480" t="s">
        <v>2636</v>
      </c>
      <c r="I51" s="2479"/>
      <c r="J51" s="2699" t="s">
        <v>1792</v>
      </c>
      <c r="K51" s="3345" t="s">
        <v>1793</v>
      </c>
      <c r="L51" s="3345"/>
      <c r="M51" s="2699" t="s">
        <v>1794</v>
      </c>
      <c r="N51" s="2699" t="s">
        <v>1795</v>
      </c>
      <c r="O51" s="2699" t="s">
        <v>1796</v>
      </c>
    </row>
    <row r="52" spans="1:35" ht="24" customHeight="1">
      <c r="A52" s="2508" t="s">
        <v>1797</v>
      </c>
      <c r="B52" s="3393" t="s">
        <v>1798</v>
      </c>
      <c r="C52" s="3393"/>
      <c r="D52" s="1199">
        <f ca="1">ROUND(D45*'数据-取费表'!B41/(1+'数据-取费表'!C42),0)</f>
        <v>1538</v>
      </c>
      <c r="E52" s="2507" t="s">
        <v>1799</v>
      </c>
      <c r="F52" s="2729">
        <f>'数据-取费表'!B41</f>
        <v>5.6000000000000001E-2</v>
      </c>
      <c r="G52" s="2730"/>
      <c r="H52" s="2719"/>
      <c r="I52" s="1943"/>
      <c r="J52" s="2698">
        <v>1</v>
      </c>
      <c r="K52" s="3370" t="s">
        <v>1800</v>
      </c>
      <c r="L52" s="3370"/>
      <c r="M52" s="2700" t="b">
        <f>D48</f>
        <v>0</v>
      </c>
      <c r="N52" s="2698" t="str">
        <f>E48</f>
        <v>销售额×税（费）率</v>
      </c>
      <c r="O52" s="2701">
        <f>F48</f>
        <v>5.6000000000000001E-2</v>
      </c>
    </row>
    <row r="53" spans="1:35" ht="12" customHeight="1">
      <c r="A53" s="2508" t="s">
        <v>1801</v>
      </c>
      <c r="B53" s="3394" t="s">
        <v>2791</v>
      </c>
      <c r="C53" s="3395"/>
      <c r="D53" s="1199">
        <f ca="1">ROUND(D45*'数据-取费表'!B41/(1+'数据-取费表'!C42),0)</f>
        <v>1538</v>
      </c>
      <c r="E53" s="2507" t="s">
        <v>1799</v>
      </c>
      <c r="F53" s="2729">
        <f>'数据-取费表'!B41</f>
        <v>5.6000000000000001E-2</v>
      </c>
      <c r="G53" s="2730"/>
      <c r="H53" s="2719"/>
      <c r="I53" s="1943"/>
      <c r="J53" s="2698">
        <v>2</v>
      </c>
      <c r="K53" s="3370" t="s">
        <v>1802</v>
      </c>
      <c r="L53" s="3370"/>
      <c r="M53" s="2700">
        <f t="shared" ref="M53:O54" ca="1" si="0">D55</f>
        <v>14</v>
      </c>
      <c r="N53" s="2698" t="str">
        <f t="shared" si="0"/>
        <v>销售额×税（费）率</v>
      </c>
      <c r="O53" s="2701" t="str">
        <f t="shared" si="0"/>
        <v>免征</v>
      </c>
    </row>
    <row r="54" spans="1:35" ht="12" customHeight="1">
      <c r="A54" s="2508" t="s">
        <v>1803</v>
      </c>
      <c r="B54" s="3394" t="s">
        <v>2792</v>
      </c>
      <c r="C54" s="3395"/>
      <c r="D54" s="1199">
        <f ca="1">C68</f>
        <v>1538</v>
      </c>
      <c r="E54" s="333" t="s">
        <v>1804</v>
      </c>
      <c r="F54" s="2729">
        <f>'数据-取费表'!B41</f>
        <v>5.6000000000000001E-2</v>
      </c>
      <c r="G54" s="2730"/>
      <c r="H54" s="2731"/>
      <c r="I54" s="1943"/>
      <c r="J54" s="2698">
        <v>3</v>
      </c>
      <c r="K54" s="3370" t="s">
        <v>1805</v>
      </c>
      <c r="L54" s="3370"/>
      <c r="M54" s="2700">
        <f t="shared" ca="1" si="0"/>
        <v>16319</v>
      </c>
      <c r="N54" s="2698" t="str">
        <f t="shared" si="0"/>
        <v>增值额×税（费）率</v>
      </c>
      <c r="O54" s="2702" t="str">
        <f t="shared" si="0"/>
        <v>免征</v>
      </c>
    </row>
    <row r="55" spans="1:35" ht="24" customHeight="1">
      <c r="A55" s="3433" t="s">
        <v>1806</v>
      </c>
      <c r="B55" s="3411"/>
      <c r="C55" s="3411"/>
      <c r="D55" s="2497">
        <f ca="1">IF(H55="个人住宅",0,ROUND(D45*I55,0))</f>
        <v>14</v>
      </c>
      <c r="E55" s="2507" t="s">
        <v>1807</v>
      </c>
      <c r="F55" s="2729" t="str">
        <f>IF(H55="正常",I55,"免征")</f>
        <v>免征</v>
      </c>
      <c r="G55" s="2730"/>
      <c r="H55" s="2725"/>
      <c r="I55" s="170">
        <f>'数据-取费表'!B49</f>
        <v>5.0000000000000001E-4</v>
      </c>
      <c r="J55" s="2698">
        <f>IF(H59="非个人房产","",4)</f>
        <v>4</v>
      </c>
      <c r="K55" s="3370" t="str">
        <f>IF(H59="非个人房产","——","个人所得税")</f>
        <v>个人所得税</v>
      </c>
      <c r="L55" s="3370"/>
      <c r="M55" s="2703">
        <f ca="1">D59</f>
        <v>275</v>
      </c>
      <c r="N55" s="2178" t="str">
        <f>E59</f>
        <v>差额计税</v>
      </c>
      <c r="O55" s="2704">
        <f>F59</f>
        <v>0.01</v>
      </c>
    </row>
    <row r="56" spans="1:35" ht="24.75">
      <c r="A56" s="3433" t="s">
        <v>1808</v>
      </c>
      <c r="B56" s="3411"/>
      <c r="C56" s="3411"/>
      <c r="D56" s="2497">
        <f ca="1">IF(H56="个人住宅",D57,D58)</f>
        <v>16319</v>
      </c>
      <c r="E56" s="2507" t="s">
        <v>1809</v>
      </c>
      <c r="F56" s="2729" t="str">
        <f>IF(H56="正常",F58,"免征")</f>
        <v>免征</v>
      </c>
      <c r="G56" s="2732" t="s">
        <v>1810</v>
      </c>
      <c r="H56" s="2733"/>
      <c r="I56" s="1944"/>
      <c r="J56" s="2698" t="str">
        <f>IF(项目基本情况!K6="上海银行",IF(J55="",4,J55+1),"")</f>
        <v/>
      </c>
      <c r="K56" s="3351" t="str">
        <f>IF(项目基本情况!K6="上海银行","其他处置费用","")</f>
        <v/>
      </c>
      <c r="L56" s="3352"/>
      <c r="M56" s="2700" t="str">
        <f>IF(项目基本情况!K6="上海银行",M69,"")</f>
        <v/>
      </c>
      <c r="N56" s="3351" t="str">
        <f>IF(项目基本情况!K6="上海银行","包含处置中涉及的律师、诉讼、拍卖、评估等费用","")</f>
        <v/>
      </c>
      <c r="O56" s="3354"/>
    </row>
    <row r="57" spans="1:35" ht="12.75">
      <c r="A57" s="2508" t="s">
        <v>1786</v>
      </c>
      <c r="B57" s="3394" t="s">
        <v>1811</v>
      </c>
      <c r="C57" s="3395"/>
      <c r="D57" s="1725">
        <v>0</v>
      </c>
      <c r="E57" s="330" t="s">
        <v>1788</v>
      </c>
      <c r="F57" s="308"/>
      <c r="G57" s="2730"/>
      <c r="H57" s="2734"/>
      <c r="I57" s="1944"/>
      <c r="J57" s="3370">
        <f>IF(AND(J55="",J56=""),4,IF(项目基本情况!K6="上海银行",结果表!J56+1,结果表!J55+1))</f>
        <v>5</v>
      </c>
      <c r="K57" s="3370" t="s">
        <v>1812</v>
      </c>
      <c r="L57" s="2705" t="s">
        <v>1813</v>
      </c>
      <c r="M57" s="2706"/>
      <c r="N57" s="2707">
        <f ca="1">SUMIF(M52:M56,"&lt;9e307")</f>
        <v>16608</v>
      </c>
      <c r="O57" s="2708"/>
      <c r="P57" s="2868">
        <f ca="1">N57/M49</f>
        <v>0.5760266370699223</v>
      </c>
    </row>
    <row r="58" spans="1:35" ht="24.75">
      <c r="A58" s="2508" t="s">
        <v>1797</v>
      </c>
      <c r="B58" s="3394" t="s">
        <v>1814</v>
      </c>
      <c r="C58" s="3393"/>
      <c r="D58" s="2497">
        <f ca="1">IF(H58="转让取得",C81,C97)</f>
        <v>16319</v>
      </c>
      <c r="E58" s="2507" t="s">
        <v>1809</v>
      </c>
      <c r="F58" s="308" t="s">
        <v>34</v>
      </c>
      <c r="G58" s="2730"/>
      <c r="H58" s="2733"/>
      <c r="I58" s="1944"/>
      <c r="J58" s="3370"/>
      <c r="K58" s="3370"/>
      <c r="L58" s="2705" t="s">
        <v>1815</v>
      </c>
      <c r="M58" s="2709"/>
      <c r="N58" s="2710" t="str">
        <f ca="1">NUMBERSTRING(INT(N57*10000),2)&amp;"元整"</f>
        <v>壹亿陆仟陆佰零捌万元整</v>
      </c>
      <c r="O58" s="2711"/>
    </row>
    <row r="59" spans="1:35" ht="24.75" thickBot="1">
      <c r="A59" s="3374" t="s">
        <v>1816</v>
      </c>
      <c r="B59" s="3375"/>
      <c r="C59" s="3375"/>
      <c r="D59" s="2735">
        <f ca="1">IF(H59="非个人房产","——",IF(H59="个人住宅（满五唯一有凭证）",0,IF(H59="个人其他（无凭证）",ROUND(D45*F59,0),ROUND(C67*F59,0))))</f>
        <v>275</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72">
        <f>J57+1</f>
        <v>6</v>
      </c>
      <c r="K59" s="3370" t="s">
        <v>1817</v>
      </c>
      <c r="L59" s="2698" t="s">
        <v>1813</v>
      </c>
      <c r="M59" s="2712"/>
      <c r="N59" s="2713">
        <f ca="1">M49-N57</f>
        <v>12224</v>
      </c>
      <c r="O59" s="2714"/>
    </row>
    <row r="60" spans="1:35" ht="12" customHeight="1">
      <c r="A60" s="1945"/>
      <c r="B60" s="1883"/>
      <c r="C60" s="1883"/>
      <c r="D60" s="1883"/>
      <c r="E60" s="1713"/>
      <c r="F60" s="1944"/>
      <c r="G60" s="1944"/>
      <c r="H60" s="1946"/>
      <c r="I60" s="134"/>
      <c r="J60" s="3373"/>
      <c r="K60" s="3370"/>
      <c r="L60" s="2705" t="s">
        <v>1815</v>
      </c>
      <c r="M60" s="2709"/>
      <c r="N60" s="2710" t="str">
        <f ca="1">NUMBERSTRING(INT(N59*10000),2)&amp;"元整"</f>
        <v>壹亿贰仟贰佰贰拾肆万元整</v>
      </c>
      <c r="O60" s="2711"/>
    </row>
    <row r="61" spans="1:35" ht="13.5" thickBot="1">
      <c r="A61" s="3432" t="s">
        <v>1818</v>
      </c>
      <c r="B61" s="3432"/>
      <c r="C61" s="3432"/>
      <c r="D61" s="3432"/>
      <c r="E61" s="3432"/>
      <c r="F61" s="1944"/>
      <c r="G61" s="1944"/>
      <c r="H61" s="1946"/>
      <c r="I61" s="134"/>
      <c r="J61" s="2698">
        <f>J59+1</f>
        <v>7</v>
      </c>
      <c r="K61" s="3370" t="s">
        <v>1819</v>
      </c>
      <c r="L61" s="3370"/>
      <c r="M61" s="2715"/>
      <c r="N61" s="2716">
        <f ca="1">ROUND(N59*10000/'数据-汇总表'!E3,0)</f>
        <v>6350</v>
      </c>
      <c r="O61" s="2717"/>
    </row>
    <row r="62" spans="1:35" ht="12.75">
      <c r="A62" s="3389" t="s">
        <v>1820</v>
      </c>
      <c r="B62" s="3390"/>
      <c r="C62" s="2159"/>
      <c r="D62" s="2159" t="s">
        <v>1821</v>
      </c>
      <c r="E62" s="171" t="s">
        <v>1822</v>
      </c>
      <c r="F62" s="1944"/>
      <c r="G62" s="1944"/>
      <c r="H62" s="1946"/>
      <c r="I62" s="134"/>
    </row>
    <row r="63" spans="1:35" ht="12.75">
      <c r="A63" s="178" t="s">
        <v>594</v>
      </c>
      <c r="B63" s="172" t="s">
        <v>1823</v>
      </c>
      <c r="C63" s="2739">
        <f ca="1">ROUND((C64+C65)/(1+'数据-取费表'!C42),0)</f>
        <v>27459</v>
      </c>
      <c r="D63" s="172"/>
      <c r="E63" s="173"/>
      <c r="F63" s="1944"/>
      <c r="G63" s="1944"/>
      <c r="H63" s="1946"/>
      <c r="I63" s="134"/>
      <c r="J63" s="3353" t="s">
        <v>1824</v>
      </c>
      <c r="K63" s="1452" t="s">
        <v>1825</v>
      </c>
      <c r="L63" s="1452">
        <f ca="1">IF(M49&gt;10000,M49*0.5%,IF(AND(M49&gt;1000,M49&lt;=10000),M49*1%,IF(AND(M49&gt;100,M49&lt;=1000),M49*3%,IF(AND(M49&gt;10,M49&lt;=100),M49*5%,M49*8%))))</f>
        <v>144.16</v>
      </c>
      <c r="M63" s="308">
        <f ca="1">ROUND(L63,1)</f>
        <v>144.19999999999999</v>
      </c>
      <c r="N63" s="2718"/>
      <c r="Z63" s="1888"/>
      <c r="AI63" s="1889"/>
    </row>
    <row r="64" spans="1:35" ht="14.25" customHeight="1">
      <c r="A64" s="174" t="s">
        <v>589</v>
      </c>
      <c r="B64" s="175" t="s">
        <v>1826</v>
      </c>
      <c r="C64" s="2740">
        <f ca="1">D45</f>
        <v>28832</v>
      </c>
      <c r="D64" s="175" t="s">
        <v>32</v>
      </c>
      <c r="E64" s="177"/>
      <c r="F64" s="1944"/>
      <c r="G64" s="1944"/>
      <c r="H64" s="1946"/>
      <c r="I64" s="134"/>
      <c r="J64" s="3353"/>
      <c r="K64" s="1452" t="s">
        <v>1827</v>
      </c>
      <c r="L64" s="1452">
        <f ca="1">IF(M49&gt;2000,M49*0.5%,IF(AND(M49&gt;1000,M49&lt;=2000),M49*0.6%,IF(AND(M49&gt;500,M49&lt;=1000),M49*0.7%,IF(AND(M49&gt;200,M49&lt;=500),M49*0.8%,IF(AND(M49&gt;100,M49&lt;=200),M49*0.9%,IF(AND(M49&gt;50,M49&lt;=100),M49*1%,IF(AND(M49&gt;20,M49&lt;=50),M49*1.5%,IF(AND(M49&gt;10,M49&lt;=20),M49*2%,IF(AND(M49&gt;1,M49&lt;=10),M49*2.5%)))))))))</f>
        <v>144.16</v>
      </c>
      <c r="M64" s="308">
        <f t="shared" ref="M64:M65" ca="1" si="1">ROUND(L64,1)</f>
        <v>144.19999999999999</v>
      </c>
      <c r="N64" s="2719" t="s">
        <v>1828</v>
      </c>
      <c r="Z64" s="1888"/>
      <c r="AI64" s="1889"/>
    </row>
    <row r="65" spans="1:35" ht="14.25" customHeight="1">
      <c r="A65" s="174" t="s">
        <v>590</v>
      </c>
      <c r="B65" s="175" t="s">
        <v>1829</v>
      </c>
      <c r="C65" s="2741"/>
      <c r="D65" s="175"/>
      <c r="E65" s="177"/>
      <c r="F65" s="1944"/>
      <c r="G65" s="1944"/>
      <c r="H65" s="1946"/>
      <c r="I65" s="134"/>
      <c r="J65" s="3353"/>
      <c r="K65" s="1452" t="s">
        <v>1830</v>
      </c>
      <c r="L65" s="1452">
        <f ca="1">IF(M49&gt;1000,M49*0.1%,IF(AND(M49&gt;500,M49&lt;=1000),M49*0.5%,IF(AND(M49&gt;50,M49&lt;=500),M49*1%,IF(AND(M49&gt;1,M49&lt;=50),M49*1.5%))))</f>
        <v>28.832000000000001</v>
      </c>
      <c r="M65" s="308">
        <f t="shared" ca="1" si="1"/>
        <v>28.8</v>
      </c>
      <c r="N65" s="2719" t="s">
        <v>1828</v>
      </c>
      <c r="Z65" s="1888"/>
      <c r="AI65" s="1889"/>
    </row>
    <row r="66" spans="1:35" ht="14.25" customHeight="1">
      <c r="A66" s="178" t="s">
        <v>591</v>
      </c>
      <c r="B66" s="179" t="s">
        <v>1831</v>
      </c>
      <c r="C66" s="2742"/>
      <c r="D66" s="179" t="s">
        <v>32</v>
      </c>
      <c r="E66" s="1459" t="s">
        <v>1096</v>
      </c>
      <c r="F66" s="1944"/>
      <c r="G66" s="1944"/>
      <c r="H66" s="1946"/>
      <c r="I66" s="134"/>
      <c r="J66" s="3353"/>
      <c r="K66" s="1452" t="s">
        <v>1832</v>
      </c>
      <c r="L66" s="1452">
        <f ca="1">M49*0.5%</f>
        <v>144.16</v>
      </c>
      <c r="M66" s="308">
        <f ca="1">IF(L66&gt;0.5,0.5,ROUND(L66,0))</f>
        <v>0.5</v>
      </c>
      <c r="N66" s="2719" t="s">
        <v>1833</v>
      </c>
      <c r="Z66" s="1888"/>
      <c r="AI66" s="1889"/>
    </row>
    <row r="67" spans="1:35" ht="14.25" customHeight="1">
      <c r="A67" s="178" t="s">
        <v>592</v>
      </c>
      <c r="B67" s="179" t="s">
        <v>1834</v>
      </c>
      <c r="C67" s="2743">
        <f ca="1">C63-C66</f>
        <v>27459</v>
      </c>
      <c r="D67" s="175" t="s">
        <v>32</v>
      </c>
      <c r="E67" s="177"/>
      <c r="F67" s="1944"/>
      <c r="G67" s="1944"/>
      <c r="H67" s="1946"/>
      <c r="I67" s="134"/>
      <c r="J67" s="3353"/>
      <c r="K67" s="1452" t="s">
        <v>1835</v>
      </c>
      <c r="L67" s="1452">
        <f ca="1">IF(M49&gt;=10000,(8.25+(M49-10000)*0.01%),IF(AND(M49&gt;=8000,M49&lt;10000),(7.85+(M49-8000)*0.02%),IF(AND(M49&gt;=5000,M49&lt;8000),(6.65+(M49-5000)*0.04%),IF(AND(M49&gt;=2000,M49&lt;5000),(4.25+(PM49-2000)*0.08%),IF(AND(M49&gt;=1000,M49&lt;2000),(2.75+(M49-1000)*0.15%),IF(AND(M49&gt;=100,M49&lt;1000),(0.5+(M49-100)*0.25%),IF(AND(M49&gt;0,M49&lt;100),M49*0.5%)))))))</f>
        <v>10.1332</v>
      </c>
      <c r="M67" s="308">
        <f ca="1">ROUND(L67*0.9,1)</f>
        <v>9.1</v>
      </c>
      <c r="N67" s="2718"/>
      <c r="Z67" s="1888"/>
      <c r="AI67" s="1889"/>
    </row>
    <row r="68" spans="1:35" ht="14.25" customHeight="1" thickBot="1">
      <c r="A68" s="181" t="s">
        <v>593</v>
      </c>
      <c r="B68" s="182" t="s">
        <v>1836</v>
      </c>
      <c r="C68" s="2744">
        <f ca="1">IF(C67&lt;=0,0,ROUND(C67*D68,0))</f>
        <v>1538</v>
      </c>
      <c r="D68" s="2745">
        <f>'数据-取费表'!B41</f>
        <v>5.6000000000000001E-2</v>
      </c>
      <c r="E68" s="184"/>
      <c r="F68" s="1944"/>
      <c r="G68" s="1944"/>
      <c r="H68" s="1946"/>
      <c r="I68" s="134"/>
      <c r="J68" s="3353"/>
      <c r="K68" s="1452" t="s">
        <v>1837</v>
      </c>
      <c r="L68" s="1452">
        <f ca="1">IF(M49&gt;10000,M49*0.5%,IF(AND(M49&gt;5000,M49&lt;=10000),M49*1%,IF(AND(M49&gt;1000,M49&lt;=5000),M49*2%,IF(AND(M49&gt;200,M49&lt;=1000),M49*3%,M49*5%))))</f>
        <v>144.16</v>
      </c>
      <c r="M68" s="308">
        <f ca="1">ROUND(L68,1)</f>
        <v>144.19999999999999</v>
      </c>
      <c r="N68" s="2718"/>
      <c r="Z68" s="1888"/>
      <c r="AI68" s="1889"/>
    </row>
    <row r="69" spans="1:35" s="1908" customFormat="1" ht="16.5" customHeight="1">
      <c r="A69" s="1947"/>
      <c r="B69" s="1948"/>
      <c r="C69" s="1949"/>
      <c r="D69" s="1950"/>
      <c r="E69" s="1951"/>
      <c r="F69" s="1713"/>
      <c r="G69" s="1713"/>
      <c r="H69" s="1712"/>
      <c r="I69" s="1883"/>
      <c r="J69" s="3353"/>
      <c r="K69" s="1452" t="s">
        <v>1838</v>
      </c>
      <c r="L69" s="1452"/>
      <c r="M69" s="308">
        <f ca="1">ROUND(SUM(M63:M68),0)</f>
        <v>471</v>
      </c>
      <c r="N69" s="2720">
        <f ca="1">M69/M49</f>
        <v>1.6336015538290789E-2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7" t="s">
        <v>1839</v>
      </c>
      <c r="B70" s="3398"/>
      <c r="C70" s="3398"/>
      <c r="D70" s="3398"/>
      <c r="E70" s="3398"/>
      <c r="F70" s="3398"/>
      <c r="G70" s="3398"/>
      <c r="H70" s="3398"/>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9" t="s">
        <v>1820</v>
      </c>
      <c r="B71" s="3390"/>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27459</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165</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94" t="s">
        <v>1847</v>
      </c>
      <c r="F76" s="3393"/>
      <c r="G76" s="3393"/>
      <c r="H76" s="339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165</v>
      </c>
      <c r="D78" s="2752">
        <f>'数据-取费表'!B43</f>
        <v>6.000000000000001E-3</v>
      </c>
      <c r="E78" s="3386" t="s">
        <v>1851</v>
      </c>
      <c r="F78" s="3387"/>
      <c r="G78" s="3387"/>
      <c r="H78" s="338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27294</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165.41818181818181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16319</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7" t="s">
        <v>1855</v>
      </c>
      <c r="B83" s="3398"/>
      <c r="C83" s="3398"/>
      <c r="D83" s="3398"/>
      <c r="E83" s="3398"/>
      <c r="F83" s="3398"/>
      <c r="G83" s="3398"/>
      <c r="H83" s="339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9" t="s">
        <v>1820</v>
      </c>
      <c r="B84" s="3390"/>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27459</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165</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55" t="s">
        <v>2629</v>
      </c>
      <c r="H90" s="3356"/>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86" t="s">
        <v>1864</v>
      </c>
      <c r="F91" s="3387"/>
      <c r="G91" s="338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86" t="s">
        <v>1867</v>
      </c>
      <c r="F92" s="3387"/>
      <c r="G92" s="3387"/>
      <c r="H92" s="3388"/>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165</v>
      </c>
      <c r="D93" s="2752">
        <f>'数据-取费表'!B43</f>
        <v>6.000000000000001E-3</v>
      </c>
      <c r="E93" s="3386" t="s">
        <v>1851</v>
      </c>
      <c r="F93" s="3387"/>
      <c r="G93" s="3387"/>
      <c r="H93" s="338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34" t="s">
        <v>1871</v>
      </c>
      <c r="F94" s="3435"/>
      <c r="G94" s="3435"/>
      <c r="H94" s="343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27294</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165.41818181818181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16319</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6" t="s">
        <v>1873</v>
      </c>
      <c r="B100" s="3337"/>
      <c r="C100" s="3337"/>
      <c r="D100" s="3371"/>
      <c r="E100" s="3337" t="s">
        <v>1874</v>
      </c>
      <c r="F100" s="3337"/>
      <c r="G100" s="3337"/>
      <c r="H100" s="3371"/>
      <c r="I100" s="134"/>
    </row>
    <row r="101" spans="1:35" ht="18.75" customHeight="1">
      <c r="A101" s="3379" t="s">
        <v>1875</v>
      </c>
      <c r="B101" s="3380"/>
      <c r="C101" s="2760" t="str">
        <f>C4</f>
        <v>典型户型修正</v>
      </c>
      <c r="D101" s="2761" t="str">
        <f>D4</f>
        <v>收益法</v>
      </c>
      <c r="E101" s="3349" t="s">
        <v>1876</v>
      </c>
      <c r="F101" s="3350"/>
      <c r="G101" s="1963" t="s">
        <v>1877</v>
      </c>
      <c r="H101" s="2770">
        <f ca="1">H118</f>
        <v>28832</v>
      </c>
      <c r="I101" s="134"/>
    </row>
    <row r="102" spans="1:35" ht="18.75" customHeight="1">
      <c r="A102" s="3381" t="s">
        <v>1878</v>
      </c>
      <c r="B102" s="2759" t="s">
        <v>1877</v>
      </c>
      <c r="C102" s="2760">
        <f ca="1">C19</f>
        <v>33262</v>
      </c>
      <c r="D102" s="2761">
        <f ca="1">D19</f>
        <v>22186</v>
      </c>
      <c r="E102" s="3349"/>
      <c r="F102" s="3350"/>
      <c r="G102" s="1963" t="s">
        <v>1879</v>
      </c>
      <c r="H102" s="2730">
        <f ca="1">I118</f>
        <v>14976</v>
      </c>
      <c r="I102" s="134"/>
    </row>
    <row r="103" spans="1:35" ht="42.75" customHeight="1">
      <c r="A103" s="3381"/>
      <c r="B103" s="2759" t="s">
        <v>1879</v>
      </c>
      <c r="C103" s="2762">
        <f ca="1">C20</f>
        <v>17277</v>
      </c>
      <c r="D103" s="2763">
        <f ca="1">D20</f>
        <v>11524</v>
      </c>
      <c r="E103" s="3342" t="s">
        <v>1880</v>
      </c>
      <c r="F103" s="3343"/>
      <c r="G103" s="1964" t="s">
        <v>1881</v>
      </c>
      <c r="H103" s="2770">
        <f>IF(D36="正常操作",H104+H105+H106,H105+H106)</f>
        <v>0</v>
      </c>
      <c r="I103" s="134"/>
    </row>
    <row r="104" spans="1:35" ht="18.75" customHeight="1">
      <c r="A104" s="3381" t="s">
        <v>1882</v>
      </c>
      <c r="B104" s="2764" t="s">
        <v>1877</v>
      </c>
      <c r="C104" s="2765">
        <f ca="1">H118</f>
        <v>28832</v>
      </c>
      <c r="D104" s="2766"/>
      <c r="E104" s="1810" t="s">
        <v>1883</v>
      </c>
      <c r="F104" s="1801"/>
      <c r="G104" s="1964" t="s">
        <v>1881</v>
      </c>
      <c r="H104" s="2771">
        <f>IF(D36="同一抵押权人同一抵押物续贷",C36&amp;"（续贷，未扣减，详见特别提示）",C36)</f>
        <v>0</v>
      </c>
      <c r="I104" s="134"/>
    </row>
    <row r="105" spans="1:35" ht="18.75" customHeight="1" thickBot="1">
      <c r="A105" s="3391"/>
      <c r="B105" s="2767" t="s">
        <v>1879</v>
      </c>
      <c r="C105" s="2768">
        <f ca="1">I118</f>
        <v>14976</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82" t="str">
        <f>IF(项目基本情况!E8="已注销","——","3.房地产抵押价值")</f>
        <v>3.房地产抵押价值</v>
      </c>
      <c r="F107" s="3350"/>
      <c r="G107" s="1963" t="s">
        <v>1877</v>
      </c>
      <c r="H107" s="2770">
        <f ca="1">IF(E107="——","——",H101-H103)</f>
        <v>28832</v>
      </c>
      <c r="I107" s="134"/>
    </row>
    <row r="108" spans="1:35" ht="18.75" customHeight="1">
      <c r="A108" s="134"/>
      <c r="B108" s="134"/>
      <c r="C108" s="134"/>
      <c r="D108" s="134"/>
      <c r="E108" s="3382"/>
      <c r="F108" s="3350"/>
      <c r="G108" s="1963" t="s">
        <v>1879</v>
      </c>
      <c r="H108" s="2730">
        <f ca="1">ROUND(H107*10000/'数据-汇总表'!E3,0)</f>
        <v>14976</v>
      </c>
      <c r="I108" s="134"/>
    </row>
    <row r="109" spans="1:35" ht="18.75" customHeight="1">
      <c r="A109" s="134"/>
      <c r="B109" s="134"/>
      <c r="C109" s="134"/>
      <c r="D109" s="134"/>
      <c r="E109" s="3382" t="str">
        <f>IF(项目基本情况!E8="已注销及未注销","4.抵押担保权已注销时的房地产抵押价值",IF(项目基本情况!E8="已注销","3.抵押担保权已注销时的房地产抵押价值","——"))</f>
        <v>——</v>
      </c>
      <c r="F109" s="3350"/>
      <c r="G109" s="1963" t="s">
        <v>1877</v>
      </c>
      <c r="H109" s="2773" t="str">
        <f>IF(E109="——","——",H101-H105-H106)</f>
        <v>——</v>
      </c>
      <c r="I109" s="134"/>
    </row>
    <row r="110" spans="1:35" ht="18.75" customHeight="1">
      <c r="A110" s="134"/>
      <c r="B110" s="134"/>
      <c r="C110" s="134"/>
      <c r="D110" s="134"/>
      <c r="E110" s="3382"/>
      <c r="F110" s="3350"/>
      <c r="G110" s="1963" t="s">
        <v>1879</v>
      </c>
      <c r="H110" s="2730"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v>
      </c>
      <c r="F111" s="3369"/>
      <c r="G111" s="1963" t="s">
        <v>1877</v>
      </c>
      <c r="H111" s="2770" t="str">
        <f>IF(E111="——","——",N59)</f>
        <v>——</v>
      </c>
      <c r="I111" s="134"/>
    </row>
    <row r="112" spans="1:35" ht="18.75" customHeight="1" thickBot="1">
      <c r="A112" s="134"/>
      <c r="B112" s="134"/>
      <c r="C112" s="134"/>
      <c r="D112" s="134"/>
      <c r="E112" s="3384"/>
      <c r="F112" s="3385"/>
      <c r="G112" s="1966" t="s">
        <v>1879</v>
      </c>
      <c r="H112" s="2774" t="str">
        <f>IF(E111="——","——",N61)</f>
        <v>——</v>
      </c>
      <c r="I112" s="134"/>
    </row>
    <row r="113" spans="1:27" ht="18.75" customHeight="1">
      <c r="A113" s="134"/>
      <c r="B113" s="134"/>
      <c r="C113" s="134"/>
      <c r="D113" s="134"/>
      <c r="E113" s="3392" t="s">
        <v>1885</v>
      </c>
      <c r="F113" s="3392"/>
      <c r="G113" s="3392"/>
      <c r="H113" s="3392"/>
      <c r="I113" s="134"/>
    </row>
    <row r="114" spans="1:27" ht="3.75" customHeight="1">
      <c r="A114" s="1883"/>
      <c r="B114" s="1883"/>
      <c r="C114" s="1883"/>
      <c r="D114" s="1883"/>
      <c r="E114" s="1945"/>
      <c r="F114" s="1945"/>
      <c r="G114" s="1945"/>
      <c r="H114" s="1945"/>
      <c r="I114" s="1883"/>
    </row>
    <row r="115" spans="1:27" ht="18.75" customHeight="1">
      <c r="A115" s="3403" t="s">
        <v>1887</v>
      </c>
      <c r="B115" s="3404"/>
      <c r="C115" s="3404"/>
      <c r="D115" s="3404"/>
      <c r="E115" s="3404"/>
      <c r="F115" s="3404"/>
      <c r="G115" s="3404"/>
      <c r="H115" s="3404"/>
      <c r="I115" s="3405"/>
    </row>
    <row r="116" spans="1:27" ht="27" customHeight="1">
      <c r="A116" s="3357" t="s">
        <v>1888</v>
      </c>
      <c r="B116" s="3361" t="s">
        <v>1889</v>
      </c>
      <c r="C116" s="3361" t="s">
        <v>1890</v>
      </c>
      <c r="D116" s="3367" t="s">
        <v>1891</v>
      </c>
      <c r="E116" s="3368"/>
      <c r="F116" s="3399" t="s">
        <v>1892</v>
      </c>
      <c r="G116" s="3399"/>
      <c r="H116" s="3357" t="s">
        <v>1893</v>
      </c>
      <c r="I116" s="3357"/>
    </row>
    <row r="117" spans="1:27" ht="18.75" customHeight="1">
      <c r="A117" s="3357"/>
      <c r="B117" s="3362"/>
      <c r="C117" s="3362"/>
      <c r="D117" s="2502" t="s">
        <v>1894</v>
      </c>
      <c r="E117" s="2502" t="s">
        <v>1895</v>
      </c>
      <c r="F117" s="2502" t="s">
        <v>1894</v>
      </c>
      <c r="G117" s="2502" t="s">
        <v>1896</v>
      </c>
      <c r="H117" s="2502" t="s">
        <v>1894</v>
      </c>
      <c r="I117" s="2502" t="s">
        <v>1896</v>
      </c>
    </row>
    <row r="118" spans="1:27" ht="24.75" customHeight="1">
      <c r="A118" s="2775" t="str">
        <f>项目基本情况!S2</f>
        <v>房地产</v>
      </c>
      <c r="B118" s="2502">
        <f>M18</f>
        <v>19251.75</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28832</v>
      </c>
      <c r="I118" s="2502">
        <f ca="1">ROUND(IF(D32="楼面单价",C32,H118*10000/B118),0)</f>
        <v>14976</v>
      </c>
    </row>
    <row r="119" spans="1:27" ht="18.75" customHeight="1">
      <c r="A119" s="3357" t="s">
        <v>1897</v>
      </c>
      <c r="B119" s="3357"/>
      <c r="C119" s="3357"/>
      <c r="D119" s="3363" t="e">
        <f ca="1">NUMBERSTRING(INT(D118*10000),2)&amp;"元整"</f>
        <v>#REF!</v>
      </c>
      <c r="E119" s="3364"/>
      <c r="F119" s="3363" t="e">
        <f ca="1">NUMBERSTRING(INT(F118*10000),2)&amp;"元整"</f>
        <v>#REF!</v>
      </c>
      <c r="G119" s="3364"/>
      <c r="H119" s="3363" t="str">
        <f ca="1">NUMBERSTRING(INT(H118*10000),2)&amp;"元整"</f>
        <v>贰亿捌仟捌佰叁拾贰万元整</v>
      </c>
      <c r="I119" s="3364"/>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0" t="s">
        <v>1897</v>
      </c>
      <c r="B121" s="3401"/>
      <c r="C121" s="3402"/>
      <c r="D121" s="3363" t="str">
        <f>IF(D120=0,"零元整",NUMBERSTRING(INT(D120*10000),2)&amp;"元整")</f>
        <v>零元整</v>
      </c>
      <c r="E121" s="3365"/>
      <c r="F121" s="3365"/>
      <c r="G121" s="3365"/>
      <c r="H121" s="3365"/>
      <c r="I121" s="3364"/>
      <c r="AA121" s="733"/>
    </row>
    <row r="122" spans="1:27" ht="18.75" customHeight="1">
      <c r="A122" s="3369" t="str">
        <f>IF(项目基本情况!B9="房地产市场价值","",MID(E107,3,LEN(E107)-2))</f>
        <v>房地产抵押价值</v>
      </c>
      <c r="B122" s="3369"/>
      <c r="C122" s="3369"/>
      <c r="D122" s="3358">
        <f ca="1">H107</f>
        <v>28832</v>
      </c>
      <c r="E122" s="3359"/>
      <c r="F122" s="3359"/>
      <c r="G122" s="3359"/>
      <c r="H122" s="3359"/>
      <c r="I122" s="3360"/>
      <c r="AA122" s="733"/>
    </row>
    <row r="123" spans="1:27" ht="18.75" customHeight="1">
      <c r="A123" s="3357" t="s">
        <v>1897</v>
      </c>
      <c r="B123" s="3357"/>
      <c r="C123" s="3357"/>
      <c r="D123" s="3363" t="str">
        <f ca="1">NUMBERSTRING(INT(D122*10000),2)&amp;"元整"</f>
        <v>贰亿捌仟捌佰叁拾贰万元整</v>
      </c>
      <c r="E123" s="3365"/>
      <c r="F123" s="3365"/>
      <c r="G123" s="3365"/>
      <c r="H123" s="3365"/>
      <c r="I123" s="3364"/>
      <c r="AA123" s="733"/>
    </row>
    <row r="124" spans="1:27" ht="18.75" customHeight="1">
      <c r="A124" s="3369" t="str">
        <f>IF(项目基本情况!B9="房地产市场价值","",MID(E109,3,LEN(E109)-2))</f>
        <v/>
      </c>
      <c r="B124" s="3369"/>
      <c r="C124" s="3369"/>
      <c r="D124" s="3358" t="str">
        <f>H109</f>
        <v>——</v>
      </c>
      <c r="E124" s="3359"/>
      <c r="F124" s="3359"/>
      <c r="G124" s="3359"/>
      <c r="H124" s="3359"/>
      <c r="I124" s="3360"/>
      <c r="AA124" s="733"/>
    </row>
    <row r="125" spans="1:27" ht="18.75" customHeight="1">
      <c r="A125" s="3357" t="s">
        <v>1897</v>
      </c>
      <c r="B125" s="3357"/>
      <c r="C125" s="3357"/>
      <c r="D125" s="3363" t="e">
        <f>NUMBERSTRING(INT(D124*10000),2)&amp;"元整"</f>
        <v>#VALUE!</v>
      </c>
      <c r="E125" s="3365"/>
      <c r="F125" s="3365"/>
      <c r="G125" s="3365"/>
      <c r="H125" s="3365"/>
      <c r="I125" s="3364"/>
      <c r="AA125" s="733"/>
    </row>
    <row r="126" spans="1:27" ht="18.75" customHeight="1">
      <c r="A126" s="3369" t="str">
        <f>IF(项目基本情况!B9="房地产市场价值","",MID(E111,3,LEN(E111)-2))</f>
        <v/>
      </c>
      <c r="B126" s="3369"/>
      <c r="C126" s="3369"/>
      <c r="D126" s="3358" t="str">
        <f>H111</f>
        <v>——</v>
      </c>
      <c r="E126" s="3359"/>
      <c r="F126" s="3359"/>
      <c r="G126" s="3359"/>
      <c r="H126" s="3359"/>
      <c r="I126" s="3360"/>
      <c r="AA126" s="733"/>
    </row>
    <row r="127" spans="1:27" ht="18.75" customHeight="1">
      <c r="A127" s="3357" t="s">
        <v>1897</v>
      </c>
      <c r="B127" s="3357"/>
      <c r="C127" s="3357"/>
      <c r="D127" s="3363" t="e">
        <f>NUMBERSTRING(INT(D126*10000),2)&amp;"元整"</f>
        <v>#VALUE!</v>
      </c>
      <c r="E127" s="3365"/>
      <c r="F127" s="3365"/>
      <c r="G127" s="3365"/>
      <c r="H127" s="3365"/>
      <c r="I127" s="3364"/>
      <c r="AA127" s="733"/>
    </row>
    <row r="128" spans="1:27" ht="21.75" customHeight="1">
      <c r="A128" s="3366" t="s">
        <v>1898</v>
      </c>
      <c r="B128" s="3366"/>
      <c r="C128" s="3366"/>
      <c r="D128" s="3366"/>
      <c r="E128" s="3366"/>
      <c r="F128" s="3366"/>
      <c r="G128" s="3366"/>
      <c r="H128" s="3366"/>
      <c r="I128" s="3366"/>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7448</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3869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290</v>
      </c>
      <c r="F9" s="227"/>
      <c r="G9" s="1993"/>
      <c r="H9" s="1251"/>
      <c r="I9" s="1994" t="s">
        <v>1924</v>
      </c>
    </row>
    <row r="10" spans="1:9" s="220" customFormat="1" ht="13.5" customHeight="1">
      <c r="A10" s="867" t="s">
        <v>620</v>
      </c>
      <c r="B10" s="230" t="s">
        <v>1925</v>
      </c>
      <c r="C10" s="231">
        <f ca="1">ROUND(D10*E10/10000,0)</f>
        <v>558</v>
      </c>
      <c r="D10" s="934">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385</v>
      </c>
      <c r="D19" s="938">
        <f ca="1">D9+D10</f>
        <v>19251.75</v>
      </c>
      <c r="E19" s="217">
        <f>'数据-取费表'!B31</f>
        <v>200</v>
      </c>
      <c r="F19" s="237"/>
      <c r="G19" s="1992"/>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16</v>
      </c>
      <c r="D24" s="244"/>
      <c r="E24" s="244"/>
      <c r="F24" s="245"/>
      <c r="G24" s="246" t="s">
        <v>1952</v>
      </c>
    </row>
    <row r="25" spans="1:7" s="220" customFormat="1" ht="24">
      <c r="A25" s="868" t="s">
        <v>1953</v>
      </c>
      <c r="B25" s="221" t="s">
        <v>1954</v>
      </c>
      <c r="C25" s="1217">
        <f ca="1">ROUND(IF('数据-取费表'!B22&lt;=1,C20*F22*'数据-取费表'!B23/2,C20*(POWER((1+F22),'数据-取费表'!B23/2)-1)),0)</f>
        <v>0</v>
      </c>
      <c r="D25" s="244"/>
      <c r="E25" s="247"/>
      <c r="F25" s="245"/>
      <c r="G25" s="248" t="s">
        <v>1955</v>
      </c>
    </row>
    <row r="26" spans="1:7" s="220" customFormat="1">
      <c r="A26" s="868"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ROUND((C5+C19+C20)*F27*'数据-取费表'!B21/'数据-取费表'!B20,0)</f>
        <v>79</v>
      </c>
      <c r="D28" s="241"/>
      <c r="E28" s="242"/>
      <c r="F28" s="252"/>
      <c r="G28" s="253"/>
    </row>
    <row r="29" spans="1:7" s="220" customFormat="1" ht="13.5" customHeight="1">
      <c r="A29" s="868"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8" t="s">
        <v>615</v>
      </c>
      <c r="B35" s="221" t="s">
        <v>1972</v>
      </c>
      <c r="C35" s="226">
        <f ca="1">ROUND(C34*F35,0)</f>
        <v>173</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8" t="s">
        <v>617</v>
      </c>
      <c r="B37" s="221" t="s">
        <v>1976</v>
      </c>
      <c r="C37" s="255">
        <f ca="1">ROUND(E37*D37*F34/10000,0)</f>
        <v>289</v>
      </c>
      <c r="D37" s="223">
        <f ca="1">D19</f>
        <v>19251.75</v>
      </c>
      <c r="E37" s="255">
        <f>'数据-取费表'!B35</f>
        <v>150</v>
      </c>
      <c r="F37" s="265"/>
      <c r="G37" s="267" t="s">
        <v>1977</v>
      </c>
    </row>
    <row r="38" spans="1:7" ht="13.5" customHeight="1">
      <c r="A38" s="868"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136</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133</v>
      </c>
      <c r="D42" s="244"/>
      <c r="E42" s="244"/>
      <c r="F42" s="245"/>
      <c r="G42" s="3439" t="s">
        <v>1989</v>
      </c>
    </row>
    <row r="43" spans="1:7" ht="13.5" customHeight="1">
      <c r="A43" s="868" t="s">
        <v>611</v>
      </c>
      <c r="B43" s="221" t="s">
        <v>1990</v>
      </c>
      <c r="C43" s="244">
        <f ca="1">ROUND(IF('数据-取费表'!B22&lt;=1,C39*F22*'数据-取费表'!B21/2,C39*(POWER((1+F22),'数据-取费表'!B21/2)-1)),0)</f>
        <v>3</v>
      </c>
      <c r="D43" s="244"/>
      <c r="E43" s="244"/>
      <c r="F43" s="245"/>
      <c r="G43" s="3440"/>
    </row>
    <row r="44" spans="1:7" ht="13.5" customHeight="1">
      <c r="A44" s="868" t="s">
        <v>612</v>
      </c>
      <c r="B44" s="221" t="s">
        <v>1991</v>
      </c>
      <c r="C44" s="244">
        <f ca="1">ROUND(IF('数据-取费表'!B22&lt;=1,C40*F22*'数据-取费表'!B21/2,C40*(POWER((1+F22),'数据-取费表'!B21/2)-1)),4)</f>
        <v>4.0000000000000002E-4</v>
      </c>
      <c r="D44" s="244"/>
      <c r="E44" s="244"/>
      <c r="F44" s="245"/>
      <c r="G44" s="3441"/>
    </row>
    <row r="45" spans="1:7" s="220" customFormat="1" ht="13.5" customHeight="1">
      <c r="A45" s="261" t="s">
        <v>1992</v>
      </c>
      <c r="B45" s="250" t="s">
        <v>1958</v>
      </c>
      <c r="C45" s="251">
        <f ca="1">C46</f>
        <v>1290</v>
      </c>
      <c r="D45" s="241">
        <f ca="1">C47</f>
        <v>4.0000000000000001E-3</v>
      </c>
      <c r="E45" s="242" t="s">
        <v>1984</v>
      </c>
      <c r="F45" s="2487">
        <f ca="1">F27</f>
        <v>0.2</v>
      </c>
      <c r="G45" s="253" t="s">
        <v>1993</v>
      </c>
    </row>
    <row r="46" spans="1:7" s="220" customFormat="1" ht="13.5" customHeight="1">
      <c r="A46" s="868" t="s">
        <v>610</v>
      </c>
      <c r="B46" s="254" t="s">
        <v>1994</v>
      </c>
      <c r="C46" s="255">
        <f ca="1">ROUND((C33+C39)*F27,0)</f>
        <v>1290</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6919</v>
      </c>
      <c r="D51" s="238"/>
      <c r="E51" s="238"/>
      <c r="F51" s="270"/>
      <c r="G51" s="240" t="s">
        <v>2005</v>
      </c>
    </row>
    <row r="52" spans="1:7" s="214" customFormat="1" ht="16.5" thickBot="1">
      <c r="A52" s="271" t="s">
        <v>2006</v>
      </c>
      <c r="B52" s="272"/>
      <c r="C52" s="273">
        <f ca="1">C31+C51</f>
        <v>7448</v>
      </c>
      <c r="D52" s="272"/>
      <c r="E52" s="272"/>
      <c r="F52" s="272"/>
      <c r="G52" s="274"/>
    </row>
    <row r="55" spans="1:7" ht="15">
      <c r="B55" s="276" t="s">
        <v>2007</v>
      </c>
      <c r="C55" s="277"/>
    </row>
    <row r="56" spans="1:7">
      <c r="B56" s="279" t="s">
        <v>1237</v>
      </c>
      <c r="C56" s="281">
        <f ca="1">1-C57</f>
        <v>7.0999999999999952E-2</v>
      </c>
    </row>
    <row r="57" spans="1:7">
      <c r="B57" s="279" t="s">
        <v>1238</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0" t="str">
        <f>项目基本情况!B1</f>
        <v>房地产抵押价值预评估</v>
      </c>
      <c r="C37" s="3250"/>
      <c r="D37" s="3250"/>
      <c r="E37" s="3250"/>
      <c r="F37" s="3250"/>
      <c r="G37" s="3250"/>
      <c r="H37" s="3250"/>
      <c r="I37" s="3250"/>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8213</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4266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5583008</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290</v>
      </c>
      <c r="F9" s="227"/>
      <c r="G9" s="232"/>
    </row>
    <row r="10" spans="1:8" s="220" customFormat="1" ht="13.5" customHeight="1">
      <c r="A10" s="867" t="s">
        <v>620</v>
      </c>
      <c r="B10" s="230" t="s">
        <v>1925</v>
      </c>
      <c r="C10" s="231">
        <f ca="1">ROUND(D10*E10,0)</f>
        <v>5583008</v>
      </c>
      <c r="D10" s="934">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3850350</v>
      </c>
      <c r="D19" s="938">
        <f ca="1">D9+D10</f>
        <v>19251.75</v>
      </c>
      <c r="E19" s="217">
        <f>'数据-取费表'!B31</f>
        <v>200</v>
      </c>
      <c r="F19" s="237"/>
      <c r="G19" s="1992"/>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234486</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161715</v>
      </c>
      <c r="D24" s="244"/>
      <c r="E24" s="244"/>
      <c r="F24" s="245"/>
      <c r="G24" s="246" t="s">
        <v>2031</v>
      </c>
    </row>
    <row r="25" spans="1:7" s="220" customFormat="1" ht="24">
      <c r="A25" s="868" t="s">
        <v>1921</v>
      </c>
      <c r="B25" s="221" t="s">
        <v>2032</v>
      </c>
      <c r="C25" s="1242">
        <f ca="1">ROUND(IF('数据-取费表'!B22&lt;=1,C20*F22*'数据-取费表'!B22/2,C20*(POWER((1+F22),'数据-取费表'!B22/2)-1)),0)</f>
        <v>3962</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ROUND((C5+C19+C20)*F27,0)</f>
        <v>1924405</v>
      </c>
      <c r="D28" s="241"/>
      <c r="E28" s="242"/>
      <c r="F28" s="252"/>
      <c r="G28" s="253"/>
    </row>
    <row r="29" spans="1:7" s="220" customFormat="1" ht="13.5" customHeight="1">
      <c r="A29" s="868"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8" t="s">
        <v>615</v>
      </c>
      <c r="B35" s="221" t="s">
        <v>1972</v>
      </c>
      <c r="C35" s="226">
        <f ca="1">ROUND(C34*F35,0)</f>
        <v>1732658</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8" t="s">
        <v>617</v>
      </c>
      <c r="B37" s="221" t="s">
        <v>1976</v>
      </c>
      <c r="C37" s="255">
        <f ca="1">ROUND(E37*D37,0)</f>
        <v>2887763</v>
      </c>
      <c r="D37" s="223">
        <f ca="1">D19</f>
        <v>19251.75</v>
      </c>
      <c r="E37" s="255">
        <f>'数据-取费表'!B35</f>
        <v>150</v>
      </c>
      <c r="F37" s="265"/>
      <c r="G37" s="267"/>
    </row>
    <row r="38" spans="1:7" ht="13.5" customHeight="1">
      <c r="A38" s="868"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1354644</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1328082</v>
      </c>
      <c r="D42" s="244"/>
      <c r="E42" s="244"/>
      <c r="F42" s="245"/>
      <c r="G42" s="3439" t="s">
        <v>2036</v>
      </c>
    </row>
    <row r="43" spans="1:7" ht="13.5" customHeight="1">
      <c r="A43" s="868" t="s">
        <v>611</v>
      </c>
      <c r="B43" s="221" t="s">
        <v>1990</v>
      </c>
      <c r="C43" s="244">
        <f ca="1">ROUND(IF('数据-取费表'!B22&lt;=1,C39*F22*'数据-取费表'!B20/2,C39*(POWER((1+F22),'数据-取费表'!B20/2)-1)),0)</f>
        <v>26562</v>
      </c>
      <c r="D43" s="244"/>
      <c r="E43" s="244"/>
      <c r="F43" s="245"/>
      <c r="G43" s="3440"/>
    </row>
    <row r="44" spans="1:7" ht="13.5" customHeight="1">
      <c r="A44" s="868" t="s">
        <v>612</v>
      </c>
      <c r="B44" s="221" t="s">
        <v>1991</v>
      </c>
      <c r="C44" s="244">
        <f ca="1">ROUND(IF('数据-取费表'!B22&lt;=1,C40*F22*'数据-取费表'!B20/2,C40*(POWER((1+F22),'数据-取费表'!B20/2)-1)),4)</f>
        <v>4.0000000000000002E-4</v>
      </c>
      <c r="D44" s="244"/>
      <c r="E44" s="244"/>
      <c r="F44" s="245"/>
      <c r="G44" s="3441"/>
    </row>
    <row r="45" spans="1:7" s="220" customFormat="1" ht="13.5" customHeight="1">
      <c r="A45" s="261" t="s">
        <v>1992</v>
      </c>
      <c r="B45" s="250" t="s">
        <v>1958</v>
      </c>
      <c r="C45" s="251">
        <f ca="1">C46</f>
        <v>12901368</v>
      </c>
      <c r="D45" s="241">
        <f ca="1">C47</f>
        <v>4.0000000000000001E-3</v>
      </c>
      <c r="E45" s="242" t="s">
        <v>1984</v>
      </c>
      <c r="F45" s="2487">
        <f ca="1">F27</f>
        <v>0.2</v>
      </c>
      <c r="G45" s="253" t="s">
        <v>1993</v>
      </c>
    </row>
    <row r="46" spans="1:7" s="220" customFormat="1" ht="13.5" customHeight="1">
      <c r="A46" s="868" t="s">
        <v>610</v>
      </c>
      <c r="B46" s="254" t="s">
        <v>1994</v>
      </c>
      <c r="C46" s="255">
        <f ca="1">ROUND((C33+C39)*F27,0)</f>
        <v>12901368</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69172623</v>
      </c>
      <c r="D51" s="238"/>
      <c r="E51" s="238"/>
      <c r="F51" s="270"/>
      <c r="G51" s="240" t="s">
        <v>2005</v>
      </c>
    </row>
    <row r="52" spans="1:7" s="214" customFormat="1" ht="16.5" thickBot="1">
      <c r="A52" s="271" t="s">
        <v>2006</v>
      </c>
      <c r="B52" s="272"/>
      <c r="C52" s="273">
        <f ca="1">C31+C51</f>
        <v>82125668</v>
      </c>
      <c r="D52" s="272"/>
      <c r="E52" s="272"/>
      <c r="F52" s="272"/>
      <c r="G52" s="274"/>
    </row>
    <row r="55" spans="1:7" ht="15">
      <c r="B55" s="276" t="s">
        <v>2007</v>
      </c>
      <c r="C55" s="277"/>
    </row>
    <row r="56" spans="1:7">
      <c r="B56" s="279" t="s">
        <v>1237</v>
      </c>
      <c r="C56" s="281">
        <f ca="1">1-C57</f>
        <v>0.15800000000000003</v>
      </c>
    </row>
    <row r="57" spans="1:7">
      <c r="B57" s="279" t="s">
        <v>1238</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-664</v>
      </c>
      <c r="C2" s="282" t="s">
        <v>2040</v>
      </c>
      <c r="D2" s="282"/>
      <c r="E2" s="2986"/>
      <c r="F2" s="2986"/>
      <c r="G2" s="2986"/>
      <c r="H2" s="2986"/>
      <c r="I2" s="2986"/>
      <c r="J2" s="2986"/>
      <c r="K2" s="2986"/>
    </row>
    <row r="3" spans="1:33" ht="18" customHeight="1" thickBot="1">
      <c r="A3" s="209" t="s">
        <v>1909</v>
      </c>
      <c r="B3" s="210">
        <f ca="1">ROUND(B2*10000/IF(C1="",'数据-汇总表'!E3,INDIRECT("'数据-取费表'!K"&amp;$K$1)),0)</f>
        <v>-345</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19251.75</v>
      </c>
      <c r="E14" s="24">
        <f>'数据-取费表'!B35</f>
        <v>150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19251.75</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558</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290</v>
      </c>
      <c r="F19" s="893"/>
      <c r="G19" s="15"/>
      <c r="H19" s="1303"/>
      <c r="I19" s="898"/>
      <c r="J19" s="898"/>
      <c r="K19" s="899"/>
    </row>
    <row r="20" spans="1:33" s="892" customFormat="1" ht="13.5" customHeight="1">
      <c r="A20" s="888" t="s">
        <v>625</v>
      </c>
      <c r="B20" s="889" t="s">
        <v>2075</v>
      </c>
      <c r="C20" s="24">
        <f ca="1">ROUND(D20*E20/10000,0)</f>
        <v>558</v>
      </c>
      <c r="D20" s="935">
        <f ca="1">IF(C1="",'数据-汇总表'!E6,IF(INDIRECT("'数据-取费表'!c"&amp;$K$1)="住宅",INDIRECT("'数据-取费表'!s"&amp;$K$1),INDIRECT("'数据-取费表'!k"&amp;$K$1)+INDIRECT("'数据-取费表'!s"&amp;$K$1)))</f>
        <v>19251.75</v>
      </c>
      <c r="E20" s="24">
        <f>'数据-取费表'!B28</f>
        <v>290</v>
      </c>
      <c r="F20" s="893"/>
      <c r="G20" s="15"/>
      <c r="H20" s="898"/>
      <c r="I20" s="898"/>
      <c r="J20" s="898"/>
      <c r="K20" s="899"/>
    </row>
    <row r="21" spans="1:33" s="892" customFormat="1" ht="13.5" customHeight="1">
      <c r="A21" s="878" t="s">
        <v>621</v>
      </c>
      <c r="B21" s="902" t="s">
        <v>2076</v>
      </c>
      <c r="C21" s="903">
        <f ca="1">C16+C17+C18</f>
        <v>558</v>
      </c>
      <c r="D21" s="904"/>
      <c r="E21" s="287"/>
      <c r="F21" s="287"/>
      <c r="G21" s="136" t="s">
        <v>2077</v>
      </c>
      <c r="H21" s="896"/>
      <c r="I21" s="896"/>
      <c r="J21" s="896"/>
      <c r="K21" s="897"/>
    </row>
    <row r="22" spans="1:33" s="892" customFormat="1" ht="13.5" customHeight="1">
      <c r="A22" s="878" t="s">
        <v>2049</v>
      </c>
      <c r="B22" s="902" t="s">
        <v>2078</v>
      </c>
      <c r="C22" s="903">
        <f ca="1">ROUND(C21*F22,0)</f>
        <v>11</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114</v>
      </c>
      <c r="D28" s="286">
        <f ca="1">C29</f>
        <v>0</v>
      </c>
      <c r="E28" s="288" t="s">
        <v>15</v>
      </c>
      <c r="F28" s="294">
        <f ca="1">IF(C1="",'数据-取费表'!Q16,INDIRECT("'数据-取费表'!q"&amp;$K$1))</f>
        <v>0.2</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114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-664</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2" t="s">
        <v>1127</v>
      </c>
      <c r="C6" s="1186">
        <f ca="1">ROUND(F6*F8*F7*(1-F9),0)</f>
        <v>0</v>
      </c>
      <c r="D6" s="160" t="s">
        <v>2605</v>
      </c>
      <c r="E6" s="308" t="s">
        <v>1129</v>
      </c>
      <c r="F6" s="309">
        <f ca="1">INDIRECT("'数据-取费表'!u"&amp;$G$1)</f>
        <v>0</v>
      </c>
      <c r="G6" s="1518"/>
      <c r="H6" s="1181" t="s">
        <v>822</v>
      </c>
      <c r="I6" s="3442" t="s">
        <v>1127</v>
      </c>
      <c r="J6" s="307">
        <f ca="1">ROUND(M6*M8*M7*(1-M9),0)</f>
        <v>0</v>
      </c>
      <c r="K6" s="1510" t="s">
        <v>2606</v>
      </c>
      <c r="L6" s="308" t="s">
        <v>1129</v>
      </c>
      <c r="M6" s="309">
        <f ca="1">INDIRECT("'数据-取费表'!z"&amp;$G$1)</f>
        <v>0</v>
      </c>
    </row>
    <row r="7" spans="1:37" ht="18" customHeight="1">
      <c r="A7" s="1185"/>
      <c r="B7" s="3443"/>
      <c r="C7" s="1187"/>
      <c r="D7" s="313"/>
      <c r="E7" s="1188" t="s">
        <v>1130</v>
      </c>
      <c r="F7" s="309">
        <f ca="1">IF(INDIRECT("'数据-取费表'!ah"&amp;$G$1)="",INDIRECT("'数据-取费表'!k"&amp;$G$1),INDIRECT("'数据-取费表'!ah"&amp;$G$1))</f>
        <v>0</v>
      </c>
      <c r="G7" s="1518"/>
      <c r="H7" s="310"/>
      <c r="I7" s="3443"/>
      <c r="J7" s="312"/>
      <c r="K7" s="313"/>
      <c r="L7" s="308" t="s">
        <v>1130</v>
      </c>
      <c r="M7" s="309">
        <f ca="1">F7</f>
        <v>0</v>
      </c>
    </row>
    <row r="8" spans="1:37" ht="18" customHeight="1">
      <c r="A8" s="310"/>
      <c r="B8" s="3443"/>
      <c r="C8" s="312"/>
      <c r="D8" s="313"/>
      <c r="E8" s="308" t="s">
        <v>1131</v>
      </c>
      <c r="F8" s="309">
        <f ca="1">INDIRECT("'数据-取费表'!ai"&amp;$G$1)</f>
        <v>0</v>
      </c>
      <c r="G8" s="1518"/>
      <c r="H8" s="310"/>
      <c r="I8" s="3443"/>
      <c r="J8" s="312"/>
      <c r="K8" s="313"/>
      <c r="L8" s="308" t="s">
        <v>1131</v>
      </c>
      <c r="M8" s="309">
        <f ca="1">INDIRECT("'数据-取费表'!ai"&amp;$G$1)</f>
        <v>0</v>
      </c>
    </row>
    <row r="9" spans="1:37" ht="18" customHeight="1">
      <c r="A9" s="310"/>
      <c r="B9" s="3444"/>
      <c r="C9" s="312"/>
      <c r="D9" s="313"/>
      <c r="E9" s="308" t="s">
        <v>1132</v>
      </c>
      <c r="F9" s="318">
        <f ca="1">INDIRECT("'数据-取费表'!w"&amp;$G$1)</f>
        <v>0</v>
      </c>
      <c r="G9" s="1518"/>
      <c r="H9" s="310"/>
      <c r="I9" s="344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150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45" t="s">
        <v>1272</v>
      </c>
      <c r="L53" s="3446"/>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20</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47" t="s">
        <v>2821</v>
      </c>
      <c r="K2" s="3448"/>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49" t="s">
        <v>2831</v>
      </c>
      <c r="K3" s="3450"/>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49" t="s">
        <v>2833</v>
      </c>
      <c r="K4" s="3450"/>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51" t="s">
        <v>2837</v>
      </c>
      <c r="B6" s="3452"/>
      <c r="C6" s="3453"/>
      <c r="D6" s="3050"/>
      <c r="E6" s="3051"/>
      <c r="F6" s="3052"/>
      <c r="G6" s="3053"/>
      <c r="H6" s="3028"/>
      <c r="I6" s="3029"/>
      <c r="J6" s="3454">
        <v>1</v>
      </c>
      <c r="K6" s="3455"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54"/>
      <c r="K7" s="3456"/>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58" t="s">
        <v>2851</v>
      </c>
      <c r="C8" s="3459"/>
      <c r="D8" s="3069" t="s">
        <v>2852</v>
      </c>
      <c r="E8" s="3070" t="s">
        <v>2853</v>
      </c>
      <c r="F8" s="3071" t="s">
        <v>2854</v>
      </c>
      <c r="G8" s="3072"/>
      <c r="H8" s="3028"/>
      <c r="I8" s="3029"/>
      <c r="J8" s="3454"/>
      <c r="K8" s="3456"/>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58" t="s">
        <v>2857</v>
      </c>
      <c r="C9" s="3459"/>
      <c r="D9" s="3069">
        <f>ROUND(D6*E9,0)</f>
        <v>0</v>
      </c>
      <c r="E9" s="3073"/>
      <c r="F9" s="3074" t="s">
        <v>2858</v>
      </c>
      <c r="G9" s="3053"/>
      <c r="H9" s="3028"/>
      <c r="I9" s="3029"/>
      <c r="J9" s="3454"/>
      <c r="K9" s="3456"/>
      <c r="L9" s="3063" t="s">
        <v>2859</v>
      </c>
      <c r="M9" s="3064"/>
      <c r="N9" s="3040"/>
      <c r="O9" s="3065"/>
      <c r="P9" s="3065"/>
      <c r="Q9" s="3066">
        <v>365</v>
      </c>
      <c r="R9" s="3067">
        <f t="shared" si="0"/>
        <v>0</v>
      </c>
      <c r="S9" s="3021"/>
      <c r="T9" s="3021"/>
      <c r="U9" s="3021"/>
      <c r="V9" s="3029"/>
    </row>
    <row r="10" spans="1:22" s="3033" customFormat="1" ht="13.15" customHeight="1">
      <c r="A10" s="3068">
        <v>2</v>
      </c>
      <c r="B10" s="3458" t="s">
        <v>2860</v>
      </c>
      <c r="C10" s="3459"/>
      <c r="D10" s="3069">
        <f>ROUND(D6*E10,0)</f>
        <v>0</v>
      </c>
      <c r="E10" s="3073"/>
      <c r="F10" s="3074" t="s">
        <v>2861</v>
      </c>
      <c r="G10" s="3053"/>
      <c r="H10" s="3028"/>
      <c r="I10" s="3029"/>
      <c r="J10" s="3454"/>
      <c r="K10" s="3456"/>
      <c r="L10" s="3063" t="s">
        <v>2862</v>
      </c>
      <c r="M10" s="3064"/>
      <c r="N10" s="3040"/>
      <c r="O10" s="3065"/>
      <c r="P10" s="3065"/>
      <c r="Q10" s="3066">
        <v>365</v>
      </c>
      <c r="R10" s="3067">
        <f t="shared" si="0"/>
        <v>0</v>
      </c>
      <c r="S10" s="3021"/>
      <c r="T10" s="3021"/>
      <c r="U10" s="3021"/>
      <c r="V10" s="3029"/>
    </row>
    <row r="11" spans="1:22" s="3033" customFormat="1" ht="13.15" customHeight="1">
      <c r="A11" s="3068">
        <v>3</v>
      </c>
      <c r="B11" s="3458" t="s">
        <v>2863</v>
      </c>
      <c r="C11" s="3459"/>
      <c r="D11" s="3069">
        <f>D12+D14+D15+D16</f>
        <v>0</v>
      </c>
      <c r="E11" s="3075" t="e">
        <f>D11/D6</f>
        <v>#DIV/0!</v>
      </c>
      <c r="F11" s="3071"/>
      <c r="G11" s="3072"/>
      <c r="H11" s="3028"/>
      <c r="I11" s="3029"/>
      <c r="J11" s="3454"/>
      <c r="K11" s="3456"/>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60" t="s">
        <v>2866</v>
      </c>
      <c r="C12" s="3461"/>
      <c r="D12" s="3077">
        <f>ROUND(D13*1.2%*(1-30%),0)</f>
        <v>0</v>
      </c>
      <c r="E12" s="3078">
        <v>1.2E-2</v>
      </c>
      <c r="F12" s="3071" t="s">
        <v>2867</v>
      </c>
      <c r="G12" s="3072"/>
      <c r="H12" s="3028"/>
      <c r="I12" s="3029"/>
      <c r="J12" s="3454"/>
      <c r="K12" s="3456"/>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54"/>
      <c r="K13" s="3456"/>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60" t="s">
        <v>2872</v>
      </c>
      <c r="C14" s="3461"/>
      <c r="D14" s="3077">
        <f>ROUND(E14*B5/10000,0)</f>
        <v>0</v>
      </c>
      <c r="E14" s="3066"/>
      <c r="F14" s="3071" t="s">
        <v>2873</v>
      </c>
      <c r="G14" s="3072"/>
      <c r="H14" s="3028"/>
      <c r="I14" s="3029"/>
      <c r="J14" s="3454"/>
      <c r="K14" s="3457"/>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60" t="s">
        <v>2876</v>
      </c>
      <c r="C15" s="3461"/>
      <c r="D15" s="3077">
        <f>ROUND(D6*E15,0)</f>
        <v>0</v>
      </c>
      <c r="E15" s="3078">
        <v>5.5E-2</v>
      </c>
      <c r="F15" s="3071" t="s">
        <v>2877</v>
      </c>
      <c r="G15" s="3053"/>
      <c r="H15" s="3028"/>
      <c r="I15" s="3029"/>
      <c r="J15" s="3454">
        <v>2</v>
      </c>
      <c r="K15" s="3455"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60" t="s">
        <v>2885</v>
      </c>
      <c r="C16" s="3461"/>
      <c r="D16" s="3088">
        <f>D6*E16</f>
        <v>0</v>
      </c>
      <c r="E16" s="3089"/>
      <c r="F16" s="3074" t="s">
        <v>2886</v>
      </c>
      <c r="G16" s="3053"/>
      <c r="H16" s="3028"/>
      <c r="I16" s="3029"/>
      <c r="J16" s="3454"/>
      <c r="K16" s="3456"/>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62" t="s">
        <v>2888</v>
      </c>
      <c r="C17" s="3463"/>
      <c r="D17" s="3091">
        <f>ROUND(D6*E17,0)</f>
        <v>0</v>
      </c>
      <c r="E17" s="3092"/>
      <c r="F17" s="3093" t="s">
        <v>2889</v>
      </c>
      <c r="G17" s="3053"/>
      <c r="H17" s="3028"/>
      <c r="I17" s="3029"/>
      <c r="J17" s="3454"/>
      <c r="K17" s="3456"/>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54"/>
      <c r="K18" s="3456"/>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54"/>
      <c r="K19" s="3457"/>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4">
        <v>3</v>
      </c>
      <c r="K20" s="3455"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54"/>
      <c r="K21" s="3456"/>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54"/>
      <c r="K22" s="3456"/>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54"/>
      <c r="K23" s="3456"/>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54"/>
      <c r="K24" s="3457"/>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64">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65"/>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47" t="s">
        <v>2821</v>
      </c>
      <c r="K32" s="3448"/>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49" t="s">
        <v>2831</v>
      </c>
      <c r="K33" s="3450"/>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49" t="s">
        <v>2833</v>
      </c>
      <c r="K34" s="3450"/>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54">
        <v>1</v>
      </c>
      <c r="K36" s="3455"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54"/>
      <c r="K37" s="3456"/>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4"/>
      <c r="K38" s="3456"/>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54"/>
      <c r="K39" s="3456"/>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54"/>
      <c r="K40" s="3457"/>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4">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65"/>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22186</v>
      </c>
      <c r="C2" s="2008" t="s">
        <v>2099</v>
      </c>
      <c r="D2" s="2009" t="s">
        <v>2100</v>
      </c>
      <c r="E2" s="2782">
        <f>SUM(E6:E13)</f>
        <v>19251.75</v>
      </c>
      <c r="F2" s="2885"/>
      <c r="G2" s="1624"/>
      <c r="H2" s="1624"/>
      <c r="I2" s="1624"/>
      <c r="J2" s="1624"/>
      <c r="K2" s="1624"/>
      <c r="L2" s="1624"/>
      <c r="M2" s="1624"/>
      <c r="N2" s="1624"/>
      <c r="O2" s="1624"/>
      <c r="P2" s="1624"/>
      <c r="Q2" s="1624"/>
      <c r="R2" s="1624"/>
      <c r="S2" s="1624"/>
    </row>
    <row r="3" spans="1:22" ht="15.75">
      <c r="A3" s="2006" t="s">
        <v>1119</v>
      </c>
      <c r="B3" s="2776">
        <f ca="1">ROUND(B2*10000/E2,0)</f>
        <v>11524</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66" t="s">
        <v>2102</v>
      </c>
      <c r="C5" s="3467"/>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22186</v>
      </c>
      <c r="C6" s="2008" t="s">
        <v>2099</v>
      </c>
      <c r="D6" s="2887"/>
      <c r="E6" s="2781">
        <f>IF(OR(A6=0,F6="否"),0,'数据-取费表'!K6+'数据-取费表'!S6)</f>
        <v>19251.75</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19251.75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86" t="s">
        <v>2116</v>
      </c>
      <c r="D4" s="3487"/>
      <c r="E4" s="3488" t="s">
        <v>2117</v>
      </c>
      <c r="F4" s="3489"/>
      <c r="G4" s="3486" t="s">
        <v>2118</v>
      </c>
      <c r="H4" s="3487"/>
      <c r="I4" s="3486" t="s">
        <v>2119</v>
      </c>
      <c r="J4" s="3487"/>
      <c r="K4" s="2025" t="s">
        <v>2120</v>
      </c>
      <c r="L4" s="2893"/>
      <c r="M4" s="2894"/>
      <c r="N4" s="2894"/>
      <c r="O4" s="2894"/>
      <c r="P4" s="3490" t="s">
        <v>2121</v>
      </c>
      <c r="Q4" s="3491"/>
      <c r="R4" s="3473" t="s">
        <v>2117</v>
      </c>
      <c r="S4" s="3474"/>
      <c r="T4" s="3473" t="s">
        <v>2118</v>
      </c>
      <c r="U4" s="3474"/>
      <c r="V4" s="3498" t="s">
        <v>2119</v>
      </c>
      <c r="W4" s="3498"/>
      <c r="X4" s="1489"/>
      <c r="Y4" s="3473" t="s">
        <v>2121</v>
      </c>
      <c r="Z4" s="3474"/>
      <c r="AA4" s="3468" t="s">
        <v>2117</v>
      </c>
      <c r="AB4" s="3468" t="s">
        <v>2118</v>
      </c>
      <c r="AC4" s="3468" t="s">
        <v>2119</v>
      </c>
    </row>
    <row r="5" spans="1:29" ht="15">
      <c r="A5" s="364"/>
      <c r="B5" s="365"/>
      <c r="C5" s="3479" t="s">
        <v>2122</v>
      </c>
      <c r="D5" s="3480"/>
      <c r="E5" s="3477" t="s">
        <v>2123</v>
      </c>
      <c r="F5" s="3478"/>
      <c r="G5" s="3479" t="s">
        <v>2124</v>
      </c>
      <c r="H5" s="3480"/>
      <c r="I5" s="3479" t="s">
        <v>2125</v>
      </c>
      <c r="J5" s="3480"/>
      <c r="K5" s="2026"/>
      <c r="L5" s="2893"/>
      <c r="M5" s="2894"/>
      <c r="N5" s="2894"/>
      <c r="O5" s="2894"/>
      <c r="P5" s="3492"/>
      <c r="Q5" s="3493"/>
      <c r="R5" s="3475"/>
      <c r="S5" s="3476"/>
      <c r="T5" s="3475"/>
      <c r="U5" s="3476"/>
      <c r="V5" s="3498"/>
      <c r="W5" s="3498"/>
      <c r="X5" s="1489"/>
      <c r="Y5" s="3475"/>
      <c r="Z5" s="3476"/>
      <c r="AA5" s="3469"/>
      <c r="AB5" s="3469"/>
      <c r="AC5" s="3469"/>
    </row>
    <row r="6" spans="1:29" ht="15.75" thickBot="1">
      <c r="A6" s="366"/>
      <c r="B6" s="367"/>
      <c r="C6" s="3481" t="s">
        <v>2126</v>
      </c>
      <c r="D6" s="3482"/>
      <c r="E6" s="3483" t="s">
        <v>2126</v>
      </c>
      <c r="F6" s="3484"/>
      <c r="G6" s="3481" t="s">
        <v>2126</v>
      </c>
      <c r="H6" s="3482"/>
      <c r="I6" s="3481" t="s">
        <v>2126</v>
      </c>
      <c r="J6" s="3482"/>
      <c r="K6" s="2026" t="s">
        <v>2127</v>
      </c>
      <c r="L6" s="2893"/>
      <c r="M6" s="2894"/>
      <c r="N6" s="2894"/>
      <c r="O6" s="2894"/>
      <c r="P6" s="3494"/>
      <c r="Q6" s="3495"/>
      <c r="R6" s="3475"/>
      <c r="S6" s="3476"/>
      <c r="T6" s="3496"/>
      <c r="U6" s="3497"/>
      <c r="V6" s="3498"/>
      <c r="W6" s="3498"/>
      <c r="X6" s="1489"/>
      <c r="Y6" s="3496"/>
      <c r="Z6" s="3497"/>
      <c r="AA6" s="3470"/>
      <c r="AB6" s="3470"/>
      <c r="AC6" s="3470"/>
    </row>
    <row r="7" spans="1:29" s="113" customFormat="1" ht="15.75" thickBot="1">
      <c r="A7" s="368" t="s">
        <v>2128</v>
      </c>
      <c r="B7" s="369"/>
      <c r="C7" s="370">
        <f>'数据-取费表'!B2</f>
        <v>44767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71" t="s">
        <v>2129</v>
      </c>
      <c r="Q7" s="3499"/>
      <c r="R7" s="709" t="s">
        <v>23</v>
      </c>
      <c r="S7" s="710">
        <f t="shared" ref="S7:S15" si="0">F7</f>
        <v>0</v>
      </c>
      <c r="T7" s="709" t="s">
        <v>23</v>
      </c>
      <c r="U7" s="710">
        <f t="shared" ref="U7:U15" si="1">H7</f>
        <v>0</v>
      </c>
      <c r="V7" s="709" t="s">
        <v>23</v>
      </c>
      <c r="W7" s="710">
        <f t="shared" ref="W7:W15" si="2">J7</f>
        <v>0</v>
      </c>
      <c r="X7" s="711"/>
      <c r="Y7" s="3471" t="s">
        <v>2129</v>
      </c>
      <c r="Z7" s="3472"/>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71" t="s">
        <v>2132</v>
      </c>
      <c r="Q8" s="3472"/>
      <c r="R8" s="709" t="s">
        <v>23</v>
      </c>
      <c r="S8" s="710">
        <f t="shared" si="0"/>
        <v>0</v>
      </c>
      <c r="T8" s="709" t="s">
        <v>23</v>
      </c>
      <c r="U8" s="710">
        <f t="shared" si="1"/>
        <v>0</v>
      </c>
      <c r="V8" s="709" t="s">
        <v>23</v>
      </c>
      <c r="W8" s="710">
        <f t="shared" si="2"/>
        <v>0</v>
      </c>
      <c r="X8" s="711"/>
      <c r="Y8" s="3471" t="s">
        <v>2132</v>
      </c>
      <c r="Z8" s="3472"/>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5" t="s">
        <v>2135</v>
      </c>
      <c r="Q9" s="1477" t="str">
        <f t="shared" ref="Q9:Q15" si="6">B9</f>
        <v>用途</v>
      </c>
      <c r="R9" s="709" t="s">
        <v>17</v>
      </c>
      <c r="S9" s="710">
        <f t="shared" si="0"/>
        <v>100</v>
      </c>
      <c r="T9" s="709" t="s">
        <v>17</v>
      </c>
      <c r="U9" s="710">
        <f t="shared" si="1"/>
        <v>100</v>
      </c>
      <c r="V9" s="709" t="s">
        <v>17</v>
      </c>
      <c r="W9" s="710">
        <f t="shared" si="2"/>
        <v>100</v>
      </c>
      <c r="X9" s="711"/>
      <c r="Y9" s="3415"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5"/>
      <c r="Q10" s="1477" t="str">
        <f t="shared" si="6"/>
        <v>土地使用年限（年）</v>
      </c>
      <c r="R10" s="709" t="s">
        <v>17</v>
      </c>
      <c r="S10" s="710">
        <f t="shared" si="0"/>
        <v>100</v>
      </c>
      <c r="T10" s="709" t="s">
        <v>17</v>
      </c>
      <c r="U10" s="710">
        <f t="shared" si="1"/>
        <v>100</v>
      </c>
      <c r="V10" s="709" t="s">
        <v>17</v>
      </c>
      <c r="W10" s="710">
        <f t="shared" si="2"/>
        <v>100</v>
      </c>
      <c r="X10" s="711"/>
      <c r="Y10" s="3415"/>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5"/>
      <c r="Q11" s="1477" t="str">
        <f t="shared" si="6"/>
        <v>容积率</v>
      </c>
      <c r="R11" s="709" t="s">
        <v>21</v>
      </c>
      <c r="S11" s="710" t="e">
        <f t="shared" si="0"/>
        <v>#N/A</v>
      </c>
      <c r="T11" s="709" t="s">
        <v>21</v>
      </c>
      <c r="U11" s="710" t="e">
        <f t="shared" si="1"/>
        <v>#N/A</v>
      </c>
      <c r="V11" s="709" t="s">
        <v>21</v>
      </c>
      <c r="W11" s="710" t="e">
        <f t="shared" si="2"/>
        <v>#N/A</v>
      </c>
      <c r="X11" s="711"/>
      <c r="Y11" s="3415"/>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5"/>
      <c r="Q12" s="1477">
        <f t="shared" si="6"/>
        <v>111</v>
      </c>
      <c r="R12" s="709" t="s">
        <v>21</v>
      </c>
      <c r="S12" s="710">
        <f t="shared" si="0"/>
        <v>100</v>
      </c>
      <c r="T12" s="709" t="s">
        <v>21</v>
      </c>
      <c r="U12" s="710">
        <f t="shared" si="1"/>
        <v>100</v>
      </c>
      <c r="V12" s="709" t="s">
        <v>21</v>
      </c>
      <c r="W12" s="710">
        <f t="shared" si="2"/>
        <v>100</v>
      </c>
      <c r="X12" s="711"/>
      <c r="Y12" s="3415"/>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5"/>
      <c r="Q13" s="1477">
        <f t="shared" si="6"/>
        <v>111</v>
      </c>
      <c r="R13" s="709" t="s">
        <v>21</v>
      </c>
      <c r="S13" s="710">
        <f t="shared" si="0"/>
        <v>100</v>
      </c>
      <c r="T13" s="709" t="s">
        <v>21</v>
      </c>
      <c r="U13" s="710">
        <f t="shared" si="1"/>
        <v>100</v>
      </c>
      <c r="V13" s="709" t="s">
        <v>21</v>
      </c>
      <c r="W13" s="710">
        <f t="shared" si="2"/>
        <v>100</v>
      </c>
      <c r="X13" s="711"/>
      <c r="Y13" s="3415"/>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5"/>
      <c r="Q14" s="1477">
        <f t="shared" si="6"/>
        <v>111</v>
      </c>
      <c r="R14" s="709" t="s">
        <v>21</v>
      </c>
      <c r="S14" s="710">
        <f t="shared" si="0"/>
        <v>100</v>
      </c>
      <c r="T14" s="709" t="s">
        <v>21</v>
      </c>
      <c r="U14" s="710">
        <f t="shared" si="1"/>
        <v>100</v>
      </c>
      <c r="V14" s="709" t="s">
        <v>21</v>
      </c>
      <c r="W14" s="710">
        <f t="shared" si="2"/>
        <v>100</v>
      </c>
      <c r="X14" s="711"/>
      <c r="Y14" s="3415"/>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12" t="s">
        <v>2140</v>
      </c>
      <c r="Q15" s="1486" t="str">
        <f t="shared" si="6"/>
        <v>居住社区成熟度</v>
      </c>
      <c r="R15" s="713" t="s">
        <v>21</v>
      </c>
      <c r="S15" s="714">
        <f t="shared" si="0"/>
        <v>100</v>
      </c>
      <c r="T15" s="713" t="s">
        <v>21</v>
      </c>
      <c r="U15" s="714">
        <f t="shared" si="1"/>
        <v>100</v>
      </c>
      <c r="V15" s="713" t="s">
        <v>21</v>
      </c>
      <c r="W15" s="714">
        <f t="shared" si="2"/>
        <v>100</v>
      </c>
      <c r="X15" s="1489"/>
      <c r="Y15" s="3505"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13"/>
      <c r="Q16" s="1486"/>
      <c r="R16" s="713"/>
      <c r="S16" s="714"/>
      <c r="T16" s="713"/>
      <c r="U16" s="714"/>
      <c r="V16" s="713"/>
      <c r="W16" s="714"/>
      <c r="X16" s="1489"/>
      <c r="Y16" s="3506"/>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13"/>
      <c r="Q17" s="1486" t="str">
        <f>B17</f>
        <v>交通便捷度</v>
      </c>
      <c r="R17" s="713" t="s">
        <v>21</v>
      </c>
      <c r="S17" s="714">
        <f>F17</f>
        <v>100</v>
      </c>
      <c r="T17" s="713" t="s">
        <v>21</v>
      </c>
      <c r="U17" s="714">
        <f>H17</f>
        <v>100</v>
      </c>
      <c r="V17" s="713" t="s">
        <v>21</v>
      </c>
      <c r="W17" s="714">
        <f>J17</f>
        <v>100</v>
      </c>
      <c r="X17" s="1489"/>
      <c r="Y17" s="3506"/>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13"/>
      <c r="Q18" s="1486"/>
      <c r="R18" s="713"/>
      <c r="S18" s="714"/>
      <c r="T18" s="713"/>
      <c r="U18" s="714"/>
      <c r="V18" s="713"/>
      <c r="W18" s="714"/>
      <c r="X18" s="1489"/>
      <c r="Y18" s="3506"/>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13"/>
      <c r="Q19" s="1486" t="str">
        <f>B19</f>
        <v>公共配套设施</v>
      </c>
      <c r="R19" s="713" t="s">
        <v>21</v>
      </c>
      <c r="S19" s="714">
        <f>F19</f>
        <v>100</v>
      </c>
      <c r="T19" s="713" t="s">
        <v>21</v>
      </c>
      <c r="U19" s="714">
        <f>H19</f>
        <v>100</v>
      </c>
      <c r="V19" s="713" t="s">
        <v>21</v>
      </c>
      <c r="W19" s="714">
        <f>J19</f>
        <v>100</v>
      </c>
      <c r="X19" s="1489"/>
      <c r="Y19" s="3506"/>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13"/>
      <c r="Q20" s="1486"/>
      <c r="R20" s="713"/>
      <c r="S20" s="714"/>
      <c r="T20" s="713"/>
      <c r="U20" s="714"/>
      <c r="V20" s="713"/>
      <c r="W20" s="714"/>
      <c r="X20" s="1489"/>
      <c r="Y20" s="3506"/>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13"/>
      <c r="Q21" s="1486" t="str">
        <f>B21</f>
        <v>基础设施水平</v>
      </c>
      <c r="R21" s="713" t="s">
        <v>17</v>
      </c>
      <c r="S21" s="714">
        <f>F21</f>
        <v>100</v>
      </c>
      <c r="T21" s="713" t="s">
        <v>17</v>
      </c>
      <c r="U21" s="714">
        <f>H21</f>
        <v>100</v>
      </c>
      <c r="V21" s="713" t="s">
        <v>17</v>
      </c>
      <c r="W21" s="714">
        <f>J21</f>
        <v>100</v>
      </c>
      <c r="X21" s="1489"/>
      <c r="Y21" s="3506"/>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13"/>
      <c r="Q22" s="1486"/>
      <c r="R22" s="713"/>
      <c r="S22" s="714"/>
      <c r="T22" s="713"/>
      <c r="U22" s="714"/>
      <c r="V22" s="713"/>
      <c r="W22" s="714"/>
      <c r="X22" s="1489"/>
      <c r="Y22" s="3506"/>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13"/>
      <c r="Q23" s="1486" t="str">
        <f>B23</f>
        <v>自然及人文环境</v>
      </c>
      <c r="R23" s="713" t="s">
        <v>21</v>
      </c>
      <c r="S23" s="714">
        <f>F23</f>
        <v>100</v>
      </c>
      <c r="T23" s="713" t="s">
        <v>21</v>
      </c>
      <c r="U23" s="714">
        <f>H23</f>
        <v>100</v>
      </c>
      <c r="V23" s="713" t="s">
        <v>21</v>
      </c>
      <c r="W23" s="714">
        <f>J23</f>
        <v>100</v>
      </c>
      <c r="X23" s="1489"/>
      <c r="Y23" s="3506"/>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13"/>
      <c r="Q24" s="1486"/>
      <c r="R24" s="713"/>
      <c r="S24" s="714"/>
      <c r="T24" s="713"/>
      <c r="U24" s="714"/>
      <c r="V24" s="713"/>
      <c r="W24" s="714"/>
      <c r="X24" s="1489"/>
      <c r="Y24" s="3506"/>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13"/>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06"/>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13"/>
      <c r="Q26" s="1486" t="str">
        <f t="shared" si="11"/>
        <v>朝向</v>
      </c>
      <c r="R26" s="713" t="s">
        <v>21</v>
      </c>
      <c r="S26" s="714">
        <f t="shared" si="12"/>
        <v>100</v>
      </c>
      <c r="T26" s="713" t="s">
        <v>21</v>
      </c>
      <c r="U26" s="714">
        <f t="shared" si="13"/>
        <v>100</v>
      </c>
      <c r="V26" s="713" t="s">
        <v>21</v>
      </c>
      <c r="W26" s="714">
        <f t="shared" si="14"/>
        <v>100</v>
      </c>
      <c r="X26" s="1489"/>
      <c r="Y26" s="3506"/>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13"/>
      <c r="Q27" s="1477">
        <f t="shared" si="11"/>
        <v>111</v>
      </c>
      <c r="R27" s="709" t="s">
        <v>21</v>
      </c>
      <c r="S27" s="710">
        <f t="shared" si="12"/>
        <v>100</v>
      </c>
      <c r="T27" s="709" t="s">
        <v>21</v>
      </c>
      <c r="U27" s="710">
        <f t="shared" si="13"/>
        <v>100</v>
      </c>
      <c r="V27" s="709" t="s">
        <v>21</v>
      </c>
      <c r="W27" s="710">
        <f t="shared" si="14"/>
        <v>100</v>
      </c>
      <c r="X27" s="711"/>
      <c r="Y27" s="3506"/>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13"/>
      <c r="Q28" s="1486">
        <f t="shared" si="11"/>
        <v>111</v>
      </c>
      <c r="R28" s="713" t="s">
        <v>21</v>
      </c>
      <c r="S28" s="714">
        <f t="shared" si="12"/>
        <v>100</v>
      </c>
      <c r="T28" s="713" t="s">
        <v>21</v>
      </c>
      <c r="U28" s="714">
        <f t="shared" si="13"/>
        <v>100</v>
      </c>
      <c r="V28" s="713" t="s">
        <v>21</v>
      </c>
      <c r="W28" s="714">
        <f t="shared" si="14"/>
        <v>100</v>
      </c>
      <c r="X28" s="1489"/>
      <c r="Y28" s="3506"/>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13"/>
      <c r="Q29" s="1486">
        <f t="shared" si="11"/>
        <v>111</v>
      </c>
      <c r="R29" s="713" t="s">
        <v>21</v>
      </c>
      <c r="S29" s="714">
        <f t="shared" si="12"/>
        <v>100</v>
      </c>
      <c r="T29" s="713" t="s">
        <v>21</v>
      </c>
      <c r="U29" s="714">
        <f t="shared" si="13"/>
        <v>100</v>
      </c>
      <c r="V29" s="713" t="s">
        <v>21</v>
      </c>
      <c r="W29" s="714">
        <f t="shared" si="14"/>
        <v>100</v>
      </c>
      <c r="X29" s="1489"/>
      <c r="Y29" s="3506"/>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13"/>
      <c r="Q30" s="1486">
        <f t="shared" si="11"/>
        <v>111</v>
      </c>
      <c r="R30" s="713" t="s">
        <v>21</v>
      </c>
      <c r="S30" s="714">
        <f t="shared" si="12"/>
        <v>100</v>
      </c>
      <c r="T30" s="713" t="s">
        <v>21</v>
      </c>
      <c r="U30" s="714">
        <f t="shared" si="13"/>
        <v>100</v>
      </c>
      <c r="V30" s="713" t="s">
        <v>21</v>
      </c>
      <c r="W30" s="714">
        <f t="shared" si="14"/>
        <v>100</v>
      </c>
      <c r="X30" s="1489"/>
      <c r="Y30" s="3506"/>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13"/>
      <c r="Q31" s="1486">
        <f t="shared" si="11"/>
        <v>111</v>
      </c>
      <c r="R31" s="713" t="s">
        <v>21</v>
      </c>
      <c r="S31" s="714">
        <f t="shared" si="12"/>
        <v>100</v>
      </c>
      <c r="T31" s="713" t="s">
        <v>21</v>
      </c>
      <c r="U31" s="714">
        <f t="shared" si="13"/>
        <v>100</v>
      </c>
      <c r="V31" s="713" t="s">
        <v>21</v>
      </c>
      <c r="W31" s="714">
        <f t="shared" si="14"/>
        <v>100</v>
      </c>
      <c r="X31" s="1489"/>
      <c r="Y31" s="3506"/>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07" t="s">
        <v>2145</v>
      </c>
      <c r="Q32" s="1486" t="str">
        <f t="shared" si="11"/>
        <v>建筑类型</v>
      </c>
      <c r="R32" s="713" t="s">
        <v>21</v>
      </c>
      <c r="S32" s="714">
        <f t="shared" si="12"/>
        <v>100</v>
      </c>
      <c r="T32" s="713" t="s">
        <v>21</v>
      </c>
      <c r="U32" s="714">
        <f t="shared" si="13"/>
        <v>100</v>
      </c>
      <c r="V32" s="713" t="s">
        <v>21</v>
      </c>
      <c r="W32" s="714">
        <f t="shared" si="14"/>
        <v>100</v>
      </c>
      <c r="X32" s="1489"/>
      <c r="Y32" s="3510"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08"/>
      <c r="Q33" s="715" t="str">
        <f t="shared" si="11"/>
        <v>项目建筑规模</v>
      </c>
      <c r="R33" s="716" t="s">
        <v>21</v>
      </c>
      <c r="S33" s="717" t="e">
        <f t="shared" si="12"/>
        <v>#N/A</v>
      </c>
      <c r="T33" s="716" t="s">
        <v>21</v>
      </c>
      <c r="U33" s="717" t="e">
        <f t="shared" si="13"/>
        <v>#N/A</v>
      </c>
      <c r="V33" s="716" t="s">
        <v>21</v>
      </c>
      <c r="W33" s="717" t="e">
        <f t="shared" si="14"/>
        <v>#N/A</v>
      </c>
      <c r="X33" s="718"/>
      <c r="Y33" s="3510"/>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08"/>
      <c r="Q34" s="1486" t="str">
        <f t="shared" si="11"/>
        <v>建筑结构</v>
      </c>
      <c r="R34" s="713" t="s">
        <v>21</v>
      </c>
      <c r="S34" s="714">
        <f t="shared" si="12"/>
        <v>100</v>
      </c>
      <c r="T34" s="713" t="s">
        <v>21</v>
      </c>
      <c r="U34" s="714">
        <f t="shared" si="13"/>
        <v>100</v>
      </c>
      <c r="V34" s="713" t="s">
        <v>21</v>
      </c>
      <c r="W34" s="714">
        <f t="shared" si="14"/>
        <v>100</v>
      </c>
      <c r="X34" s="1489"/>
      <c r="Y34" s="3510"/>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08"/>
      <c r="Q35" s="1486" t="str">
        <f t="shared" si="11"/>
        <v>建筑品质</v>
      </c>
      <c r="R35" s="713" t="s">
        <v>21</v>
      </c>
      <c r="S35" s="714">
        <f t="shared" si="12"/>
        <v>100</v>
      </c>
      <c r="T35" s="713" t="s">
        <v>21</v>
      </c>
      <c r="U35" s="714">
        <f t="shared" si="13"/>
        <v>100</v>
      </c>
      <c r="V35" s="713" t="s">
        <v>21</v>
      </c>
      <c r="W35" s="714">
        <f t="shared" si="14"/>
        <v>100</v>
      </c>
      <c r="X35" s="1489"/>
      <c r="Y35" s="3510"/>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08"/>
      <c r="Q36" s="1486" t="str">
        <f t="shared" si="11"/>
        <v>公共部分装修</v>
      </c>
      <c r="R36" s="713" t="s">
        <v>21</v>
      </c>
      <c r="S36" s="714">
        <f t="shared" si="12"/>
        <v>100</v>
      </c>
      <c r="T36" s="713" t="s">
        <v>21</v>
      </c>
      <c r="U36" s="714">
        <f t="shared" si="13"/>
        <v>100</v>
      </c>
      <c r="V36" s="713" t="s">
        <v>21</v>
      </c>
      <c r="W36" s="714">
        <f t="shared" si="14"/>
        <v>100</v>
      </c>
      <c r="X36" s="1489"/>
      <c r="Y36" s="3510"/>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08"/>
      <c r="Q37" s="1477" t="str">
        <f t="shared" si="11"/>
        <v>成新度</v>
      </c>
      <c r="R37" s="709" t="s">
        <v>21</v>
      </c>
      <c r="S37" s="710" t="e">
        <f t="shared" si="12"/>
        <v>#N/A</v>
      </c>
      <c r="T37" s="709" t="s">
        <v>21</v>
      </c>
      <c r="U37" s="710" t="e">
        <f t="shared" si="13"/>
        <v>#N/A</v>
      </c>
      <c r="V37" s="709" t="s">
        <v>21</v>
      </c>
      <c r="W37" s="710" t="e">
        <f t="shared" si="14"/>
        <v>#N/A</v>
      </c>
      <c r="X37" s="711"/>
      <c r="Y37" s="3510"/>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08" t="s">
        <v>2145</v>
      </c>
      <c r="Q38" s="1486" t="str">
        <f t="shared" si="11"/>
        <v>物业管理</v>
      </c>
      <c r="R38" s="713" t="s">
        <v>21</v>
      </c>
      <c r="S38" s="714">
        <f t="shared" si="12"/>
        <v>100</v>
      </c>
      <c r="T38" s="713" t="s">
        <v>21</v>
      </c>
      <c r="U38" s="714">
        <f t="shared" si="13"/>
        <v>100</v>
      </c>
      <c r="V38" s="713" t="s">
        <v>21</v>
      </c>
      <c r="W38" s="714">
        <f t="shared" si="14"/>
        <v>100</v>
      </c>
      <c r="X38" s="1489"/>
      <c r="Y38" s="3510"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08"/>
      <c r="Q39" s="1486" t="str">
        <f t="shared" si="11"/>
        <v>市政基础设施</v>
      </c>
      <c r="R39" s="713" t="s">
        <v>21</v>
      </c>
      <c r="S39" s="714">
        <f t="shared" si="12"/>
        <v>100</v>
      </c>
      <c r="T39" s="713" t="s">
        <v>21</v>
      </c>
      <c r="U39" s="714">
        <f t="shared" si="13"/>
        <v>100</v>
      </c>
      <c r="V39" s="713" t="s">
        <v>21</v>
      </c>
      <c r="W39" s="714">
        <f t="shared" si="14"/>
        <v>100</v>
      </c>
      <c r="X39" s="1489"/>
      <c r="Y39" s="3510"/>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08"/>
      <c r="Q40" s="1486" t="str">
        <f t="shared" si="11"/>
        <v>房型</v>
      </c>
      <c r="R40" s="713" t="s">
        <v>21</v>
      </c>
      <c r="S40" s="714">
        <f t="shared" si="12"/>
        <v>100</v>
      </c>
      <c r="T40" s="713" t="s">
        <v>21</v>
      </c>
      <c r="U40" s="714">
        <f t="shared" si="13"/>
        <v>100</v>
      </c>
      <c r="V40" s="713" t="s">
        <v>21</v>
      </c>
      <c r="W40" s="714">
        <f t="shared" si="14"/>
        <v>100</v>
      </c>
      <c r="X40" s="1489"/>
      <c r="Y40" s="3510"/>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08"/>
      <c r="Q41" s="715" t="str">
        <f t="shared" si="11"/>
        <v>单套/主力户型建筑面积</v>
      </c>
      <c r="R41" s="716" t="s">
        <v>21</v>
      </c>
      <c r="S41" s="717">
        <f t="shared" si="12"/>
        <v>100</v>
      </c>
      <c r="T41" s="716" t="s">
        <v>21</v>
      </c>
      <c r="U41" s="717">
        <f t="shared" si="13"/>
        <v>100</v>
      </c>
      <c r="V41" s="716" t="s">
        <v>21</v>
      </c>
      <c r="W41" s="717">
        <f t="shared" si="14"/>
        <v>100</v>
      </c>
      <c r="X41" s="718"/>
      <c r="Y41" s="3510"/>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08"/>
      <c r="Q42" s="1486" t="str">
        <f t="shared" si="11"/>
        <v>内部装修</v>
      </c>
      <c r="R42" s="713" t="s">
        <v>21</v>
      </c>
      <c r="S42" s="714">
        <f t="shared" si="12"/>
        <v>100</v>
      </c>
      <c r="T42" s="713" t="s">
        <v>21</v>
      </c>
      <c r="U42" s="714">
        <f t="shared" si="13"/>
        <v>100</v>
      </c>
      <c r="V42" s="713" t="s">
        <v>21</v>
      </c>
      <c r="W42" s="714">
        <f t="shared" si="14"/>
        <v>100</v>
      </c>
      <c r="X42" s="1489"/>
      <c r="Y42" s="3510"/>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08"/>
      <c r="Q43" s="1486" t="str">
        <f t="shared" si="11"/>
        <v>内部装修维护情况</v>
      </c>
      <c r="R43" s="713" t="s">
        <v>21</v>
      </c>
      <c r="S43" s="714">
        <f t="shared" si="12"/>
        <v>100</v>
      </c>
      <c r="T43" s="713" t="s">
        <v>21</v>
      </c>
      <c r="U43" s="714">
        <f t="shared" si="13"/>
        <v>100</v>
      </c>
      <c r="V43" s="713" t="s">
        <v>21</v>
      </c>
      <c r="W43" s="714">
        <f t="shared" si="14"/>
        <v>100</v>
      </c>
      <c r="X43" s="1489"/>
      <c r="Y43" s="3510"/>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08"/>
      <c r="Q44" s="1477">
        <f t="shared" si="11"/>
        <v>111</v>
      </c>
      <c r="R44" s="709" t="s">
        <v>21</v>
      </c>
      <c r="S44" s="710">
        <f t="shared" si="12"/>
        <v>100</v>
      </c>
      <c r="T44" s="709" t="s">
        <v>21</v>
      </c>
      <c r="U44" s="710">
        <f t="shared" si="13"/>
        <v>100</v>
      </c>
      <c r="V44" s="709" t="s">
        <v>21</v>
      </c>
      <c r="W44" s="710">
        <f t="shared" si="14"/>
        <v>100</v>
      </c>
      <c r="X44" s="711"/>
      <c r="Y44" s="3510"/>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08"/>
      <c r="Q45" s="1486">
        <f t="shared" si="11"/>
        <v>111</v>
      </c>
      <c r="R45" s="713" t="s">
        <v>21</v>
      </c>
      <c r="S45" s="714">
        <f t="shared" si="12"/>
        <v>100</v>
      </c>
      <c r="T45" s="713" t="s">
        <v>21</v>
      </c>
      <c r="U45" s="714">
        <f t="shared" si="13"/>
        <v>100</v>
      </c>
      <c r="V45" s="713" t="s">
        <v>21</v>
      </c>
      <c r="W45" s="714">
        <f t="shared" si="14"/>
        <v>100</v>
      </c>
      <c r="X45" s="1489"/>
      <c r="Y45" s="3510"/>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09"/>
      <c r="Q46" s="1486">
        <f t="shared" si="11"/>
        <v>111</v>
      </c>
      <c r="R46" s="713" t="s">
        <v>20</v>
      </c>
      <c r="S46" s="714">
        <f t="shared" si="12"/>
        <v>100</v>
      </c>
      <c r="T46" s="713" t="s">
        <v>20</v>
      </c>
      <c r="U46" s="714">
        <f t="shared" si="13"/>
        <v>100</v>
      </c>
      <c r="V46" s="713" t="s">
        <v>20</v>
      </c>
      <c r="W46" s="714">
        <f t="shared" si="14"/>
        <v>100</v>
      </c>
      <c r="X46" s="1489"/>
      <c r="Y46" s="3511"/>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03" t="str">
        <f>A47</f>
        <v>成交单价（元/平方米）</v>
      </c>
      <c r="Q47" s="3503"/>
      <c r="R47" s="3504">
        <f>E47</f>
        <v>0</v>
      </c>
      <c r="S47" s="3504"/>
      <c r="T47" s="3504">
        <f>G47</f>
        <v>0</v>
      </c>
      <c r="U47" s="3504"/>
      <c r="V47" s="3504">
        <f>I47</f>
        <v>0</v>
      </c>
      <c r="W47" s="3504"/>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500" t="str">
        <f>A49</f>
        <v>估价对象XX用房的比较价值（楼面单价，元/平方米）</v>
      </c>
      <c r="Q49" s="3501"/>
      <c r="R49" s="3502" t="e">
        <f>IF(F1="售价",ROUND(IF(D48="简单平均",AVERAGE(R48:V48),R48*F48+T48*H48+V48*J48),0),ROUND(IF(D48="简单平均",AVERAGE(R48:V48),R48*F48+T48*H48+V48*J48),1))</f>
        <v>#DIV/0!</v>
      </c>
      <c r="S49" s="3502"/>
      <c r="T49" s="3502"/>
      <c r="U49" s="3502"/>
      <c r="V49" s="3502"/>
      <c r="W49" s="3502"/>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7" zoomScale="70" zoomScaleNormal="70" zoomScaleSheetLayoutView="70" workbookViewId="0">
      <selection activeCell="J30" sqref="J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1102</v>
      </c>
      <c r="E1" s="2493"/>
      <c r="F1" s="2015" t="s">
        <v>3248</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54952</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28544</v>
      </c>
      <c r="C3" s="360" t="s">
        <v>2224</v>
      </c>
      <c r="D3" s="359">
        <f>IF(D1="",'数据-汇总表'!E3,SUMIF('数据-汇总表'!$C19:$C33,D1,'数据-汇总表'!$E19:$E33))</f>
        <v>19251.75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86" t="s">
        <v>2226</v>
      </c>
      <c r="D4" s="3487"/>
      <c r="E4" s="3488" t="s">
        <v>2227</v>
      </c>
      <c r="F4" s="3489"/>
      <c r="G4" s="3486" t="s">
        <v>2228</v>
      </c>
      <c r="H4" s="3487"/>
      <c r="I4" s="3486" t="s">
        <v>2229</v>
      </c>
      <c r="J4" s="3487"/>
      <c r="K4" s="567" t="s">
        <v>2230</v>
      </c>
      <c r="L4" s="2893"/>
      <c r="M4" s="2894"/>
      <c r="N4" s="2894"/>
      <c r="O4" s="2894"/>
      <c r="P4" s="3490" t="s">
        <v>2231</v>
      </c>
      <c r="Q4" s="3491"/>
      <c r="R4" s="3473" t="s">
        <v>2227</v>
      </c>
      <c r="S4" s="3474"/>
      <c r="T4" s="3473" t="s">
        <v>2228</v>
      </c>
      <c r="U4" s="3474"/>
      <c r="V4" s="3498" t="s">
        <v>2229</v>
      </c>
      <c r="W4" s="3498"/>
      <c r="X4" s="1489"/>
      <c r="Y4" s="3473" t="s">
        <v>2231</v>
      </c>
      <c r="Z4" s="3474"/>
      <c r="AA4" s="3468" t="s">
        <v>2227</v>
      </c>
      <c r="AB4" s="3498" t="s">
        <v>2228</v>
      </c>
      <c r="AC4" s="3468" t="s">
        <v>2229</v>
      </c>
    </row>
    <row r="5" spans="1:29" ht="15">
      <c r="A5" s="364"/>
      <c r="B5" s="365"/>
      <c r="C5" s="3479" t="s">
        <v>2122</v>
      </c>
      <c r="D5" s="3480"/>
      <c r="E5" s="3600" t="s">
        <v>2123</v>
      </c>
      <c r="F5" s="3601"/>
      <c r="G5" s="3602" t="s">
        <v>2124</v>
      </c>
      <c r="H5" s="3603"/>
      <c r="I5" s="3602" t="s">
        <v>2125</v>
      </c>
      <c r="J5" s="3603"/>
      <c r="K5" s="567"/>
      <c r="L5" s="2893"/>
      <c r="M5" s="2894"/>
      <c r="N5" s="2894"/>
      <c r="O5" s="2894"/>
      <c r="P5" s="3492"/>
      <c r="Q5" s="3493"/>
      <c r="R5" s="3475"/>
      <c r="S5" s="3476"/>
      <c r="T5" s="3475"/>
      <c r="U5" s="3476"/>
      <c r="V5" s="3498"/>
      <c r="W5" s="3498"/>
      <c r="X5" s="1489"/>
      <c r="Y5" s="3475"/>
      <c r="Z5" s="3476"/>
      <c r="AA5" s="3469"/>
      <c r="AB5" s="3498"/>
      <c r="AC5" s="3469"/>
    </row>
    <row r="6" spans="1:29" ht="15.75" thickBot="1">
      <c r="A6" s="366"/>
      <c r="B6" s="367"/>
      <c r="C6" s="3481" t="s">
        <v>2126</v>
      </c>
      <c r="D6" s="3482"/>
      <c r="E6" s="3483" t="s">
        <v>2126</v>
      </c>
      <c r="F6" s="3484"/>
      <c r="G6" s="3481" t="s">
        <v>2126</v>
      </c>
      <c r="H6" s="3482"/>
      <c r="I6" s="3481" t="s">
        <v>2126</v>
      </c>
      <c r="J6" s="3482"/>
      <c r="K6" s="567" t="s">
        <v>2127</v>
      </c>
      <c r="L6" s="2893"/>
      <c r="M6" s="2894"/>
      <c r="N6" s="2894"/>
      <c r="O6" s="2894"/>
      <c r="P6" s="3494"/>
      <c r="Q6" s="3495"/>
      <c r="R6" s="3475"/>
      <c r="S6" s="3476"/>
      <c r="T6" s="3496"/>
      <c r="U6" s="3497"/>
      <c r="V6" s="3498"/>
      <c r="W6" s="3498"/>
      <c r="X6" s="1489"/>
      <c r="Y6" s="3496"/>
      <c r="Z6" s="3497"/>
      <c r="AA6" s="3470"/>
      <c r="AB6" s="3498"/>
      <c r="AC6" s="3470"/>
    </row>
    <row r="7" spans="1:29" s="113" customFormat="1" ht="15.75" thickBot="1">
      <c r="A7" s="368" t="s">
        <v>2128</v>
      </c>
      <c r="B7" s="369"/>
      <c r="C7" s="370">
        <f>'数据-取费表'!B2</f>
        <v>44767</v>
      </c>
      <c r="D7" s="371">
        <v>100</v>
      </c>
      <c r="E7" s="372">
        <f>C7</f>
        <v>44767</v>
      </c>
      <c r="F7" s="373">
        <f>SUMIF(58:58,YEAR(E7)&amp;"-"&amp;MONTH(E7),59:59)</f>
        <v>100</v>
      </c>
      <c r="G7" s="372">
        <f>C7</f>
        <v>44767</v>
      </c>
      <c r="H7" s="371">
        <f>SUMIF(58:58,YEAR(G7)&amp;"-"&amp;MONTH(G7),59:59)</f>
        <v>100</v>
      </c>
      <c r="I7" s="372">
        <f>C7</f>
        <v>44767</v>
      </c>
      <c r="J7" s="371">
        <f>SUMIF(58:58,YEAR(I7)&amp;"-"&amp;MONTH(I7),59:59)</f>
        <v>100</v>
      </c>
      <c r="K7" s="568"/>
      <c r="L7" s="2895"/>
      <c r="M7" s="2896"/>
      <c r="N7" s="2896"/>
      <c r="O7" s="2896"/>
      <c r="P7" s="3471" t="s">
        <v>2129</v>
      </c>
      <c r="Q7" s="3499"/>
      <c r="R7" s="709" t="s">
        <v>17</v>
      </c>
      <c r="S7" s="710">
        <f t="shared" ref="S7:S15" si="0">F7</f>
        <v>100</v>
      </c>
      <c r="T7" s="709" t="s">
        <v>17</v>
      </c>
      <c r="U7" s="710">
        <f t="shared" ref="U7:U15" si="1">H7</f>
        <v>100</v>
      </c>
      <c r="V7" s="709" t="s">
        <v>17</v>
      </c>
      <c r="W7" s="710">
        <f t="shared" ref="W7:W15" si="2">J7</f>
        <v>100</v>
      </c>
      <c r="X7" s="711"/>
      <c r="Y7" s="3471" t="s">
        <v>2129</v>
      </c>
      <c r="Z7" s="3472"/>
      <c r="AA7" s="712">
        <f>D7/F7</f>
        <v>1</v>
      </c>
      <c r="AB7" s="712">
        <f>D7/H7</f>
        <v>1</v>
      </c>
      <c r="AC7" s="712">
        <f>D7/J7</f>
        <v>1</v>
      </c>
    </row>
    <row r="8" spans="1:29" s="113" customFormat="1" ht="15.75" thickBot="1">
      <c r="A8" s="368" t="s">
        <v>2130</v>
      </c>
      <c r="B8" s="369"/>
      <c r="C8" s="374" t="s">
        <v>2232</v>
      </c>
      <c r="D8" s="371">
        <v>100</v>
      </c>
      <c r="E8" s="3236" t="s">
        <v>3249</v>
      </c>
      <c r="F8" s="373">
        <f>SUMIF(61:61,E8,62:62)-SUMIF(61:61,C8,62:62)+100</f>
        <v>100</v>
      </c>
      <c r="G8" s="3236" t="s">
        <v>3249</v>
      </c>
      <c r="H8" s="371">
        <f>SUMIF(61:61,G8,62:62)-SUMIF(61:61,C8,62:62)+100</f>
        <v>100</v>
      </c>
      <c r="I8" s="3236" t="s">
        <v>3249</v>
      </c>
      <c r="J8" s="371">
        <f>SUMIF(61:61,I8,62:62)-SUMIF(61:61,C8,62:62)+100</f>
        <v>100</v>
      </c>
      <c r="K8" s="568"/>
      <c r="L8" s="2895"/>
      <c r="M8" s="2896"/>
      <c r="N8" s="2896"/>
      <c r="O8" s="2896"/>
      <c r="P8" s="3471" t="s">
        <v>2132</v>
      </c>
      <c r="Q8" s="3472"/>
      <c r="R8" s="709" t="s">
        <v>17</v>
      </c>
      <c r="S8" s="710">
        <f t="shared" si="0"/>
        <v>100</v>
      </c>
      <c r="T8" s="709" t="s">
        <v>17</v>
      </c>
      <c r="U8" s="710">
        <f t="shared" si="1"/>
        <v>100</v>
      </c>
      <c r="V8" s="709" t="s">
        <v>17</v>
      </c>
      <c r="W8" s="710">
        <f t="shared" si="2"/>
        <v>100</v>
      </c>
      <c r="X8" s="711"/>
      <c r="Y8" s="3471" t="s">
        <v>2132</v>
      </c>
      <c r="Z8" s="3472"/>
      <c r="AA8" s="712">
        <f t="shared" ref="AA8:AA46" si="3">D8/F8</f>
        <v>1</v>
      </c>
      <c r="AB8" s="712">
        <f t="shared" ref="AB8:AB46" si="4">D8/H8</f>
        <v>1</v>
      </c>
      <c r="AC8" s="712">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85" t="s">
        <v>2135</v>
      </c>
      <c r="Q9" s="1477" t="str">
        <f t="shared" ref="Q9:Q15" si="6">B9</f>
        <v>用途</v>
      </c>
      <c r="R9" s="709" t="s">
        <v>17</v>
      </c>
      <c r="S9" s="710">
        <f t="shared" si="0"/>
        <v>100</v>
      </c>
      <c r="T9" s="709" t="s">
        <v>17</v>
      </c>
      <c r="U9" s="710">
        <f t="shared" si="1"/>
        <v>100</v>
      </c>
      <c r="V9" s="709" t="s">
        <v>17</v>
      </c>
      <c r="W9" s="710">
        <f t="shared" si="2"/>
        <v>100</v>
      </c>
      <c r="X9" s="711"/>
      <c r="Y9" s="3415" t="s">
        <v>2136</v>
      </c>
      <c r="Z9" s="55" t="str">
        <f t="shared" ref="Z9:Z15" si="7">Q9</f>
        <v>用途</v>
      </c>
      <c r="AA9" s="712">
        <f t="shared" si="3"/>
        <v>1</v>
      </c>
      <c r="AB9" s="712">
        <f t="shared" si="4"/>
        <v>1</v>
      </c>
      <c r="AC9" s="712">
        <f t="shared" si="5"/>
        <v>1</v>
      </c>
    </row>
    <row r="10" spans="1:29" s="386" customFormat="1" ht="27">
      <c r="A10" s="380"/>
      <c r="B10" s="3599"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85"/>
      <c r="Q10" s="1477" t="str">
        <f t="shared" si="6"/>
        <v>土地使用年限（年）</v>
      </c>
      <c r="R10" s="709" t="s">
        <v>17</v>
      </c>
      <c r="S10" s="710">
        <f t="shared" si="0"/>
        <v>100</v>
      </c>
      <c r="T10" s="709" t="s">
        <v>17</v>
      </c>
      <c r="U10" s="710">
        <f t="shared" si="1"/>
        <v>100</v>
      </c>
      <c r="V10" s="709" t="s">
        <v>17</v>
      </c>
      <c r="W10" s="710">
        <f t="shared" si="2"/>
        <v>100</v>
      </c>
      <c r="X10" s="711"/>
      <c r="Y10" s="3415"/>
      <c r="Z10" s="55" t="str">
        <f t="shared" si="7"/>
        <v>土地使用年限（年）</v>
      </c>
      <c r="AA10" s="712">
        <f t="shared" si="3"/>
        <v>1</v>
      </c>
      <c r="AB10" s="712">
        <f t="shared" si="4"/>
        <v>1</v>
      </c>
      <c r="AC10" s="712">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5"/>
      <c r="Q11" s="1477" t="str">
        <f t="shared" si="6"/>
        <v>容积率</v>
      </c>
      <c r="R11" s="709" t="s">
        <v>17</v>
      </c>
      <c r="S11" s="710">
        <f t="shared" si="0"/>
        <v>100</v>
      </c>
      <c r="T11" s="709" t="s">
        <v>17</v>
      </c>
      <c r="U11" s="710">
        <f t="shared" si="1"/>
        <v>100</v>
      </c>
      <c r="V11" s="709" t="s">
        <v>17</v>
      </c>
      <c r="W11" s="710">
        <f t="shared" si="2"/>
        <v>100</v>
      </c>
      <c r="X11" s="711"/>
      <c r="Y11" s="3415"/>
      <c r="Z11" s="55" t="str">
        <f t="shared" si="7"/>
        <v>容积率</v>
      </c>
      <c r="AA11" s="712">
        <f t="shared" si="3"/>
        <v>1</v>
      </c>
      <c r="AB11" s="712">
        <f t="shared" si="4"/>
        <v>1</v>
      </c>
      <c r="AC11" s="712">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5"/>
      <c r="Q12" s="1477">
        <f t="shared" si="6"/>
        <v>111</v>
      </c>
      <c r="R12" s="709" t="s">
        <v>17</v>
      </c>
      <c r="S12" s="710">
        <f t="shared" si="0"/>
        <v>100</v>
      </c>
      <c r="T12" s="709" t="s">
        <v>17</v>
      </c>
      <c r="U12" s="710">
        <f t="shared" si="1"/>
        <v>100</v>
      </c>
      <c r="V12" s="709" t="s">
        <v>17</v>
      </c>
      <c r="W12" s="710">
        <f t="shared" si="2"/>
        <v>100</v>
      </c>
      <c r="X12" s="711"/>
      <c r="Y12" s="3415"/>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5"/>
      <c r="Q13" s="1477">
        <f t="shared" si="6"/>
        <v>111</v>
      </c>
      <c r="R13" s="709" t="s">
        <v>17</v>
      </c>
      <c r="S13" s="710">
        <f t="shared" si="0"/>
        <v>100</v>
      </c>
      <c r="T13" s="709" t="s">
        <v>17</v>
      </c>
      <c r="U13" s="710">
        <f t="shared" si="1"/>
        <v>100</v>
      </c>
      <c r="V13" s="709" t="s">
        <v>17</v>
      </c>
      <c r="W13" s="710">
        <f t="shared" si="2"/>
        <v>100</v>
      </c>
      <c r="X13" s="711"/>
      <c r="Y13" s="3415"/>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5"/>
      <c r="Q14" s="1477">
        <f t="shared" si="6"/>
        <v>111</v>
      </c>
      <c r="R14" s="709" t="s">
        <v>17</v>
      </c>
      <c r="S14" s="710">
        <f t="shared" si="0"/>
        <v>100</v>
      </c>
      <c r="T14" s="709" t="s">
        <v>17</v>
      </c>
      <c r="U14" s="710">
        <f t="shared" si="1"/>
        <v>100</v>
      </c>
      <c r="V14" s="709" t="s">
        <v>17</v>
      </c>
      <c r="W14" s="710">
        <f t="shared" si="2"/>
        <v>100</v>
      </c>
      <c r="X14" s="711"/>
      <c r="Y14" s="3415"/>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12" t="s">
        <v>2140</v>
      </c>
      <c r="Q15" s="1486" t="str">
        <f t="shared" si="6"/>
        <v>商业繁华度</v>
      </c>
      <c r="R15" s="713" t="s">
        <v>17</v>
      </c>
      <c r="S15" s="714">
        <f t="shared" si="0"/>
        <v>100</v>
      </c>
      <c r="T15" s="713" t="s">
        <v>17</v>
      </c>
      <c r="U15" s="714">
        <f t="shared" si="1"/>
        <v>100</v>
      </c>
      <c r="V15" s="713" t="s">
        <v>17</v>
      </c>
      <c r="W15" s="714">
        <f t="shared" si="2"/>
        <v>100</v>
      </c>
      <c r="X15" s="1489"/>
      <c r="Y15" s="3505" t="s">
        <v>2140</v>
      </c>
      <c r="Z15" s="1490" t="str">
        <f t="shared" si="7"/>
        <v>商业繁华度</v>
      </c>
      <c r="AA15" s="1487">
        <f t="shared" si="3"/>
        <v>1</v>
      </c>
      <c r="AB15" s="1487">
        <f t="shared" si="4"/>
        <v>1</v>
      </c>
      <c r="AC15" s="1487">
        <f t="shared" si="5"/>
        <v>1</v>
      </c>
    </row>
    <row r="16" spans="1:29" ht="15">
      <c r="A16" s="387"/>
      <c r="B16" s="405"/>
      <c r="C16" s="3237" t="s">
        <v>3257</v>
      </c>
      <c r="D16" s="407"/>
      <c r="E16" s="3237" t="s">
        <v>3258</v>
      </c>
      <c r="F16" s="408"/>
      <c r="G16" s="3237" t="s">
        <v>3257</v>
      </c>
      <c r="H16" s="409"/>
      <c r="I16" s="3237" t="s">
        <v>3257</v>
      </c>
      <c r="J16" s="407"/>
      <c r="K16" s="572"/>
      <c r="L16" s="2900"/>
      <c r="M16" s="2894"/>
      <c r="N16" s="2894"/>
      <c r="O16" s="2894"/>
      <c r="P16" s="3513"/>
      <c r="Q16" s="1486"/>
      <c r="R16" s="713"/>
      <c r="S16" s="714"/>
      <c r="T16" s="713"/>
      <c r="U16" s="714"/>
      <c r="V16" s="713"/>
      <c r="W16" s="714"/>
      <c r="X16" s="1489"/>
      <c r="Y16" s="3506"/>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13"/>
      <c r="Q17" s="1486" t="str">
        <f>B17</f>
        <v>交通便捷度</v>
      </c>
      <c r="R17" s="713" t="s">
        <v>17</v>
      </c>
      <c r="S17" s="714">
        <f>F17</f>
        <v>100</v>
      </c>
      <c r="T17" s="713" t="s">
        <v>17</v>
      </c>
      <c r="U17" s="714">
        <f>H17</f>
        <v>100</v>
      </c>
      <c r="V17" s="713" t="s">
        <v>17</v>
      </c>
      <c r="W17" s="714">
        <f>J17</f>
        <v>100</v>
      </c>
      <c r="X17" s="1489"/>
      <c r="Y17" s="3506"/>
      <c r="Z17" s="1490" t="str">
        <f>Q17</f>
        <v>交通便捷度</v>
      </c>
      <c r="AA17" s="1487">
        <f t="shared" si="3"/>
        <v>1</v>
      </c>
      <c r="AB17" s="1487">
        <f t="shared" si="4"/>
        <v>1</v>
      </c>
      <c r="AC17" s="1487">
        <f t="shared" si="5"/>
        <v>1</v>
      </c>
    </row>
    <row r="18" spans="1:29" ht="15">
      <c r="A18" s="387"/>
      <c r="B18" s="415"/>
      <c r="C18" s="3238" t="s">
        <v>3259</v>
      </c>
      <c r="D18" s="409"/>
      <c r="E18" s="3239" t="s">
        <v>3259</v>
      </c>
      <c r="F18" s="412"/>
      <c r="G18" s="3240" t="s">
        <v>3259</v>
      </c>
      <c r="H18" s="407"/>
      <c r="I18" s="3239" t="s">
        <v>3260</v>
      </c>
      <c r="J18" s="407"/>
      <c r="K18" s="572"/>
      <c r="L18" s="2900"/>
      <c r="M18" s="2894"/>
      <c r="N18" s="2894"/>
      <c r="O18" s="2894"/>
      <c r="P18" s="3513"/>
      <c r="Q18" s="1486"/>
      <c r="R18" s="713"/>
      <c r="S18" s="714"/>
      <c r="T18" s="713"/>
      <c r="U18" s="714"/>
      <c r="V18" s="713"/>
      <c r="W18" s="714"/>
      <c r="X18" s="1489"/>
      <c r="Y18" s="3506"/>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13"/>
      <c r="Q19" s="1486" t="str">
        <f>B19</f>
        <v>公共配套设施</v>
      </c>
      <c r="R19" s="713" t="s">
        <v>17</v>
      </c>
      <c r="S19" s="714">
        <f>F19</f>
        <v>100</v>
      </c>
      <c r="T19" s="713" t="s">
        <v>17</v>
      </c>
      <c r="U19" s="714">
        <f>H19</f>
        <v>100</v>
      </c>
      <c r="V19" s="713" t="s">
        <v>17</v>
      </c>
      <c r="W19" s="714">
        <f>J19</f>
        <v>100</v>
      </c>
      <c r="X19" s="1489"/>
      <c r="Y19" s="3506"/>
      <c r="Z19" s="1490" t="str">
        <f>Q19</f>
        <v>公共配套设施</v>
      </c>
      <c r="AA19" s="1487">
        <f t="shared" si="3"/>
        <v>1</v>
      </c>
      <c r="AB19" s="1487">
        <f t="shared" si="4"/>
        <v>1</v>
      </c>
      <c r="AC19" s="1487">
        <f t="shared" si="5"/>
        <v>1</v>
      </c>
    </row>
    <row r="20" spans="1:29" ht="15">
      <c r="A20" s="387"/>
      <c r="B20" s="415"/>
      <c r="C20" s="3237" t="s">
        <v>3259</v>
      </c>
      <c r="D20" s="407"/>
      <c r="E20" s="3241" t="s">
        <v>3259</v>
      </c>
      <c r="F20" s="408"/>
      <c r="G20" s="3242" t="s">
        <v>3259</v>
      </c>
      <c r="H20" s="407"/>
      <c r="I20" s="3241" t="s">
        <v>3259</v>
      </c>
      <c r="J20" s="407"/>
      <c r="K20" s="572"/>
      <c r="L20" s="2900"/>
      <c r="M20" s="2894"/>
      <c r="N20" s="2894"/>
      <c r="O20" s="2894"/>
      <c r="P20" s="3513"/>
      <c r="Q20" s="1486"/>
      <c r="R20" s="713"/>
      <c r="S20" s="714"/>
      <c r="T20" s="713"/>
      <c r="U20" s="714"/>
      <c r="V20" s="713"/>
      <c r="W20" s="714"/>
      <c r="X20" s="1489"/>
      <c r="Y20" s="3506"/>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13"/>
      <c r="Q21" s="1486" t="str">
        <f>B21</f>
        <v>基础设施水平</v>
      </c>
      <c r="R21" s="713" t="s">
        <v>17</v>
      </c>
      <c r="S21" s="714">
        <f>F21</f>
        <v>100</v>
      </c>
      <c r="T21" s="713" t="s">
        <v>17</v>
      </c>
      <c r="U21" s="714">
        <f>H21</f>
        <v>100</v>
      </c>
      <c r="V21" s="713" t="s">
        <v>17</v>
      </c>
      <c r="W21" s="714">
        <f>J21</f>
        <v>100</v>
      </c>
      <c r="X21" s="1489"/>
      <c r="Y21" s="3506"/>
      <c r="Z21" s="1490" t="str">
        <f>Q21</f>
        <v>基础设施水平</v>
      </c>
      <c r="AA21" s="1487">
        <f t="shared" ref="AA21" si="8">D21/F21</f>
        <v>1</v>
      </c>
      <c r="AB21" s="1487">
        <f t="shared" ref="AB21" si="9">D21/H21</f>
        <v>1</v>
      </c>
      <c r="AC21" s="1487">
        <f t="shared" ref="AC21" si="10">D21/J21</f>
        <v>1</v>
      </c>
    </row>
    <row r="22" spans="1:29" ht="15">
      <c r="A22" s="387"/>
      <c r="B22" s="1245"/>
      <c r="C22" s="3238" t="s">
        <v>3261</v>
      </c>
      <c r="D22" s="407"/>
      <c r="E22" s="3237" t="s">
        <v>3261</v>
      </c>
      <c r="F22" s="408"/>
      <c r="G22" s="3237" t="s">
        <v>3262</v>
      </c>
      <c r="H22" s="407"/>
      <c r="I22" s="3237" t="s">
        <v>3261</v>
      </c>
      <c r="J22" s="407"/>
      <c r="K22" s="1244"/>
      <c r="L22" s="2900"/>
      <c r="M22" s="2894"/>
      <c r="N22" s="2894"/>
      <c r="O22" s="2894"/>
      <c r="P22" s="3513"/>
      <c r="Q22" s="1486"/>
      <c r="R22" s="713"/>
      <c r="S22" s="714"/>
      <c r="T22" s="713"/>
      <c r="U22" s="714"/>
      <c r="V22" s="713"/>
      <c r="W22" s="714"/>
      <c r="X22" s="1489"/>
      <c r="Y22" s="3506"/>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13"/>
      <c r="Q23" s="1486" t="str">
        <f>B23</f>
        <v>自然及人文环境</v>
      </c>
      <c r="R23" s="713" t="s">
        <v>17</v>
      </c>
      <c r="S23" s="714">
        <f>F23</f>
        <v>100</v>
      </c>
      <c r="T23" s="713" t="s">
        <v>17</v>
      </c>
      <c r="U23" s="714">
        <f>H23</f>
        <v>100</v>
      </c>
      <c r="V23" s="713" t="s">
        <v>17</v>
      </c>
      <c r="W23" s="714">
        <f>J23</f>
        <v>100</v>
      </c>
      <c r="X23" s="1489"/>
      <c r="Y23" s="3506"/>
      <c r="Z23" s="1490" t="str">
        <f>Q23</f>
        <v>自然及人文环境</v>
      </c>
      <c r="AA23" s="1487">
        <f t="shared" si="3"/>
        <v>1</v>
      </c>
      <c r="AB23" s="1487">
        <f t="shared" si="4"/>
        <v>1</v>
      </c>
      <c r="AC23" s="1487">
        <f t="shared" si="5"/>
        <v>1</v>
      </c>
    </row>
    <row r="24" spans="1:29" ht="15">
      <c r="A24" s="387"/>
      <c r="B24" s="415"/>
      <c r="C24" s="3237" t="s">
        <v>3259</v>
      </c>
      <c r="D24" s="407"/>
      <c r="E24" s="3241" t="s">
        <v>3259</v>
      </c>
      <c r="F24" s="408"/>
      <c r="G24" s="3242" t="s">
        <v>3259</v>
      </c>
      <c r="H24" s="407"/>
      <c r="I24" s="3241" t="s">
        <v>3259</v>
      </c>
      <c r="J24" s="407"/>
      <c r="K24" s="572"/>
      <c r="L24" s="2900"/>
      <c r="M24" s="2894"/>
      <c r="N24" s="2894"/>
      <c r="O24" s="2894"/>
      <c r="P24" s="3513"/>
      <c r="Q24" s="1486"/>
      <c r="R24" s="713"/>
      <c r="S24" s="714"/>
      <c r="T24" s="713"/>
      <c r="U24" s="714"/>
      <c r="V24" s="713"/>
      <c r="W24" s="714"/>
      <c r="X24" s="1489"/>
      <c r="Y24" s="3506"/>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13"/>
      <c r="Q25" s="1486" t="str">
        <f t="shared" ref="Q25:Q46" si="11">B25</f>
        <v>临街状况</v>
      </c>
      <c r="R25" s="713" t="s">
        <v>17</v>
      </c>
      <c r="S25" s="714">
        <f>F25</f>
        <v>100</v>
      </c>
      <c r="T25" s="713" t="s">
        <v>17</v>
      </c>
      <c r="U25" s="714">
        <f>H25</f>
        <v>100</v>
      </c>
      <c r="V25" s="713" t="s">
        <v>17</v>
      </c>
      <c r="W25" s="714">
        <f>J25</f>
        <v>100</v>
      </c>
      <c r="X25" s="1489"/>
      <c r="Y25" s="3506"/>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13"/>
      <c r="Q26" s="1486" t="str">
        <f t="shared" si="11"/>
        <v>平面位置/可视性</v>
      </c>
      <c r="R26" s="713" t="s">
        <v>17</v>
      </c>
      <c r="S26" s="714">
        <f>F26</f>
        <v>100</v>
      </c>
      <c r="T26" s="713" t="s">
        <v>17</v>
      </c>
      <c r="U26" s="714">
        <f>H26</f>
        <v>100</v>
      </c>
      <c r="V26" s="713" t="s">
        <v>17</v>
      </c>
      <c r="W26" s="714">
        <f>J26</f>
        <v>100</v>
      </c>
      <c r="X26" s="1489"/>
      <c r="Y26" s="3506"/>
      <c r="Z26" s="1490" t="str">
        <f>Q26</f>
        <v>平面位置/可视性</v>
      </c>
      <c r="AA26" s="1487">
        <f t="shared" si="3"/>
        <v>1</v>
      </c>
      <c r="AB26" s="1487">
        <f t="shared" si="4"/>
        <v>1</v>
      </c>
      <c r="AC26" s="1487">
        <f t="shared" si="5"/>
        <v>1</v>
      </c>
    </row>
    <row r="27" spans="1:29" s="113" customFormat="1" ht="15">
      <c r="A27" s="390"/>
      <c r="B27" s="410" t="s">
        <v>2238</v>
      </c>
      <c r="C27" s="3243" t="s">
        <v>3257</v>
      </c>
      <c r="D27" s="421">
        <v>100</v>
      </c>
      <c r="E27" s="3243" t="s">
        <v>3259</v>
      </c>
      <c r="F27" s="423">
        <f>SUMIF(90:90,E27,91:91)-SUMIF(90:90,C27,91:91)+100</f>
        <v>102</v>
      </c>
      <c r="G27" s="3243" t="s">
        <v>3260</v>
      </c>
      <c r="H27" s="421">
        <f>SUMIF(90:90,G27,91:91)-SUMIF(90:90,C27,91:91)+100</f>
        <v>102</v>
      </c>
      <c r="I27" s="3243" t="s">
        <v>3257</v>
      </c>
      <c r="J27" s="421">
        <f>SUMIF(90:90,I27,91:91)-SUMIF(90:90,C27,91:91)+100</f>
        <v>100</v>
      </c>
      <c r="K27" s="569">
        <v>2</v>
      </c>
      <c r="L27" s="2895"/>
      <c r="M27" s="2896"/>
      <c r="N27" s="2896"/>
      <c r="O27" s="2896"/>
      <c r="P27" s="3513"/>
      <c r="Q27" s="1477" t="str">
        <f t="shared" si="11"/>
        <v>人流量</v>
      </c>
      <c r="R27" s="709" t="s">
        <v>17</v>
      </c>
      <c r="S27" s="710">
        <f>F27</f>
        <v>102</v>
      </c>
      <c r="T27" s="709" t="s">
        <v>17</v>
      </c>
      <c r="U27" s="710">
        <f>H27</f>
        <v>102</v>
      </c>
      <c r="V27" s="709" t="s">
        <v>17</v>
      </c>
      <c r="W27" s="710">
        <f>J27</f>
        <v>100</v>
      </c>
      <c r="X27" s="711"/>
      <c r="Y27" s="3506"/>
      <c r="Z27" s="55" t="str">
        <f>Q27</f>
        <v>人流量</v>
      </c>
      <c r="AA27" s="1487">
        <f>D27/F27</f>
        <v>0.98039215686274506</v>
      </c>
      <c r="AB27" s="1487">
        <f>D27/H27</f>
        <v>0.98039215686274506</v>
      </c>
      <c r="AC27" s="1487">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513"/>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06"/>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13"/>
      <c r="Q29" s="1486">
        <f t="shared" si="11"/>
        <v>111</v>
      </c>
      <c r="R29" s="713" t="s">
        <v>17</v>
      </c>
      <c r="S29" s="714">
        <f t="shared" si="12"/>
        <v>100</v>
      </c>
      <c r="T29" s="713" t="s">
        <v>17</v>
      </c>
      <c r="U29" s="714">
        <f t="shared" si="13"/>
        <v>100</v>
      </c>
      <c r="V29" s="713" t="s">
        <v>17</v>
      </c>
      <c r="W29" s="714">
        <f t="shared" si="14"/>
        <v>100</v>
      </c>
      <c r="X29" s="1489"/>
      <c r="Y29" s="3506"/>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13"/>
      <c r="Q30" s="1486">
        <f t="shared" si="11"/>
        <v>111</v>
      </c>
      <c r="R30" s="713" t="s">
        <v>17</v>
      </c>
      <c r="S30" s="714">
        <f t="shared" si="12"/>
        <v>100</v>
      </c>
      <c r="T30" s="713" t="s">
        <v>17</v>
      </c>
      <c r="U30" s="714">
        <f t="shared" si="13"/>
        <v>100</v>
      </c>
      <c r="V30" s="713" t="s">
        <v>17</v>
      </c>
      <c r="W30" s="714">
        <f t="shared" si="14"/>
        <v>100</v>
      </c>
      <c r="X30" s="1489"/>
      <c r="Y30" s="3506"/>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13"/>
      <c r="Q31" s="1486">
        <f t="shared" si="11"/>
        <v>111</v>
      </c>
      <c r="R31" s="713" t="s">
        <v>17</v>
      </c>
      <c r="S31" s="714">
        <f t="shared" si="12"/>
        <v>100</v>
      </c>
      <c r="T31" s="713" t="s">
        <v>17</v>
      </c>
      <c r="U31" s="714">
        <f t="shared" si="13"/>
        <v>100</v>
      </c>
      <c r="V31" s="713" t="s">
        <v>17</v>
      </c>
      <c r="W31" s="714">
        <f t="shared" si="14"/>
        <v>100</v>
      </c>
      <c r="X31" s="1489"/>
      <c r="Y31" s="3506"/>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07" t="s">
        <v>2145</v>
      </c>
      <c r="Q32" s="1486" t="str">
        <f t="shared" si="11"/>
        <v>商业类型</v>
      </c>
      <c r="R32" s="713" t="s">
        <v>17</v>
      </c>
      <c r="S32" s="714">
        <f t="shared" si="12"/>
        <v>100</v>
      </c>
      <c r="T32" s="713" t="s">
        <v>17</v>
      </c>
      <c r="U32" s="714">
        <f t="shared" si="13"/>
        <v>100</v>
      </c>
      <c r="V32" s="713" t="s">
        <v>17</v>
      </c>
      <c r="W32" s="714">
        <f t="shared" si="14"/>
        <v>100</v>
      </c>
      <c r="X32" s="1489"/>
      <c r="Y32" s="3510" t="s">
        <v>2145</v>
      </c>
      <c r="Z32" s="1490" t="str">
        <f t="shared" si="15"/>
        <v>商业类型</v>
      </c>
      <c r="AA32" s="1487">
        <f t="shared" si="3"/>
        <v>1</v>
      </c>
      <c r="AB32" s="1487">
        <f t="shared" si="4"/>
        <v>1</v>
      </c>
      <c r="AC32" s="1487">
        <f t="shared" si="5"/>
        <v>1</v>
      </c>
    </row>
    <row r="33" spans="1:29" s="430" customFormat="1" ht="15">
      <c r="A33" s="427"/>
      <c r="B33" s="381" t="s">
        <v>2146</v>
      </c>
      <c r="C33" s="3598">
        <v>19251.75</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899"/>
      <c r="M33" s="2901"/>
      <c r="N33" s="2901"/>
      <c r="O33" s="2901"/>
      <c r="P33" s="3508"/>
      <c r="Q33" s="715" t="str">
        <f t="shared" si="11"/>
        <v>项目建筑规模</v>
      </c>
      <c r="R33" s="716" t="s">
        <v>17</v>
      </c>
      <c r="S33" s="717">
        <f t="shared" si="12"/>
        <v>104</v>
      </c>
      <c r="T33" s="716" t="s">
        <v>17</v>
      </c>
      <c r="U33" s="717">
        <f t="shared" si="13"/>
        <v>104</v>
      </c>
      <c r="V33" s="716" t="s">
        <v>17</v>
      </c>
      <c r="W33" s="717">
        <f t="shared" si="14"/>
        <v>106</v>
      </c>
      <c r="X33" s="718"/>
      <c r="Y33" s="3510"/>
      <c r="Z33" s="719" t="str">
        <f t="shared" si="15"/>
        <v>项目建筑规模</v>
      </c>
      <c r="AA33" s="1487">
        <f t="shared" si="3"/>
        <v>0.96153846153846156</v>
      </c>
      <c r="AB33" s="1487">
        <f t="shared" si="4"/>
        <v>0.96153846153846156</v>
      </c>
      <c r="AC33" s="1487">
        <f t="shared" si="5"/>
        <v>0.94339622641509435</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08"/>
      <c r="Q34" s="1486" t="str">
        <f t="shared" si="11"/>
        <v>建筑结构</v>
      </c>
      <c r="R34" s="713" t="s">
        <v>17</v>
      </c>
      <c r="S34" s="714">
        <f t="shared" si="12"/>
        <v>100</v>
      </c>
      <c r="T34" s="713" t="s">
        <v>17</v>
      </c>
      <c r="U34" s="714">
        <f t="shared" si="13"/>
        <v>100</v>
      </c>
      <c r="V34" s="713" t="s">
        <v>17</v>
      </c>
      <c r="W34" s="714">
        <f t="shared" si="14"/>
        <v>100</v>
      </c>
      <c r="X34" s="1489"/>
      <c r="Y34" s="3510"/>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08"/>
      <c r="Q35" s="1486" t="str">
        <f t="shared" si="11"/>
        <v>公共部分装修</v>
      </c>
      <c r="R35" s="713" t="s">
        <v>17</v>
      </c>
      <c r="S35" s="714">
        <f t="shared" si="12"/>
        <v>100</v>
      </c>
      <c r="T35" s="713" t="s">
        <v>17</v>
      </c>
      <c r="U35" s="714">
        <f t="shared" si="13"/>
        <v>100</v>
      </c>
      <c r="V35" s="713" t="s">
        <v>17</v>
      </c>
      <c r="W35" s="714">
        <f t="shared" si="14"/>
        <v>100</v>
      </c>
      <c r="X35" s="1489"/>
      <c r="Y35" s="3510"/>
      <c r="Z35" s="1490" t="str">
        <f t="shared" si="15"/>
        <v>公共部分装修</v>
      </c>
      <c r="AA35" s="1487">
        <f t="shared" si="3"/>
        <v>1</v>
      </c>
      <c r="AB35" s="1487">
        <f t="shared" si="4"/>
        <v>1</v>
      </c>
      <c r="AC35" s="1487">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0"/>
      <c r="M36" s="2894"/>
      <c r="N36" s="2894"/>
      <c r="O36" s="2894"/>
      <c r="P36" s="3508"/>
      <c r="Q36" s="1486" t="str">
        <f t="shared" si="11"/>
        <v>成新度</v>
      </c>
      <c r="R36" s="713" t="s">
        <v>17</v>
      </c>
      <c r="S36" s="714">
        <f t="shared" si="12"/>
        <v>100</v>
      </c>
      <c r="T36" s="713" t="s">
        <v>17</v>
      </c>
      <c r="U36" s="714">
        <f t="shared" si="13"/>
        <v>102</v>
      </c>
      <c r="V36" s="713" t="s">
        <v>17</v>
      </c>
      <c r="W36" s="714">
        <f t="shared" si="14"/>
        <v>102</v>
      </c>
      <c r="X36" s="1489"/>
      <c r="Y36" s="3510"/>
      <c r="Z36" s="1490" t="str">
        <f t="shared" si="15"/>
        <v>成新度</v>
      </c>
      <c r="AA36" s="1487">
        <f t="shared" si="3"/>
        <v>1</v>
      </c>
      <c r="AB36" s="1487">
        <f t="shared" si="4"/>
        <v>0.98039215686274506</v>
      </c>
      <c r="AC36" s="1487">
        <f t="shared" si="5"/>
        <v>0.98039215686274506</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08"/>
      <c r="Q37" s="1477" t="str">
        <f t="shared" si="11"/>
        <v>市政基础设施</v>
      </c>
      <c r="R37" s="709" t="s">
        <v>17</v>
      </c>
      <c r="S37" s="710">
        <f t="shared" si="12"/>
        <v>100</v>
      </c>
      <c r="T37" s="709" t="s">
        <v>17</v>
      </c>
      <c r="U37" s="710">
        <f t="shared" si="13"/>
        <v>100</v>
      </c>
      <c r="V37" s="709" t="s">
        <v>17</v>
      </c>
      <c r="W37" s="710">
        <f t="shared" si="14"/>
        <v>100</v>
      </c>
      <c r="X37" s="711"/>
      <c r="Y37" s="3510"/>
      <c r="Z37" s="55" t="str">
        <f t="shared" si="15"/>
        <v>市政基础设施</v>
      </c>
      <c r="AA37" s="712">
        <f t="shared" si="3"/>
        <v>1</v>
      </c>
      <c r="AB37" s="712">
        <f t="shared" si="4"/>
        <v>1</v>
      </c>
      <c r="AC37" s="712">
        <f t="shared" si="5"/>
        <v>1</v>
      </c>
    </row>
    <row r="38" spans="1:29" ht="15">
      <c r="A38" s="431"/>
      <c r="B38" s="3599"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08" t="s">
        <v>2145</v>
      </c>
      <c r="Q38" s="1486" t="str">
        <f t="shared" si="11"/>
        <v>业态</v>
      </c>
      <c r="R38" s="713" t="s">
        <v>17</v>
      </c>
      <c r="S38" s="714">
        <f t="shared" si="12"/>
        <v>100</v>
      </c>
      <c r="T38" s="713" t="s">
        <v>17</v>
      </c>
      <c r="U38" s="714">
        <f t="shared" si="13"/>
        <v>100</v>
      </c>
      <c r="V38" s="713" t="s">
        <v>17</v>
      </c>
      <c r="W38" s="714">
        <f t="shared" si="14"/>
        <v>100</v>
      </c>
      <c r="X38" s="1489"/>
      <c r="Y38" s="3510" t="s">
        <v>2145</v>
      </c>
      <c r="Z38" s="1490" t="str">
        <f t="shared" si="15"/>
        <v>业态</v>
      </c>
      <c r="AA38" s="1487">
        <f t="shared" si="3"/>
        <v>1</v>
      </c>
      <c r="AB38" s="1487">
        <f t="shared" si="4"/>
        <v>1</v>
      </c>
      <c r="AC38" s="1487">
        <f t="shared" si="5"/>
        <v>1</v>
      </c>
    </row>
    <row r="39" spans="1:29" ht="15">
      <c r="A39" s="431"/>
      <c r="B39" s="3599"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08"/>
      <c r="Q39" s="1486" t="str">
        <f t="shared" si="11"/>
        <v>层高</v>
      </c>
      <c r="R39" s="713" t="s">
        <v>17</v>
      </c>
      <c r="S39" s="714">
        <f t="shared" si="12"/>
        <v>100</v>
      </c>
      <c r="T39" s="713" t="s">
        <v>17</v>
      </c>
      <c r="U39" s="714">
        <f t="shared" si="13"/>
        <v>100</v>
      </c>
      <c r="V39" s="713" t="s">
        <v>17</v>
      </c>
      <c r="W39" s="714">
        <f t="shared" si="14"/>
        <v>100</v>
      </c>
      <c r="X39" s="1489"/>
      <c r="Y39" s="3510"/>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08"/>
      <c r="Q40" s="1486" t="str">
        <f t="shared" si="11"/>
        <v>单套建筑面积</v>
      </c>
      <c r="R40" s="713" t="s">
        <v>17</v>
      </c>
      <c r="S40" s="714">
        <f t="shared" si="12"/>
        <v>100</v>
      </c>
      <c r="T40" s="713" t="s">
        <v>17</v>
      </c>
      <c r="U40" s="714">
        <f t="shared" si="13"/>
        <v>100</v>
      </c>
      <c r="V40" s="713" t="s">
        <v>17</v>
      </c>
      <c r="W40" s="714">
        <f t="shared" si="14"/>
        <v>100</v>
      </c>
      <c r="X40" s="1489"/>
      <c r="Y40" s="3510"/>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08"/>
      <c r="Q41" s="715" t="str">
        <f t="shared" si="11"/>
        <v>进深比</v>
      </c>
      <c r="R41" s="716" t="s">
        <v>17</v>
      </c>
      <c r="S41" s="717">
        <f t="shared" si="12"/>
        <v>100</v>
      </c>
      <c r="T41" s="716" t="s">
        <v>17</v>
      </c>
      <c r="U41" s="717">
        <f t="shared" si="13"/>
        <v>100</v>
      </c>
      <c r="V41" s="716" t="s">
        <v>17</v>
      </c>
      <c r="W41" s="717">
        <f t="shared" si="14"/>
        <v>100</v>
      </c>
      <c r="X41" s="718"/>
      <c r="Y41" s="3510"/>
      <c r="Z41" s="719" t="str">
        <f t="shared" si="15"/>
        <v>进深比</v>
      </c>
      <c r="AA41" s="1487">
        <f t="shared" si="3"/>
        <v>1</v>
      </c>
      <c r="AB41" s="1487">
        <f t="shared" si="4"/>
        <v>1</v>
      </c>
      <c r="AC41" s="1487">
        <f t="shared" si="5"/>
        <v>1</v>
      </c>
    </row>
    <row r="42" spans="1:29" ht="15">
      <c r="A42" s="431"/>
      <c r="B42" s="3599"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08"/>
      <c r="Q42" s="1486" t="str">
        <f t="shared" si="11"/>
        <v>内部装修</v>
      </c>
      <c r="R42" s="713" t="s">
        <v>17</v>
      </c>
      <c r="S42" s="714">
        <f t="shared" si="12"/>
        <v>100</v>
      </c>
      <c r="T42" s="713" t="s">
        <v>17</v>
      </c>
      <c r="U42" s="714">
        <f t="shared" si="13"/>
        <v>100</v>
      </c>
      <c r="V42" s="713" t="s">
        <v>17</v>
      </c>
      <c r="W42" s="714">
        <f t="shared" si="14"/>
        <v>100</v>
      </c>
      <c r="X42" s="1489"/>
      <c r="Y42" s="3510"/>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08"/>
      <c r="Q43" s="1486" t="str">
        <f t="shared" si="11"/>
        <v>内部装修维护情况</v>
      </c>
      <c r="R43" s="713" t="s">
        <v>17</v>
      </c>
      <c r="S43" s="714">
        <f t="shared" si="12"/>
        <v>100</v>
      </c>
      <c r="T43" s="713" t="s">
        <v>17</v>
      </c>
      <c r="U43" s="714">
        <f t="shared" si="13"/>
        <v>100</v>
      </c>
      <c r="V43" s="713" t="s">
        <v>17</v>
      </c>
      <c r="W43" s="714">
        <f t="shared" si="14"/>
        <v>100</v>
      </c>
      <c r="X43" s="1489"/>
      <c r="Y43" s="3510"/>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08"/>
      <c r="Q44" s="1477">
        <f t="shared" si="11"/>
        <v>111</v>
      </c>
      <c r="R44" s="709" t="s">
        <v>17</v>
      </c>
      <c r="S44" s="710">
        <f t="shared" si="12"/>
        <v>100</v>
      </c>
      <c r="T44" s="709" t="s">
        <v>17</v>
      </c>
      <c r="U44" s="710">
        <f t="shared" si="13"/>
        <v>100</v>
      </c>
      <c r="V44" s="709" t="s">
        <v>17</v>
      </c>
      <c r="W44" s="710">
        <f t="shared" si="14"/>
        <v>100</v>
      </c>
      <c r="X44" s="711"/>
      <c r="Y44" s="3510"/>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08"/>
      <c r="Q45" s="1486">
        <f t="shared" si="11"/>
        <v>111</v>
      </c>
      <c r="R45" s="713" t="s">
        <v>17</v>
      </c>
      <c r="S45" s="714">
        <f t="shared" si="12"/>
        <v>100</v>
      </c>
      <c r="T45" s="713" t="s">
        <v>17</v>
      </c>
      <c r="U45" s="714">
        <f t="shared" si="13"/>
        <v>100</v>
      </c>
      <c r="V45" s="713" t="s">
        <v>17</v>
      </c>
      <c r="W45" s="714">
        <f t="shared" si="14"/>
        <v>100</v>
      </c>
      <c r="X45" s="1489"/>
      <c r="Y45" s="3510"/>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09"/>
      <c r="Q46" s="1486">
        <f t="shared" si="11"/>
        <v>111</v>
      </c>
      <c r="R46" s="713" t="s">
        <v>17</v>
      </c>
      <c r="S46" s="714">
        <f t="shared" si="12"/>
        <v>100</v>
      </c>
      <c r="T46" s="713" t="s">
        <v>17</v>
      </c>
      <c r="U46" s="714">
        <f t="shared" si="13"/>
        <v>100</v>
      </c>
      <c r="V46" s="713" t="s">
        <v>17</v>
      </c>
      <c r="W46" s="714">
        <f t="shared" si="14"/>
        <v>100</v>
      </c>
      <c r="X46" s="1489"/>
      <c r="Y46" s="3511"/>
      <c r="Z46" s="1490">
        <f t="shared" si="15"/>
        <v>111</v>
      </c>
      <c r="AA46" s="1487">
        <f t="shared" si="3"/>
        <v>1</v>
      </c>
      <c r="AB46" s="1487">
        <f t="shared" si="4"/>
        <v>1</v>
      </c>
      <c r="AC46" s="1487">
        <f t="shared" si="5"/>
        <v>1</v>
      </c>
    </row>
    <row r="47" spans="1:29" ht="15">
      <c r="A47" s="438" t="s">
        <v>2157</v>
      </c>
      <c r="B47" s="439"/>
      <c r="C47" s="1268" t="s">
        <v>1</v>
      </c>
      <c r="D47" s="1269"/>
      <c r="E47" s="1270">
        <v>26400</v>
      </c>
      <c r="F47" s="1271"/>
      <c r="G47" s="1272">
        <v>30200</v>
      </c>
      <c r="H47" s="1273"/>
      <c r="I47" s="1270">
        <v>35500</v>
      </c>
      <c r="J47" s="1273"/>
      <c r="K47" s="722"/>
      <c r="L47" s="2902"/>
      <c r="M47" s="2903"/>
      <c r="N47" s="2894"/>
      <c r="O47" s="2903"/>
      <c r="P47" s="3503" t="str">
        <f>A47</f>
        <v>成交单价（元/平方米）</v>
      </c>
      <c r="Q47" s="3503"/>
      <c r="R47" s="3498">
        <f>E47</f>
        <v>26400</v>
      </c>
      <c r="S47" s="3498"/>
      <c r="T47" s="3498">
        <f>G47</f>
        <v>30200</v>
      </c>
      <c r="U47" s="3498"/>
      <c r="V47" s="3498">
        <f>I47</f>
        <v>35500</v>
      </c>
      <c r="W47" s="3498"/>
      <c r="X47" s="698"/>
      <c r="Y47" s="720"/>
      <c r="Z47" s="698"/>
      <c r="AA47" s="698"/>
      <c r="AB47" s="698"/>
      <c r="AC47" s="698"/>
    </row>
    <row r="48" spans="1:29" ht="15.75" thickBot="1">
      <c r="A48" s="445" t="s">
        <v>2249</v>
      </c>
      <c r="B48" s="446"/>
      <c r="C48" s="1274">
        <f>R49</f>
        <v>28544</v>
      </c>
      <c r="D48" s="2488" t="s">
        <v>2638</v>
      </c>
      <c r="E48" s="1275">
        <f>R48</f>
        <v>24887</v>
      </c>
      <c r="F48" s="2489"/>
      <c r="G48" s="1274">
        <f>T48</f>
        <v>27911</v>
      </c>
      <c r="H48" s="2489"/>
      <c r="I48" s="1275">
        <f>V48</f>
        <v>32834</v>
      </c>
      <c r="J48" s="2489"/>
      <c r="K48" s="2491">
        <f>F48+H48+J48</f>
        <v>0</v>
      </c>
      <c r="L48" s="2902"/>
      <c r="M48" s="2903"/>
      <c r="N48" s="2894"/>
      <c r="O48" s="2903"/>
      <c r="P48" s="3503" t="str">
        <f>A48</f>
        <v>比较价值（元/平方米）</v>
      </c>
      <c r="Q48" s="3503"/>
      <c r="R48" s="3504">
        <f>IF(F1="售价",ROUND(PRODUCT(R47,AA7:AA46),0),ROUND(PRODUCT(R47,AA7:AA46),1))</f>
        <v>24887</v>
      </c>
      <c r="S48" s="3504"/>
      <c r="T48" s="3504">
        <f>IF(F1="售价",ROUND(PRODUCT(T47,AB7:AB46),0),ROUND(PRODUCT(T47,AB7:AB46),1))</f>
        <v>27911</v>
      </c>
      <c r="U48" s="3504"/>
      <c r="V48" s="3504">
        <f>IF(F1="售价",ROUND(PRODUCT(V47,AC7:AC46),0),ROUND(PRODUCT(V47,AC7:AC46),1))</f>
        <v>32834</v>
      </c>
      <c r="W48" s="3504"/>
      <c r="X48" s="698"/>
      <c r="Y48" s="698"/>
      <c r="Z48" s="698"/>
      <c r="AA48" s="698"/>
      <c r="AB48" s="698"/>
      <c r="AC48" s="698"/>
    </row>
    <row r="49" spans="1:29" ht="15.75" thickBot="1">
      <c r="A49" s="449" t="s">
        <v>2250</v>
      </c>
      <c r="B49" s="450"/>
      <c r="C49" s="1277">
        <f>R49</f>
        <v>28544</v>
      </c>
      <c r="D49" s="1277"/>
      <c r="E49" s="1277"/>
      <c r="F49" s="1277"/>
      <c r="G49" s="1277"/>
      <c r="H49" s="1277"/>
      <c r="I49" s="1277"/>
      <c r="J49" s="1277"/>
      <c r="K49" s="723"/>
      <c r="L49" s="2902"/>
      <c r="M49" s="2903"/>
      <c r="N49" s="2894"/>
      <c r="O49" s="2903"/>
      <c r="P49" s="3500" t="str">
        <f>A49</f>
        <v>估价对象XX用房的比较价值（楼面单价，元/平方米）</v>
      </c>
      <c r="Q49" s="3501"/>
      <c r="R49" s="3502">
        <f>IF(F1="售价",ROUND(IF(D48="简单平均",AVERAGE(R48:V48),R48*F48+T48*H48+V48*J48),0),ROUND(IF(D48="简单平均",AVERAGE(R48:V48),R48*F48+T48*H48+V48*J48),1))</f>
        <v>28544</v>
      </c>
      <c r="S49" s="3502"/>
      <c r="T49" s="3502"/>
      <c r="U49" s="3502"/>
      <c r="V49" s="3502"/>
      <c r="W49" s="3502"/>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6.0794792461927871E-2</v>
      </c>
      <c r="F52" s="457" t="str">
        <f>IF(OR(E52&gt;=0.3,E52&lt;=-0.3),"超过30%","")</f>
        <v/>
      </c>
      <c r="G52" s="456">
        <f>IF(G47&lt;G48,G48/G47-1,G47/G48-1)</f>
        <v>8.2010676794095572E-2</v>
      </c>
      <c r="H52" s="457" t="str">
        <f>IF(OR(G52&gt;=0.3,G52&lt;=-0.3),"超过30%","")</f>
        <v/>
      </c>
      <c r="I52" s="456">
        <f>IF(I47&lt;I48,I48/I47-1,I47/I48-1)</f>
        <v>8.1196320886885553E-2</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0.12150922168200262</v>
      </c>
      <c r="F53" s="457" t="str">
        <f>IF(OR(E53&gt;=0.2,E53&lt;=-0.2),"超过20%","")</f>
        <v/>
      </c>
      <c r="G53" s="456">
        <f>IF(G48&lt;I48,I48/G48-1,G48/I48-1)</f>
        <v>0.17638207158467978</v>
      </c>
      <c r="H53" s="457" t="str">
        <f>IF(OR(G53&gt;=0.2,G53&lt;=-0.2),"超过20%","")</f>
        <v/>
      </c>
      <c r="I53" s="456">
        <f>IF(I48&lt;E48,E48/I48-1,I48/E48-1)</f>
        <v>0.31932334150359631</v>
      </c>
      <c r="J53" s="457" t="str">
        <f>IF(OR(I53&gt;=0.2,I53&lt;=-0.2),"超过20%","")</f>
        <v>超过20%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v>2</v>
      </c>
      <c r="F68" s="506">
        <v>3</v>
      </c>
      <c r="G68" s="506">
        <v>4</v>
      </c>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3244" t="s">
        <v>3263</v>
      </c>
      <c r="D90" s="3244" t="s">
        <v>3259</v>
      </c>
      <c r="E90" s="3244" t="s">
        <v>3257</v>
      </c>
      <c r="F90" s="3244" t="s">
        <v>3264</v>
      </c>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50</v>
      </c>
      <c r="E103" s="552">
        <v>100</v>
      </c>
      <c r="F103" s="552">
        <v>150</v>
      </c>
      <c r="G103" s="552">
        <v>200</v>
      </c>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v>96</v>
      </c>
      <c r="F104" s="493">
        <v>94</v>
      </c>
      <c r="G104" s="493">
        <v>92</v>
      </c>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Normal="100" workbookViewId="0">
      <pane ySplit="24" topLeftCell="A25" activePane="bottomLeft" state="frozen"/>
      <selection activeCell="C50" sqref="C50"/>
      <selection pane="bottomLeft" activeCell="T23" sqref="T2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10.875" style="733" bestFit="1" customWidth="1"/>
    <col min="21" max="45" width="9" style="733"/>
    <col min="46" max="16384" width="9" style="135"/>
  </cols>
  <sheetData>
    <row r="1" spans="1:45" ht="14.25" customHeight="1" thickBot="1">
      <c r="A1" s="151"/>
      <c r="B1" s="1094" t="s">
        <v>2583</v>
      </c>
      <c r="C1" s="3517" t="s">
        <v>2584</v>
      </c>
      <c r="D1" s="3518"/>
      <c r="E1" s="3518"/>
      <c r="F1" s="3518"/>
      <c r="G1" s="3518"/>
      <c r="H1" s="3518"/>
      <c r="I1" s="3518"/>
      <c r="J1" s="3518"/>
      <c r="K1" s="3518"/>
      <c r="L1" s="3518"/>
      <c r="M1" s="3518"/>
      <c r="N1" s="3518"/>
      <c r="O1" s="3518"/>
      <c r="P1" s="3518"/>
      <c r="Q1" s="3518"/>
      <c r="R1" s="3518"/>
      <c r="S1" s="3519"/>
      <c r="T1" s="1094" t="s">
        <v>2585</v>
      </c>
    </row>
    <row r="2" spans="1:45" s="662" customFormat="1" ht="25.5">
      <c r="A2" s="1095"/>
      <c r="B2" s="3604" t="s">
        <v>2586</v>
      </c>
      <c r="C2" s="659" t="str">
        <f t="shared" ref="C2:L2" si="0">C3&amp;"(含)"&amp;"-"&amp;D3</f>
        <v>0(含)-10000</v>
      </c>
      <c r="D2" s="660" t="str">
        <f t="shared" si="0"/>
        <v>10000(含)-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10000</v>
      </c>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v>1</v>
      </c>
      <c r="D17" s="1122">
        <v>2</v>
      </c>
      <c r="E17" s="1122">
        <v>3</v>
      </c>
      <c r="F17" s="1122">
        <v>4</v>
      </c>
      <c r="G17" s="1122">
        <v>5</v>
      </c>
      <c r="H17" s="1122">
        <v>6</v>
      </c>
      <c r="I17" s="1122">
        <v>-1</v>
      </c>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v>100</v>
      </c>
      <c r="D18" s="1134">
        <v>70</v>
      </c>
      <c r="E18" s="1134">
        <v>60</v>
      </c>
      <c r="F18" s="1134">
        <v>50</v>
      </c>
      <c r="G18" s="1134">
        <v>50</v>
      </c>
      <c r="H18" s="1134">
        <v>50</v>
      </c>
      <c r="I18" s="1134">
        <v>60</v>
      </c>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f>IF(D20="——",S22,S22-F20)</f>
        <v>33262</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f>ROUND(B20*10000/B22,0)</f>
        <v>17277</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19251.75</v>
      </c>
      <c r="C22" s="3514" t="s">
        <v>33</v>
      </c>
      <c r="D22" s="3515"/>
      <c r="E22" s="3515"/>
      <c r="F22" s="3515"/>
      <c r="G22" s="3515"/>
      <c r="H22" s="3515"/>
      <c r="I22" s="3515"/>
      <c r="J22" s="3515"/>
      <c r="K22" s="3515"/>
      <c r="L22" s="3515"/>
      <c r="M22" s="3515"/>
      <c r="N22" s="3515"/>
      <c r="O22" s="3515"/>
      <c r="P22" s="3515"/>
      <c r="Q22" s="3516"/>
      <c r="R22" s="671">
        <f>ROUND(S22*10000/B22,0)</f>
        <v>17277</v>
      </c>
      <c r="S22" s="24">
        <f>SUM(S24:S10000)</f>
        <v>33262</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面积清单!K3</f>
        <v>1层汇总</v>
      </c>
      <c r="B24" s="673">
        <f>面积清单!L3</f>
        <v>2085.8500000000004</v>
      </c>
      <c r="C24" s="2990">
        <v>1</v>
      </c>
      <c r="D24" s="2991"/>
      <c r="E24" s="2990">
        <v>1</v>
      </c>
      <c r="F24" s="2991"/>
      <c r="G24" s="2990">
        <v>1</v>
      </c>
      <c r="H24" s="2991"/>
      <c r="I24" s="2990">
        <v>1</v>
      </c>
      <c r="J24" s="2991"/>
      <c r="K24" s="2990">
        <v>1</v>
      </c>
      <c r="L24" s="2991"/>
      <c r="M24" s="2990">
        <v>1</v>
      </c>
      <c r="N24" s="2991"/>
      <c r="O24" s="2990">
        <v>1</v>
      </c>
      <c r="P24" s="2991">
        <v>1</v>
      </c>
      <c r="Q24" s="2990">
        <v>1</v>
      </c>
      <c r="R24" s="676">
        <f>'比较法-商业'!C49</f>
        <v>28544</v>
      </c>
      <c r="S24" s="674">
        <f t="shared" ref="S24:S54" si="11">ROUND(R24*B24/10000,0)</f>
        <v>5954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面积清单!K4</f>
        <v>2层汇总</v>
      </c>
      <c r="B25" s="673">
        <f>面积清单!L4</f>
        <v>3418.6</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19981</v>
      </c>
      <c r="S25" s="322">
        <f t="shared" si="11"/>
        <v>6831</v>
      </c>
    </row>
    <row r="26" spans="1:45">
      <c r="A26" s="673" t="str">
        <f>面积清单!K5</f>
        <v>3层汇总</v>
      </c>
      <c r="B26" s="673">
        <f>面积清单!L5</f>
        <v>2686.54</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17126</v>
      </c>
      <c r="S26" s="322">
        <f t="shared" si="11"/>
        <v>4601</v>
      </c>
    </row>
    <row r="27" spans="1:45">
      <c r="A27" s="673" t="str">
        <f>面积清单!K6</f>
        <v>4层汇总</v>
      </c>
      <c r="B27" s="673">
        <f>面积清单!L6</f>
        <v>3779.78</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0.5</v>
      </c>
      <c r="R27" s="671">
        <f t="shared" si="20"/>
        <v>14272</v>
      </c>
      <c r="S27" s="322">
        <f t="shared" si="11"/>
        <v>5395</v>
      </c>
    </row>
    <row r="28" spans="1:45">
      <c r="A28" s="673" t="str">
        <f>面积清单!K7</f>
        <v>5层汇总</v>
      </c>
      <c r="B28" s="673">
        <f>面积清单!L7</f>
        <v>2534.54</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5</v>
      </c>
      <c r="Q28" s="24">
        <f t="shared" si="19"/>
        <v>0.5</v>
      </c>
      <c r="R28" s="671">
        <f t="shared" si="20"/>
        <v>14272</v>
      </c>
      <c r="S28" s="322">
        <f t="shared" si="11"/>
        <v>3617</v>
      </c>
    </row>
    <row r="29" spans="1:45">
      <c r="A29" s="673" t="str">
        <f>面积清单!K8</f>
        <v>6层汇总</v>
      </c>
      <c r="B29" s="673">
        <f>面积清单!L8</f>
        <v>4432.26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6</v>
      </c>
      <c r="Q29" s="24">
        <f t="shared" si="19"/>
        <v>0.5</v>
      </c>
      <c r="R29" s="671">
        <f t="shared" si="20"/>
        <v>14272</v>
      </c>
      <c r="S29" s="322">
        <f t="shared" si="11"/>
        <v>6326</v>
      </c>
    </row>
    <row r="30" spans="1:45">
      <c r="A30" s="673" t="str">
        <f>面积清单!K9</f>
        <v>负1层汇总</v>
      </c>
      <c r="B30" s="673">
        <f>面积清单!L9</f>
        <v>314.17999999999995</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v>-1</v>
      </c>
      <c r="Q30" s="24">
        <f t="shared" si="19"/>
        <v>0.6</v>
      </c>
      <c r="R30" s="671">
        <f t="shared" si="20"/>
        <v>17126</v>
      </c>
      <c r="S30" s="322">
        <f t="shared" si="11"/>
        <v>538</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19251.75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86" t="s">
        <v>2226</v>
      </c>
      <c r="D4" s="3487"/>
      <c r="E4" s="3488" t="s">
        <v>2227</v>
      </c>
      <c r="F4" s="3489"/>
      <c r="G4" s="3486" t="s">
        <v>2228</v>
      </c>
      <c r="H4" s="3487"/>
      <c r="I4" s="3486" t="s">
        <v>2229</v>
      </c>
      <c r="J4" s="3487"/>
      <c r="K4" s="567" t="s">
        <v>2230</v>
      </c>
      <c r="L4" s="2893"/>
      <c r="M4" s="2894"/>
      <c r="N4" s="2894"/>
      <c r="O4" s="2894"/>
      <c r="P4" s="3526" t="s">
        <v>2231</v>
      </c>
      <c r="Q4" s="3527"/>
      <c r="R4" s="3521" t="s">
        <v>2227</v>
      </c>
      <c r="S4" s="3522"/>
      <c r="T4" s="3521" t="s">
        <v>2228</v>
      </c>
      <c r="U4" s="3522"/>
      <c r="V4" s="3530" t="s">
        <v>2229</v>
      </c>
      <c r="W4" s="3530"/>
      <c r="X4" s="2094"/>
      <c r="Y4" s="3521" t="s">
        <v>2231</v>
      </c>
      <c r="Z4" s="3522"/>
      <c r="AA4" s="3520" t="s">
        <v>2227</v>
      </c>
      <c r="AB4" s="3520" t="s">
        <v>2228</v>
      </c>
      <c r="AC4" s="3523" t="s">
        <v>2229</v>
      </c>
    </row>
    <row r="5" spans="1:29" ht="15">
      <c r="A5" s="364"/>
      <c r="B5" s="365"/>
      <c r="C5" s="3479" t="s">
        <v>2122</v>
      </c>
      <c r="D5" s="3480"/>
      <c r="E5" s="3477" t="s">
        <v>2123</v>
      </c>
      <c r="F5" s="3478"/>
      <c r="G5" s="3479" t="s">
        <v>2124</v>
      </c>
      <c r="H5" s="3480"/>
      <c r="I5" s="3479" t="s">
        <v>2125</v>
      </c>
      <c r="J5" s="3480"/>
      <c r="K5" s="567"/>
      <c r="L5" s="2893"/>
      <c r="M5" s="2894"/>
      <c r="N5" s="2894"/>
      <c r="O5" s="2894"/>
      <c r="P5" s="3528"/>
      <c r="Q5" s="3493"/>
      <c r="R5" s="3475"/>
      <c r="S5" s="3476"/>
      <c r="T5" s="3475"/>
      <c r="U5" s="3476"/>
      <c r="V5" s="3498"/>
      <c r="W5" s="3498"/>
      <c r="X5" s="1489"/>
      <c r="Y5" s="3475"/>
      <c r="Z5" s="3476"/>
      <c r="AA5" s="3469"/>
      <c r="AB5" s="3469"/>
      <c r="AC5" s="3524"/>
    </row>
    <row r="6" spans="1:29" ht="15.75" thickBot="1">
      <c r="A6" s="366"/>
      <c r="B6" s="367"/>
      <c r="C6" s="3481" t="s">
        <v>2126</v>
      </c>
      <c r="D6" s="3482"/>
      <c r="E6" s="3483" t="s">
        <v>2126</v>
      </c>
      <c r="F6" s="3484"/>
      <c r="G6" s="3481" t="s">
        <v>2126</v>
      </c>
      <c r="H6" s="3482"/>
      <c r="I6" s="3481" t="s">
        <v>2126</v>
      </c>
      <c r="J6" s="3482"/>
      <c r="K6" s="567" t="s">
        <v>2127</v>
      </c>
      <c r="L6" s="2893"/>
      <c r="M6" s="2894"/>
      <c r="N6" s="2894"/>
      <c r="O6" s="2894"/>
      <c r="P6" s="3529"/>
      <c r="Q6" s="3495"/>
      <c r="R6" s="3475"/>
      <c r="S6" s="3476"/>
      <c r="T6" s="3496"/>
      <c r="U6" s="3497"/>
      <c r="V6" s="3498"/>
      <c r="W6" s="3498"/>
      <c r="X6" s="1489"/>
      <c r="Y6" s="3496"/>
      <c r="Z6" s="3497"/>
      <c r="AA6" s="3470"/>
      <c r="AB6" s="3470"/>
      <c r="AC6" s="3525"/>
    </row>
    <row r="7" spans="1:29" s="113" customFormat="1" ht="15.75" thickBot="1">
      <c r="A7" s="368" t="s">
        <v>2128</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3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31" t="s">
        <v>2132</v>
      </c>
      <c r="Q8" s="3472"/>
      <c r="R8" s="709" t="s">
        <v>17</v>
      </c>
      <c r="S8" s="710">
        <f t="shared" si="0"/>
        <v>0</v>
      </c>
      <c r="T8" s="709" t="s">
        <v>17</v>
      </c>
      <c r="U8" s="710">
        <f t="shared" si="1"/>
        <v>0</v>
      </c>
      <c r="V8" s="709" t="s">
        <v>17</v>
      </c>
      <c r="W8" s="710">
        <f t="shared" si="2"/>
        <v>0</v>
      </c>
      <c r="X8" s="711"/>
      <c r="Y8" s="3471" t="s">
        <v>2132</v>
      </c>
      <c r="Z8" s="3472"/>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5" t="s">
        <v>2135</v>
      </c>
      <c r="Q9" s="1477" t="str">
        <f t="shared" ref="Q9:Q15" si="6">B9</f>
        <v>用途</v>
      </c>
      <c r="R9" s="709" t="s">
        <v>17</v>
      </c>
      <c r="S9" s="710">
        <f t="shared" si="0"/>
        <v>100</v>
      </c>
      <c r="T9" s="709" t="s">
        <v>17</v>
      </c>
      <c r="U9" s="710">
        <f t="shared" si="1"/>
        <v>100</v>
      </c>
      <c r="V9" s="709" t="s">
        <v>17</v>
      </c>
      <c r="W9" s="710">
        <f t="shared" si="2"/>
        <v>100</v>
      </c>
      <c r="X9" s="711"/>
      <c r="Y9" s="3415"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5"/>
      <c r="Q10" s="1477" t="str">
        <f t="shared" si="6"/>
        <v>土地使用年限（年）</v>
      </c>
      <c r="R10" s="709" t="s">
        <v>17</v>
      </c>
      <c r="S10" s="710">
        <f t="shared" si="0"/>
        <v>100</v>
      </c>
      <c r="T10" s="709" t="s">
        <v>17</v>
      </c>
      <c r="U10" s="710">
        <f t="shared" si="1"/>
        <v>100</v>
      </c>
      <c r="V10" s="709" t="s">
        <v>17</v>
      </c>
      <c r="W10" s="710">
        <f t="shared" si="2"/>
        <v>100</v>
      </c>
      <c r="X10" s="711"/>
      <c r="Y10" s="3415"/>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5"/>
      <c r="Q11" s="1477" t="str">
        <f t="shared" si="6"/>
        <v>容积率</v>
      </c>
      <c r="R11" s="709" t="s">
        <v>17</v>
      </c>
      <c r="S11" s="710" t="e">
        <f t="shared" si="0"/>
        <v>#N/A</v>
      </c>
      <c r="T11" s="709" t="s">
        <v>17</v>
      </c>
      <c r="U11" s="710" t="e">
        <f t="shared" si="1"/>
        <v>#N/A</v>
      </c>
      <c r="V11" s="709" t="s">
        <v>17</v>
      </c>
      <c r="W11" s="710" t="e">
        <f t="shared" si="2"/>
        <v>#N/A</v>
      </c>
      <c r="X11" s="711"/>
      <c r="Y11" s="3415"/>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5"/>
      <c r="Q12" s="1477">
        <f t="shared" si="6"/>
        <v>111</v>
      </c>
      <c r="R12" s="709" t="s">
        <v>17</v>
      </c>
      <c r="S12" s="710">
        <f t="shared" si="0"/>
        <v>100</v>
      </c>
      <c r="T12" s="709" t="s">
        <v>17</v>
      </c>
      <c r="U12" s="710">
        <f t="shared" si="1"/>
        <v>100</v>
      </c>
      <c r="V12" s="709" t="s">
        <v>17</v>
      </c>
      <c r="W12" s="710">
        <f t="shared" si="2"/>
        <v>100</v>
      </c>
      <c r="X12" s="711"/>
      <c r="Y12" s="3415"/>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5"/>
      <c r="Q13" s="1477">
        <f t="shared" si="6"/>
        <v>111</v>
      </c>
      <c r="R13" s="709" t="s">
        <v>17</v>
      </c>
      <c r="S13" s="710">
        <f t="shared" si="0"/>
        <v>100</v>
      </c>
      <c r="T13" s="709" t="s">
        <v>17</v>
      </c>
      <c r="U13" s="710">
        <f t="shared" si="1"/>
        <v>100</v>
      </c>
      <c r="V13" s="709" t="s">
        <v>17</v>
      </c>
      <c r="W13" s="710">
        <f t="shared" si="2"/>
        <v>100</v>
      </c>
      <c r="X13" s="711"/>
      <c r="Y13" s="3415"/>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5"/>
      <c r="Q14" s="1477">
        <f t="shared" si="6"/>
        <v>111</v>
      </c>
      <c r="R14" s="709" t="s">
        <v>17</v>
      </c>
      <c r="S14" s="710">
        <f t="shared" si="0"/>
        <v>100</v>
      </c>
      <c r="T14" s="709" t="s">
        <v>17</v>
      </c>
      <c r="U14" s="710">
        <f t="shared" si="1"/>
        <v>100</v>
      </c>
      <c r="V14" s="709" t="s">
        <v>17</v>
      </c>
      <c r="W14" s="710">
        <f t="shared" si="2"/>
        <v>100</v>
      </c>
      <c r="X14" s="711"/>
      <c r="Y14" s="3415"/>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12" t="s">
        <v>2140</v>
      </c>
      <c r="Q15" s="1486" t="str">
        <f t="shared" si="6"/>
        <v>办公集聚程度</v>
      </c>
      <c r="R15" s="713" t="s">
        <v>17</v>
      </c>
      <c r="S15" s="714">
        <f t="shared" si="0"/>
        <v>100</v>
      </c>
      <c r="T15" s="713" t="s">
        <v>17</v>
      </c>
      <c r="U15" s="714">
        <f t="shared" si="1"/>
        <v>100</v>
      </c>
      <c r="V15" s="713" t="s">
        <v>17</v>
      </c>
      <c r="W15" s="714">
        <f t="shared" si="2"/>
        <v>100</v>
      </c>
      <c r="X15" s="1489"/>
      <c r="Y15" s="3505"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13"/>
      <c r="Q16" s="1486"/>
      <c r="R16" s="713"/>
      <c r="S16" s="714"/>
      <c r="T16" s="713"/>
      <c r="U16" s="714"/>
      <c r="V16" s="713"/>
      <c r="W16" s="714"/>
      <c r="X16" s="1489"/>
      <c r="Y16" s="3506"/>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13"/>
      <c r="Q17" s="1486" t="str">
        <f>B17</f>
        <v>交通便捷度</v>
      </c>
      <c r="R17" s="713" t="s">
        <v>17</v>
      </c>
      <c r="S17" s="714">
        <f>F17</f>
        <v>100</v>
      </c>
      <c r="T17" s="713" t="s">
        <v>17</v>
      </c>
      <c r="U17" s="714">
        <f>H17</f>
        <v>100</v>
      </c>
      <c r="V17" s="713" t="s">
        <v>17</v>
      </c>
      <c r="W17" s="714">
        <f>J17</f>
        <v>100</v>
      </c>
      <c r="X17" s="1489"/>
      <c r="Y17" s="3506"/>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13"/>
      <c r="Q18" s="1486"/>
      <c r="R18" s="713"/>
      <c r="S18" s="714"/>
      <c r="T18" s="713"/>
      <c r="U18" s="714"/>
      <c r="V18" s="713"/>
      <c r="W18" s="714"/>
      <c r="X18" s="1489"/>
      <c r="Y18" s="3506"/>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13"/>
      <c r="Q19" s="1486" t="str">
        <f>B19</f>
        <v>公共配套设施</v>
      </c>
      <c r="R19" s="713" t="s">
        <v>17</v>
      </c>
      <c r="S19" s="714">
        <f>F19</f>
        <v>100</v>
      </c>
      <c r="T19" s="713" t="s">
        <v>17</v>
      </c>
      <c r="U19" s="714">
        <f>H19</f>
        <v>100</v>
      </c>
      <c r="V19" s="713" t="s">
        <v>17</v>
      </c>
      <c r="W19" s="714">
        <f>J19</f>
        <v>100</v>
      </c>
      <c r="X19" s="1489"/>
      <c r="Y19" s="3506"/>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13"/>
      <c r="Q20" s="1486"/>
      <c r="R20" s="713"/>
      <c r="S20" s="714"/>
      <c r="T20" s="713"/>
      <c r="U20" s="714"/>
      <c r="V20" s="713"/>
      <c r="W20" s="714"/>
      <c r="X20" s="1489"/>
      <c r="Y20" s="3506"/>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13"/>
      <c r="Q21" s="1486" t="str">
        <f>B21</f>
        <v>基础设施水平</v>
      </c>
      <c r="R21" s="713" t="s">
        <v>17</v>
      </c>
      <c r="S21" s="714">
        <f>F21</f>
        <v>100</v>
      </c>
      <c r="T21" s="713" t="s">
        <v>17</v>
      </c>
      <c r="U21" s="714">
        <f>H21</f>
        <v>100</v>
      </c>
      <c r="V21" s="713" t="s">
        <v>17</v>
      </c>
      <c r="W21" s="714">
        <f>J21</f>
        <v>100</v>
      </c>
      <c r="X21" s="1489"/>
      <c r="Y21" s="3506"/>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13"/>
      <c r="Q22" s="1486"/>
      <c r="R22" s="713"/>
      <c r="S22" s="714"/>
      <c r="T22" s="713"/>
      <c r="U22" s="714"/>
      <c r="V22" s="713"/>
      <c r="W22" s="714"/>
      <c r="X22" s="1489"/>
      <c r="Y22" s="3506"/>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13"/>
      <c r="Q23" s="1486" t="str">
        <f>B23</f>
        <v>环境质量</v>
      </c>
      <c r="R23" s="713" t="s">
        <v>17</v>
      </c>
      <c r="S23" s="714">
        <f>F23</f>
        <v>100</v>
      </c>
      <c r="T23" s="713" t="s">
        <v>17</v>
      </c>
      <c r="U23" s="714">
        <f>H23</f>
        <v>100</v>
      </c>
      <c r="V23" s="713" t="s">
        <v>17</v>
      </c>
      <c r="W23" s="714">
        <f>J23</f>
        <v>100</v>
      </c>
      <c r="X23" s="1489"/>
      <c r="Y23" s="3506"/>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13"/>
      <c r="Q24" s="1486"/>
      <c r="R24" s="713"/>
      <c r="S24" s="714"/>
      <c r="T24" s="713"/>
      <c r="U24" s="714"/>
      <c r="V24" s="713"/>
      <c r="W24" s="714"/>
      <c r="X24" s="1489"/>
      <c r="Y24" s="3506"/>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13"/>
      <c r="Q25" s="1486" t="str">
        <f>B25</f>
        <v>毗邻道路的类型与等级</v>
      </c>
      <c r="R25" s="713" t="s">
        <v>17</v>
      </c>
      <c r="S25" s="714">
        <f>F25</f>
        <v>100</v>
      </c>
      <c r="T25" s="713" t="s">
        <v>17</v>
      </c>
      <c r="U25" s="714">
        <f>H25</f>
        <v>100</v>
      </c>
      <c r="V25" s="713" t="s">
        <v>17</v>
      </c>
      <c r="W25" s="714">
        <f>J25</f>
        <v>100</v>
      </c>
      <c r="X25" s="1489"/>
      <c r="Y25" s="3506"/>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13"/>
      <c r="Q26" s="1486"/>
      <c r="R26" s="713"/>
      <c r="S26" s="714"/>
      <c r="T26" s="713"/>
      <c r="U26" s="714"/>
      <c r="V26" s="713"/>
      <c r="W26" s="714"/>
      <c r="X26" s="1489"/>
      <c r="Y26" s="3506"/>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13"/>
      <c r="Q27" s="1486" t="str">
        <f t="shared" ref="Q27:Q47" si="11">B27</f>
        <v>楼层</v>
      </c>
      <c r="R27" s="713" t="s">
        <v>17</v>
      </c>
      <c r="S27" s="714">
        <f>F27</f>
        <v>100</v>
      </c>
      <c r="T27" s="713" t="s">
        <v>17</v>
      </c>
      <c r="U27" s="714">
        <f>H27</f>
        <v>100</v>
      </c>
      <c r="V27" s="713" t="s">
        <v>17</v>
      </c>
      <c r="W27" s="714">
        <f>J27</f>
        <v>100</v>
      </c>
      <c r="X27" s="1489"/>
      <c r="Y27" s="3506"/>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13"/>
      <c r="Q28" s="1477" t="str">
        <f t="shared" si="11"/>
        <v>朝向</v>
      </c>
      <c r="R28" s="709" t="s">
        <v>17</v>
      </c>
      <c r="S28" s="710">
        <f>F28</f>
        <v>100</v>
      </c>
      <c r="T28" s="709" t="s">
        <v>17</v>
      </c>
      <c r="U28" s="710">
        <f>H28</f>
        <v>100</v>
      </c>
      <c r="V28" s="709" t="s">
        <v>17</v>
      </c>
      <c r="W28" s="710">
        <f>J28</f>
        <v>100</v>
      </c>
      <c r="X28" s="711"/>
      <c r="Y28" s="3506"/>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13"/>
      <c r="Q29" s="1486">
        <f t="shared" si="11"/>
        <v>111</v>
      </c>
      <c r="R29" s="713" t="s">
        <v>17</v>
      </c>
      <c r="S29" s="714">
        <f t="shared" ref="S29:S47" si="12">F29</f>
        <v>100</v>
      </c>
      <c r="T29" s="713" t="s">
        <v>17</v>
      </c>
      <c r="U29" s="714">
        <f t="shared" ref="U29:U47" si="13">H29</f>
        <v>100</v>
      </c>
      <c r="V29" s="713" t="s">
        <v>17</v>
      </c>
      <c r="W29" s="714">
        <f t="shared" ref="W29:W47" si="14">J29</f>
        <v>100</v>
      </c>
      <c r="X29" s="1489"/>
      <c r="Y29" s="3506"/>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13"/>
      <c r="Q30" s="1486">
        <f t="shared" si="11"/>
        <v>111</v>
      </c>
      <c r="R30" s="713" t="s">
        <v>17</v>
      </c>
      <c r="S30" s="714">
        <f t="shared" si="12"/>
        <v>100</v>
      </c>
      <c r="T30" s="713" t="s">
        <v>17</v>
      </c>
      <c r="U30" s="714">
        <f t="shared" si="13"/>
        <v>100</v>
      </c>
      <c r="V30" s="713" t="s">
        <v>17</v>
      </c>
      <c r="W30" s="714">
        <f t="shared" si="14"/>
        <v>100</v>
      </c>
      <c r="X30" s="1489"/>
      <c r="Y30" s="3506"/>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13"/>
      <c r="Q31" s="1486">
        <f t="shared" si="11"/>
        <v>111</v>
      </c>
      <c r="R31" s="713" t="s">
        <v>17</v>
      </c>
      <c r="S31" s="714">
        <f t="shared" si="12"/>
        <v>100</v>
      </c>
      <c r="T31" s="713" t="s">
        <v>17</v>
      </c>
      <c r="U31" s="714">
        <f t="shared" si="13"/>
        <v>100</v>
      </c>
      <c r="V31" s="713" t="s">
        <v>17</v>
      </c>
      <c r="W31" s="714">
        <f t="shared" si="14"/>
        <v>100</v>
      </c>
      <c r="X31" s="1489"/>
      <c r="Y31" s="3506"/>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13"/>
      <c r="Q32" s="1486">
        <f t="shared" si="11"/>
        <v>111</v>
      </c>
      <c r="R32" s="713" t="s">
        <v>17</v>
      </c>
      <c r="S32" s="714">
        <f t="shared" si="12"/>
        <v>100</v>
      </c>
      <c r="T32" s="713" t="s">
        <v>17</v>
      </c>
      <c r="U32" s="714">
        <f t="shared" si="13"/>
        <v>100</v>
      </c>
      <c r="V32" s="713" t="s">
        <v>17</v>
      </c>
      <c r="W32" s="714">
        <f t="shared" si="14"/>
        <v>100</v>
      </c>
      <c r="X32" s="1489"/>
      <c r="Y32" s="3506"/>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07" t="s">
        <v>2145</v>
      </c>
      <c r="Q33" s="1486" t="str">
        <f t="shared" si="11"/>
        <v>建筑类型</v>
      </c>
      <c r="R33" s="713" t="s">
        <v>17</v>
      </c>
      <c r="S33" s="714">
        <f t="shared" si="12"/>
        <v>100</v>
      </c>
      <c r="T33" s="713" t="s">
        <v>17</v>
      </c>
      <c r="U33" s="714">
        <f t="shared" si="13"/>
        <v>100</v>
      </c>
      <c r="V33" s="713" t="s">
        <v>17</v>
      </c>
      <c r="W33" s="714">
        <f t="shared" si="14"/>
        <v>100</v>
      </c>
      <c r="X33" s="1489"/>
      <c r="Y33" s="3510"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08"/>
      <c r="Q34" s="715" t="str">
        <f t="shared" si="11"/>
        <v>项目建筑规模</v>
      </c>
      <c r="R34" s="716" t="s">
        <v>17</v>
      </c>
      <c r="S34" s="717" t="e">
        <f t="shared" si="12"/>
        <v>#N/A</v>
      </c>
      <c r="T34" s="716" t="s">
        <v>17</v>
      </c>
      <c r="U34" s="717" t="e">
        <f t="shared" si="13"/>
        <v>#N/A</v>
      </c>
      <c r="V34" s="716" t="s">
        <v>17</v>
      </c>
      <c r="W34" s="717" t="e">
        <f t="shared" si="14"/>
        <v>#N/A</v>
      </c>
      <c r="X34" s="718"/>
      <c r="Y34" s="3510"/>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08"/>
      <c r="Q35" s="1486" t="str">
        <f t="shared" si="11"/>
        <v>建筑结构</v>
      </c>
      <c r="R35" s="713" t="s">
        <v>17</v>
      </c>
      <c r="S35" s="714">
        <f t="shared" si="12"/>
        <v>100</v>
      </c>
      <c r="T35" s="713" t="s">
        <v>17</v>
      </c>
      <c r="U35" s="714">
        <f t="shared" si="13"/>
        <v>100</v>
      </c>
      <c r="V35" s="713" t="s">
        <v>17</v>
      </c>
      <c r="W35" s="714">
        <f t="shared" si="14"/>
        <v>100</v>
      </c>
      <c r="X35" s="1489"/>
      <c r="Y35" s="3510"/>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08"/>
      <c r="Q36" s="1486" t="str">
        <f t="shared" si="11"/>
        <v>公共部分装修</v>
      </c>
      <c r="R36" s="713" t="s">
        <v>17</v>
      </c>
      <c r="S36" s="714">
        <f t="shared" si="12"/>
        <v>100</v>
      </c>
      <c r="T36" s="713" t="s">
        <v>17</v>
      </c>
      <c r="U36" s="714">
        <f t="shared" si="13"/>
        <v>100</v>
      </c>
      <c r="V36" s="713" t="s">
        <v>17</v>
      </c>
      <c r="W36" s="714">
        <f t="shared" si="14"/>
        <v>100</v>
      </c>
      <c r="X36" s="1489"/>
      <c r="Y36" s="3510"/>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08"/>
      <c r="Q37" s="1486" t="str">
        <f t="shared" si="11"/>
        <v>成新度</v>
      </c>
      <c r="R37" s="713" t="s">
        <v>17</v>
      </c>
      <c r="S37" s="714" t="e">
        <f t="shared" si="12"/>
        <v>#N/A</v>
      </c>
      <c r="T37" s="713" t="s">
        <v>17</v>
      </c>
      <c r="U37" s="714" t="e">
        <f t="shared" si="13"/>
        <v>#N/A</v>
      </c>
      <c r="V37" s="713" t="s">
        <v>17</v>
      </c>
      <c r="W37" s="714" t="e">
        <f t="shared" si="14"/>
        <v>#N/A</v>
      </c>
      <c r="X37" s="1489"/>
      <c r="Y37" s="3510"/>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08"/>
      <c r="Q38" s="1477" t="str">
        <f t="shared" si="11"/>
        <v>写字楼等级</v>
      </c>
      <c r="R38" s="709" t="s">
        <v>17</v>
      </c>
      <c r="S38" s="710">
        <f t="shared" si="12"/>
        <v>100</v>
      </c>
      <c r="T38" s="709" t="s">
        <v>17</v>
      </c>
      <c r="U38" s="710">
        <f t="shared" si="13"/>
        <v>100</v>
      </c>
      <c r="V38" s="709" t="s">
        <v>17</v>
      </c>
      <c r="W38" s="710">
        <f t="shared" si="14"/>
        <v>100</v>
      </c>
      <c r="X38" s="711"/>
      <c r="Y38" s="3510"/>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08" t="s">
        <v>2145</v>
      </c>
      <c r="Q39" s="1486" t="str">
        <f t="shared" si="11"/>
        <v>物业管理</v>
      </c>
      <c r="R39" s="713" t="s">
        <v>17</v>
      </c>
      <c r="S39" s="714">
        <f t="shared" si="12"/>
        <v>100</v>
      </c>
      <c r="T39" s="713" t="s">
        <v>17</v>
      </c>
      <c r="U39" s="714">
        <f t="shared" si="13"/>
        <v>100</v>
      </c>
      <c r="V39" s="713" t="s">
        <v>17</v>
      </c>
      <c r="W39" s="714">
        <f t="shared" si="14"/>
        <v>100</v>
      </c>
      <c r="X39" s="1489"/>
      <c r="Y39" s="3510"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08"/>
      <c r="Q40" s="1486" t="str">
        <f t="shared" si="11"/>
        <v>市政基础设施</v>
      </c>
      <c r="R40" s="713" t="s">
        <v>17</v>
      </c>
      <c r="S40" s="714">
        <f t="shared" si="12"/>
        <v>100</v>
      </c>
      <c r="T40" s="713" t="s">
        <v>17</v>
      </c>
      <c r="U40" s="714">
        <f t="shared" si="13"/>
        <v>100</v>
      </c>
      <c r="V40" s="713" t="s">
        <v>17</v>
      </c>
      <c r="W40" s="714">
        <f t="shared" si="14"/>
        <v>100</v>
      </c>
      <c r="X40" s="1489"/>
      <c r="Y40" s="3510"/>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08"/>
      <c r="Q41" s="1486" t="str">
        <f t="shared" si="11"/>
        <v>层高</v>
      </c>
      <c r="R41" s="713" t="s">
        <v>17</v>
      </c>
      <c r="S41" s="714">
        <f t="shared" si="12"/>
        <v>100</v>
      </c>
      <c r="T41" s="713" t="s">
        <v>17</v>
      </c>
      <c r="U41" s="714">
        <f t="shared" si="13"/>
        <v>100</v>
      </c>
      <c r="V41" s="713" t="s">
        <v>17</v>
      </c>
      <c r="W41" s="714">
        <f t="shared" si="14"/>
        <v>100</v>
      </c>
      <c r="X41" s="1489"/>
      <c r="Y41" s="3510"/>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08"/>
      <c r="Q42" s="715" t="str">
        <f t="shared" si="11"/>
        <v>单套建筑面积</v>
      </c>
      <c r="R42" s="716" t="s">
        <v>17</v>
      </c>
      <c r="S42" s="717">
        <f t="shared" si="12"/>
        <v>100</v>
      </c>
      <c r="T42" s="716" t="s">
        <v>17</v>
      </c>
      <c r="U42" s="717">
        <f t="shared" si="13"/>
        <v>100</v>
      </c>
      <c r="V42" s="716" t="s">
        <v>17</v>
      </c>
      <c r="W42" s="717">
        <f t="shared" si="14"/>
        <v>100</v>
      </c>
      <c r="X42" s="718"/>
      <c r="Y42" s="3510"/>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08"/>
      <c r="Q43" s="1486" t="str">
        <f t="shared" si="11"/>
        <v>内部装修</v>
      </c>
      <c r="R43" s="713" t="s">
        <v>17</v>
      </c>
      <c r="S43" s="714">
        <f t="shared" si="12"/>
        <v>100</v>
      </c>
      <c r="T43" s="713" t="s">
        <v>17</v>
      </c>
      <c r="U43" s="714">
        <f t="shared" si="13"/>
        <v>100</v>
      </c>
      <c r="V43" s="713" t="s">
        <v>17</v>
      </c>
      <c r="W43" s="714">
        <f t="shared" si="14"/>
        <v>100</v>
      </c>
      <c r="X43" s="1489"/>
      <c r="Y43" s="3510"/>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08"/>
      <c r="Q44" s="1486" t="str">
        <f t="shared" si="11"/>
        <v>内部装修维护情况</v>
      </c>
      <c r="R44" s="713" t="s">
        <v>17</v>
      </c>
      <c r="S44" s="714">
        <f t="shared" si="12"/>
        <v>100</v>
      </c>
      <c r="T44" s="713" t="s">
        <v>17</v>
      </c>
      <c r="U44" s="714">
        <f t="shared" si="13"/>
        <v>100</v>
      </c>
      <c r="V44" s="713" t="s">
        <v>17</v>
      </c>
      <c r="W44" s="714">
        <f t="shared" si="14"/>
        <v>100</v>
      </c>
      <c r="X44" s="1489"/>
      <c r="Y44" s="3510"/>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08"/>
      <c r="Q45" s="1477">
        <f t="shared" si="11"/>
        <v>111</v>
      </c>
      <c r="R45" s="709" t="s">
        <v>17</v>
      </c>
      <c r="S45" s="710">
        <f t="shared" si="12"/>
        <v>100</v>
      </c>
      <c r="T45" s="709" t="s">
        <v>17</v>
      </c>
      <c r="U45" s="710">
        <f t="shared" si="13"/>
        <v>100</v>
      </c>
      <c r="V45" s="709" t="s">
        <v>17</v>
      </c>
      <c r="W45" s="710">
        <f t="shared" si="14"/>
        <v>100</v>
      </c>
      <c r="X45" s="711"/>
      <c r="Y45" s="3510"/>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08"/>
      <c r="Q46" s="1486">
        <f t="shared" si="11"/>
        <v>111</v>
      </c>
      <c r="R46" s="713" t="s">
        <v>17</v>
      </c>
      <c r="S46" s="714">
        <f t="shared" si="12"/>
        <v>100</v>
      </c>
      <c r="T46" s="713" t="s">
        <v>17</v>
      </c>
      <c r="U46" s="714">
        <f t="shared" si="13"/>
        <v>100</v>
      </c>
      <c r="V46" s="713" t="s">
        <v>17</v>
      </c>
      <c r="W46" s="714">
        <f t="shared" si="14"/>
        <v>100</v>
      </c>
      <c r="X46" s="1489"/>
      <c r="Y46" s="3510"/>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09"/>
      <c r="Q47" s="1486">
        <f t="shared" si="11"/>
        <v>111</v>
      </c>
      <c r="R47" s="713" t="s">
        <v>17</v>
      </c>
      <c r="S47" s="714">
        <f t="shared" si="12"/>
        <v>100</v>
      </c>
      <c r="T47" s="713" t="s">
        <v>17</v>
      </c>
      <c r="U47" s="714">
        <f t="shared" si="13"/>
        <v>100</v>
      </c>
      <c r="V47" s="713" t="s">
        <v>17</v>
      </c>
      <c r="W47" s="714">
        <f t="shared" si="14"/>
        <v>100</v>
      </c>
      <c r="X47" s="1489"/>
      <c r="Y47" s="3511"/>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485" t="str">
        <f>A48</f>
        <v>成交单价（元/平方米）</v>
      </c>
      <c r="Q48" s="3503"/>
      <c r="R48" s="3504">
        <f>E48</f>
        <v>0</v>
      </c>
      <c r="S48" s="3504"/>
      <c r="T48" s="3504">
        <f>G48</f>
        <v>0</v>
      </c>
      <c r="U48" s="3504"/>
      <c r="V48" s="3504">
        <f>I48</f>
        <v>0</v>
      </c>
      <c r="W48" s="3504"/>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85" t="str">
        <f>A49</f>
        <v>比较价值（元/平方米）</v>
      </c>
      <c r="Q49" s="35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19251.75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86" t="s">
        <v>2226</v>
      </c>
      <c r="D4" s="3487"/>
      <c r="E4" s="3488" t="s">
        <v>2227</v>
      </c>
      <c r="F4" s="3489"/>
      <c r="G4" s="3486" t="s">
        <v>2228</v>
      </c>
      <c r="H4" s="3487"/>
      <c r="I4" s="3486" t="s">
        <v>2229</v>
      </c>
      <c r="J4" s="3487"/>
      <c r="K4" s="567" t="s">
        <v>2230</v>
      </c>
      <c r="L4" s="1024"/>
      <c r="M4" s="1025"/>
      <c r="N4" s="1025"/>
      <c r="O4" s="1025"/>
      <c r="P4" s="3490" t="s">
        <v>2231</v>
      </c>
      <c r="Q4" s="3491"/>
      <c r="R4" s="3473" t="s">
        <v>2227</v>
      </c>
      <c r="S4" s="3474"/>
      <c r="T4" s="3473" t="s">
        <v>2228</v>
      </c>
      <c r="U4" s="3474"/>
      <c r="V4" s="3498" t="s">
        <v>2229</v>
      </c>
      <c r="W4" s="3498"/>
      <c r="X4" s="1489"/>
      <c r="Y4" s="3473" t="s">
        <v>2231</v>
      </c>
      <c r="Z4" s="3474"/>
      <c r="AA4" s="3468" t="s">
        <v>2227</v>
      </c>
      <c r="AB4" s="3469" t="s">
        <v>2228</v>
      </c>
      <c r="AC4" s="3468" t="s">
        <v>2229</v>
      </c>
    </row>
    <row r="5" spans="1:29" ht="15">
      <c r="A5" s="364"/>
      <c r="B5" s="365"/>
      <c r="C5" s="3479" t="s">
        <v>2122</v>
      </c>
      <c r="D5" s="3480"/>
      <c r="E5" s="3477" t="s">
        <v>2123</v>
      </c>
      <c r="F5" s="3478"/>
      <c r="G5" s="3479" t="s">
        <v>2124</v>
      </c>
      <c r="H5" s="3480"/>
      <c r="I5" s="3479" t="s">
        <v>2125</v>
      </c>
      <c r="J5" s="3480"/>
      <c r="K5" s="567"/>
      <c r="L5" s="1024"/>
      <c r="M5" s="1025"/>
      <c r="N5" s="1025"/>
      <c r="O5" s="1025"/>
      <c r="P5" s="3492"/>
      <c r="Q5" s="3493"/>
      <c r="R5" s="3475"/>
      <c r="S5" s="3476"/>
      <c r="T5" s="3475"/>
      <c r="U5" s="3476"/>
      <c r="V5" s="3498"/>
      <c r="W5" s="3498"/>
      <c r="X5" s="1489"/>
      <c r="Y5" s="3475"/>
      <c r="Z5" s="3476"/>
      <c r="AA5" s="3469"/>
      <c r="AB5" s="3469"/>
      <c r="AC5" s="3469"/>
    </row>
    <row r="6" spans="1:29" ht="15.75" thickBot="1">
      <c r="A6" s="366"/>
      <c r="B6" s="367"/>
      <c r="C6" s="3481" t="s">
        <v>2126</v>
      </c>
      <c r="D6" s="3482"/>
      <c r="E6" s="3483" t="s">
        <v>2126</v>
      </c>
      <c r="F6" s="3484"/>
      <c r="G6" s="3481" t="s">
        <v>2126</v>
      </c>
      <c r="H6" s="3482"/>
      <c r="I6" s="3481" t="s">
        <v>2126</v>
      </c>
      <c r="J6" s="3482"/>
      <c r="K6" s="567" t="s">
        <v>2127</v>
      </c>
      <c r="L6" s="1024"/>
      <c r="M6" s="1025"/>
      <c r="N6" s="1025"/>
      <c r="O6" s="1025"/>
      <c r="P6" s="3494"/>
      <c r="Q6" s="3495"/>
      <c r="R6" s="3475"/>
      <c r="S6" s="3476"/>
      <c r="T6" s="3496"/>
      <c r="U6" s="3497"/>
      <c r="V6" s="3498"/>
      <c r="W6" s="3498"/>
      <c r="X6" s="1489"/>
      <c r="Y6" s="3496"/>
      <c r="Z6" s="3497"/>
      <c r="AA6" s="3470"/>
      <c r="AB6" s="3470"/>
      <c r="AC6" s="3470"/>
    </row>
    <row r="7" spans="1:29" s="113" customFormat="1" ht="15.75" thickBot="1">
      <c r="A7" s="368" t="s">
        <v>2128</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7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71" t="s">
        <v>2132</v>
      </c>
      <c r="Q8" s="3472"/>
      <c r="R8" s="709" t="s">
        <v>17</v>
      </c>
      <c r="S8" s="710">
        <f t="shared" si="0"/>
        <v>0</v>
      </c>
      <c r="T8" s="709" t="s">
        <v>17</v>
      </c>
      <c r="U8" s="710">
        <f t="shared" si="1"/>
        <v>0</v>
      </c>
      <c r="V8" s="709" t="s">
        <v>17</v>
      </c>
      <c r="W8" s="710">
        <f t="shared" si="2"/>
        <v>0</v>
      </c>
      <c r="X8" s="711"/>
      <c r="Y8" s="3471" t="s">
        <v>2132</v>
      </c>
      <c r="Z8" s="3472"/>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03" t="s">
        <v>2135</v>
      </c>
      <c r="Q9" s="1477" t="str">
        <f t="shared" ref="Q9:Q15" si="6">B9</f>
        <v>用途</v>
      </c>
      <c r="R9" s="709" t="s">
        <v>17</v>
      </c>
      <c r="S9" s="710">
        <f t="shared" si="0"/>
        <v>100</v>
      </c>
      <c r="T9" s="709" t="s">
        <v>17</v>
      </c>
      <c r="U9" s="710">
        <f t="shared" si="1"/>
        <v>100</v>
      </c>
      <c r="V9" s="709" t="s">
        <v>17</v>
      </c>
      <c r="W9" s="710">
        <f t="shared" si="2"/>
        <v>100</v>
      </c>
      <c r="X9" s="711"/>
      <c r="Y9" s="3415"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03"/>
      <c r="Q10" s="1477" t="str">
        <f t="shared" si="6"/>
        <v>土地使用年限（年）</v>
      </c>
      <c r="R10" s="709" t="s">
        <v>17</v>
      </c>
      <c r="S10" s="710">
        <f t="shared" si="0"/>
        <v>100</v>
      </c>
      <c r="T10" s="709" t="s">
        <v>17</v>
      </c>
      <c r="U10" s="710">
        <f t="shared" si="1"/>
        <v>100</v>
      </c>
      <c r="V10" s="709" t="s">
        <v>17</v>
      </c>
      <c r="W10" s="710">
        <f t="shared" si="2"/>
        <v>100</v>
      </c>
      <c r="X10" s="711"/>
      <c r="Y10" s="3415"/>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03"/>
      <c r="Q11" s="1477" t="str">
        <f t="shared" si="6"/>
        <v>容积率</v>
      </c>
      <c r="R11" s="709" t="s">
        <v>17</v>
      </c>
      <c r="S11" s="710" t="e">
        <f t="shared" si="0"/>
        <v>#N/A</v>
      </c>
      <c r="T11" s="709" t="s">
        <v>17</v>
      </c>
      <c r="U11" s="710" t="e">
        <f t="shared" si="1"/>
        <v>#N/A</v>
      </c>
      <c r="V11" s="709" t="s">
        <v>17</v>
      </c>
      <c r="W11" s="710" t="e">
        <f t="shared" si="2"/>
        <v>#N/A</v>
      </c>
      <c r="X11" s="711"/>
      <c r="Y11" s="3415"/>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503"/>
      <c r="Q12" s="1477">
        <f t="shared" si="6"/>
        <v>111</v>
      </c>
      <c r="R12" s="709" t="s">
        <v>17</v>
      </c>
      <c r="S12" s="710">
        <f t="shared" si="0"/>
        <v>100</v>
      </c>
      <c r="T12" s="709" t="s">
        <v>17</v>
      </c>
      <c r="U12" s="710">
        <f t="shared" si="1"/>
        <v>100</v>
      </c>
      <c r="V12" s="709" t="s">
        <v>17</v>
      </c>
      <c r="W12" s="710">
        <f t="shared" si="2"/>
        <v>100</v>
      </c>
      <c r="X12" s="711"/>
      <c r="Y12" s="3415"/>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503"/>
      <c r="Q13" s="1477">
        <f t="shared" si="6"/>
        <v>111</v>
      </c>
      <c r="R13" s="709" t="s">
        <v>17</v>
      </c>
      <c r="S13" s="710">
        <f t="shared" si="0"/>
        <v>100</v>
      </c>
      <c r="T13" s="709" t="s">
        <v>17</v>
      </c>
      <c r="U13" s="710">
        <f t="shared" si="1"/>
        <v>100</v>
      </c>
      <c r="V13" s="709" t="s">
        <v>17</v>
      </c>
      <c r="W13" s="710">
        <f t="shared" si="2"/>
        <v>100</v>
      </c>
      <c r="X13" s="711"/>
      <c r="Y13" s="3415"/>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503"/>
      <c r="Q14" s="1477">
        <f t="shared" si="6"/>
        <v>111</v>
      </c>
      <c r="R14" s="709" t="s">
        <v>17</v>
      </c>
      <c r="S14" s="710">
        <f t="shared" si="0"/>
        <v>100</v>
      </c>
      <c r="T14" s="709" t="s">
        <v>17</v>
      </c>
      <c r="U14" s="710">
        <f t="shared" si="1"/>
        <v>100</v>
      </c>
      <c r="V14" s="709" t="s">
        <v>17</v>
      </c>
      <c r="W14" s="710">
        <f t="shared" si="2"/>
        <v>100</v>
      </c>
      <c r="X14" s="711"/>
      <c r="Y14" s="3415"/>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05" t="s">
        <v>2140</v>
      </c>
      <c r="Q15" s="1486" t="str">
        <f t="shared" si="6"/>
        <v>产业集聚程度</v>
      </c>
      <c r="R15" s="713" t="s">
        <v>17</v>
      </c>
      <c r="S15" s="714">
        <f t="shared" si="0"/>
        <v>100</v>
      </c>
      <c r="T15" s="713" t="s">
        <v>17</v>
      </c>
      <c r="U15" s="714">
        <f t="shared" si="1"/>
        <v>100</v>
      </c>
      <c r="V15" s="713" t="s">
        <v>17</v>
      </c>
      <c r="W15" s="714">
        <f t="shared" si="2"/>
        <v>100</v>
      </c>
      <c r="X15" s="1489"/>
      <c r="Y15" s="3505"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06"/>
      <c r="Q16" s="1486"/>
      <c r="R16" s="713"/>
      <c r="S16" s="714"/>
      <c r="T16" s="713"/>
      <c r="U16" s="714"/>
      <c r="V16" s="713"/>
      <c r="W16" s="714"/>
      <c r="X16" s="1489"/>
      <c r="Y16" s="3506"/>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06"/>
      <c r="Q17" s="1486" t="str">
        <f>B17</f>
        <v>交通便捷度</v>
      </c>
      <c r="R17" s="713" t="s">
        <v>17</v>
      </c>
      <c r="S17" s="714">
        <f>F17</f>
        <v>100</v>
      </c>
      <c r="T17" s="713" t="s">
        <v>17</v>
      </c>
      <c r="U17" s="714">
        <f>H17</f>
        <v>100</v>
      </c>
      <c r="V17" s="713" t="s">
        <v>17</v>
      </c>
      <c r="W17" s="714">
        <f>J17</f>
        <v>100</v>
      </c>
      <c r="X17" s="1489"/>
      <c r="Y17" s="3506"/>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06"/>
      <c r="Q18" s="1486"/>
      <c r="R18" s="713"/>
      <c r="S18" s="714"/>
      <c r="T18" s="713"/>
      <c r="U18" s="714"/>
      <c r="V18" s="713"/>
      <c r="W18" s="714"/>
      <c r="X18" s="1489"/>
      <c r="Y18" s="3506"/>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06"/>
      <c r="Q19" s="1486" t="str">
        <f>B19</f>
        <v>公共配套设施</v>
      </c>
      <c r="R19" s="713" t="s">
        <v>17</v>
      </c>
      <c r="S19" s="714">
        <f>F19</f>
        <v>100</v>
      </c>
      <c r="T19" s="713" t="s">
        <v>17</v>
      </c>
      <c r="U19" s="714">
        <f>H19</f>
        <v>100</v>
      </c>
      <c r="V19" s="713" t="s">
        <v>17</v>
      </c>
      <c r="W19" s="714">
        <f>J19</f>
        <v>100</v>
      </c>
      <c r="X19" s="1489"/>
      <c r="Y19" s="3506"/>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06"/>
      <c r="Q20" s="1486"/>
      <c r="R20" s="713"/>
      <c r="S20" s="714"/>
      <c r="T20" s="713"/>
      <c r="U20" s="714"/>
      <c r="V20" s="713"/>
      <c r="W20" s="714"/>
      <c r="X20" s="1489"/>
      <c r="Y20" s="3506"/>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06"/>
      <c r="Q21" s="1486" t="str">
        <f>B21</f>
        <v>基础设施水平</v>
      </c>
      <c r="R21" s="713" t="s">
        <v>17</v>
      </c>
      <c r="S21" s="714">
        <f>F21</f>
        <v>100</v>
      </c>
      <c r="T21" s="713" t="s">
        <v>17</v>
      </c>
      <c r="U21" s="714">
        <f>H21</f>
        <v>100</v>
      </c>
      <c r="V21" s="713" t="s">
        <v>17</v>
      </c>
      <c r="W21" s="714">
        <f>J21</f>
        <v>100</v>
      </c>
      <c r="X21" s="1489"/>
      <c r="Y21" s="3506"/>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06"/>
      <c r="Q22" s="1486"/>
      <c r="R22" s="713"/>
      <c r="S22" s="714"/>
      <c r="T22" s="713"/>
      <c r="U22" s="714"/>
      <c r="V22" s="713"/>
      <c r="W22" s="714"/>
      <c r="X22" s="1489"/>
      <c r="Y22" s="3506"/>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06"/>
      <c r="Q23" s="1486" t="str">
        <f>B23</f>
        <v>环境质量</v>
      </c>
      <c r="R23" s="713" t="s">
        <v>17</v>
      </c>
      <c r="S23" s="714">
        <f>F23</f>
        <v>100</v>
      </c>
      <c r="T23" s="713" t="s">
        <v>17</v>
      </c>
      <c r="U23" s="714">
        <f>H23</f>
        <v>100</v>
      </c>
      <c r="V23" s="713" t="s">
        <v>17</v>
      </c>
      <c r="W23" s="714">
        <f>J23</f>
        <v>100</v>
      </c>
      <c r="X23" s="1489"/>
      <c r="Y23" s="3506"/>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06"/>
      <c r="Q24" s="1486"/>
      <c r="R24" s="713"/>
      <c r="S24" s="714"/>
      <c r="T24" s="713"/>
      <c r="U24" s="714"/>
      <c r="V24" s="713"/>
      <c r="W24" s="714"/>
      <c r="X24" s="1489"/>
      <c r="Y24" s="3506"/>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06"/>
      <c r="Q25" s="1486">
        <f>B25</f>
        <v>111</v>
      </c>
      <c r="R25" s="713" t="s">
        <v>17</v>
      </c>
      <c r="S25" s="714">
        <f>F25</f>
        <v>100</v>
      </c>
      <c r="T25" s="713" t="s">
        <v>17</v>
      </c>
      <c r="U25" s="714">
        <f>H25</f>
        <v>100</v>
      </c>
      <c r="V25" s="713" t="s">
        <v>17</v>
      </c>
      <c r="W25" s="714">
        <f>J25</f>
        <v>100</v>
      </c>
      <c r="X25" s="1489"/>
      <c r="Y25" s="3506"/>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06"/>
      <c r="Q26" s="1486">
        <f t="shared" ref="Q26:Q40" si="11">B26</f>
        <v>111</v>
      </c>
      <c r="R26" s="713" t="s">
        <v>17</v>
      </c>
      <c r="S26" s="714">
        <f>F26</f>
        <v>100</v>
      </c>
      <c r="T26" s="713" t="s">
        <v>17</v>
      </c>
      <c r="U26" s="714">
        <f>H26</f>
        <v>100</v>
      </c>
      <c r="V26" s="713" t="s">
        <v>17</v>
      </c>
      <c r="W26" s="714">
        <f>J26</f>
        <v>100</v>
      </c>
      <c r="X26" s="1489"/>
      <c r="Y26" s="3506"/>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06"/>
      <c r="Q27" s="1477">
        <f t="shared" si="11"/>
        <v>111</v>
      </c>
      <c r="R27" s="709" t="s">
        <v>17</v>
      </c>
      <c r="S27" s="710">
        <f>F27</f>
        <v>100</v>
      </c>
      <c r="T27" s="709" t="s">
        <v>17</v>
      </c>
      <c r="U27" s="710">
        <f>H27</f>
        <v>100</v>
      </c>
      <c r="V27" s="709" t="s">
        <v>17</v>
      </c>
      <c r="W27" s="710">
        <f>J27</f>
        <v>100</v>
      </c>
      <c r="X27" s="711"/>
      <c r="Y27" s="3506"/>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06"/>
      <c r="Q28" s="1486">
        <f t="shared" si="11"/>
        <v>111</v>
      </c>
      <c r="R28" s="713" t="s">
        <v>17</v>
      </c>
      <c r="S28" s="714">
        <f t="shared" ref="S28:S40" si="12">F28</f>
        <v>100</v>
      </c>
      <c r="T28" s="713" t="s">
        <v>17</v>
      </c>
      <c r="U28" s="714">
        <f t="shared" ref="U28:U40" si="13">H28</f>
        <v>100</v>
      </c>
      <c r="V28" s="713" t="s">
        <v>17</v>
      </c>
      <c r="W28" s="714">
        <f t="shared" ref="W28:W40" si="14">J28</f>
        <v>100</v>
      </c>
      <c r="X28" s="1489"/>
      <c r="Y28" s="3506"/>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35" t="s">
        <v>2145</v>
      </c>
      <c r="Q29" s="1486" t="str">
        <f t="shared" si="11"/>
        <v>建筑类型</v>
      </c>
      <c r="R29" s="713" t="s">
        <v>17</v>
      </c>
      <c r="S29" s="714">
        <f t="shared" si="12"/>
        <v>100</v>
      </c>
      <c r="T29" s="713" t="s">
        <v>17</v>
      </c>
      <c r="U29" s="714">
        <f t="shared" si="13"/>
        <v>100</v>
      </c>
      <c r="V29" s="713" t="s">
        <v>17</v>
      </c>
      <c r="W29" s="714">
        <f t="shared" si="14"/>
        <v>100</v>
      </c>
      <c r="X29" s="1489"/>
      <c r="Y29" s="3510"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10"/>
      <c r="Q30" s="715" t="str">
        <f t="shared" si="11"/>
        <v>项目建筑规模</v>
      </c>
      <c r="R30" s="716" t="s">
        <v>17</v>
      </c>
      <c r="S30" s="717" t="e">
        <f t="shared" si="12"/>
        <v>#N/A</v>
      </c>
      <c r="T30" s="716" t="s">
        <v>17</v>
      </c>
      <c r="U30" s="717" t="e">
        <f t="shared" si="13"/>
        <v>#N/A</v>
      </c>
      <c r="V30" s="716" t="s">
        <v>17</v>
      </c>
      <c r="W30" s="717" t="e">
        <f t="shared" si="14"/>
        <v>#N/A</v>
      </c>
      <c r="X30" s="718"/>
      <c r="Y30" s="3510"/>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10"/>
      <c r="Q31" s="1486" t="str">
        <f t="shared" si="11"/>
        <v>建筑结构</v>
      </c>
      <c r="R31" s="713" t="s">
        <v>17</v>
      </c>
      <c r="S31" s="714">
        <f t="shared" si="12"/>
        <v>100</v>
      </c>
      <c r="T31" s="713" t="s">
        <v>17</v>
      </c>
      <c r="U31" s="714">
        <f t="shared" si="13"/>
        <v>100</v>
      </c>
      <c r="V31" s="713" t="s">
        <v>17</v>
      </c>
      <c r="W31" s="714">
        <f t="shared" si="14"/>
        <v>100</v>
      </c>
      <c r="X31" s="1489"/>
      <c r="Y31" s="3510"/>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10"/>
      <c r="Q32" s="1486" t="str">
        <f t="shared" si="11"/>
        <v>公共部分装修</v>
      </c>
      <c r="R32" s="713" t="s">
        <v>17</v>
      </c>
      <c r="S32" s="714">
        <f t="shared" si="12"/>
        <v>100</v>
      </c>
      <c r="T32" s="713" t="s">
        <v>17</v>
      </c>
      <c r="U32" s="714">
        <f t="shared" si="13"/>
        <v>100</v>
      </c>
      <c r="V32" s="713" t="s">
        <v>17</v>
      </c>
      <c r="W32" s="714">
        <f t="shared" si="14"/>
        <v>100</v>
      </c>
      <c r="X32" s="1489"/>
      <c r="Y32" s="3510"/>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10"/>
      <c r="Q33" s="1486" t="str">
        <f t="shared" si="11"/>
        <v>成新度</v>
      </c>
      <c r="R33" s="713" t="s">
        <v>17</v>
      </c>
      <c r="S33" s="714" t="e">
        <f t="shared" si="12"/>
        <v>#N/A</v>
      </c>
      <c r="T33" s="713" t="s">
        <v>17</v>
      </c>
      <c r="U33" s="714" t="e">
        <f t="shared" si="13"/>
        <v>#N/A</v>
      </c>
      <c r="V33" s="713" t="s">
        <v>17</v>
      </c>
      <c r="W33" s="714" t="e">
        <f t="shared" si="14"/>
        <v>#N/A</v>
      </c>
      <c r="X33" s="1489"/>
      <c r="Y33" s="3510"/>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10"/>
      <c r="Q34" s="1477" t="str">
        <f t="shared" si="11"/>
        <v>物业管理</v>
      </c>
      <c r="R34" s="709" t="s">
        <v>17</v>
      </c>
      <c r="S34" s="710">
        <f t="shared" si="12"/>
        <v>100</v>
      </c>
      <c r="T34" s="709" t="s">
        <v>17</v>
      </c>
      <c r="U34" s="710">
        <f t="shared" si="13"/>
        <v>100</v>
      </c>
      <c r="V34" s="709" t="s">
        <v>17</v>
      </c>
      <c r="W34" s="710">
        <f t="shared" si="14"/>
        <v>100</v>
      </c>
      <c r="X34" s="711"/>
      <c r="Y34" s="3510"/>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10" t="s">
        <v>2145</v>
      </c>
      <c r="Q35" s="1486" t="str">
        <f t="shared" si="11"/>
        <v>市政基础设施</v>
      </c>
      <c r="R35" s="713" t="s">
        <v>17</v>
      </c>
      <c r="S35" s="714">
        <f t="shared" si="12"/>
        <v>100</v>
      </c>
      <c r="T35" s="713" t="s">
        <v>17</v>
      </c>
      <c r="U35" s="714">
        <f t="shared" si="13"/>
        <v>100</v>
      </c>
      <c r="V35" s="713" t="s">
        <v>17</v>
      </c>
      <c r="W35" s="714">
        <f t="shared" si="14"/>
        <v>100</v>
      </c>
      <c r="X35" s="1489"/>
      <c r="Y35" s="3510"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10"/>
      <c r="Q36" s="1486" t="str">
        <f t="shared" si="11"/>
        <v>内部装修</v>
      </c>
      <c r="R36" s="713" t="s">
        <v>17</v>
      </c>
      <c r="S36" s="714">
        <f t="shared" si="12"/>
        <v>100</v>
      </c>
      <c r="T36" s="713" t="s">
        <v>17</v>
      </c>
      <c r="U36" s="714">
        <f t="shared" si="13"/>
        <v>100</v>
      </c>
      <c r="V36" s="713" t="s">
        <v>17</v>
      </c>
      <c r="W36" s="714">
        <f t="shared" si="14"/>
        <v>100</v>
      </c>
      <c r="X36" s="1489"/>
      <c r="Y36" s="3510"/>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10"/>
      <c r="Q37" s="1486" t="str">
        <f t="shared" si="11"/>
        <v>内部装修状况</v>
      </c>
      <c r="R37" s="713" t="s">
        <v>17</v>
      </c>
      <c r="S37" s="714">
        <f t="shared" si="12"/>
        <v>100</v>
      </c>
      <c r="T37" s="713" t="s">
        <v>17</v>
      </c>
      <c r="U37" s="714">
        <f t="shared" si="13"/>
        <v>100</v>
      </c>
      <c r="V37" s="713" t="s">
        <v>17</v>
      </c>
      <c r="W37" s="714">
        <f t="shared" si="14"/>
        <v>100</v>
      </c>
      <c r="X37" s="1489"/>
      <c r="Y37" s="3510"/>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10"/>
      <c r="Q38" s="715">
        <f t="shared" si="11"/>
        <v>111</v>
      </c>
      <c r="R38" s="716" t="s">
        <v>17</v>
      </c>
      <c r="S38" s="717">
        <f t="shared" si="12"/>
        <v>100</v>
      </c>
      <c r="T38" s="716" t="s">
        <v>17</v>
      </c>
      <c r="U38" s="717">
        <f t="shared" si="13"/>
        <v>100</v>
      </c>
      <c r="V38" s="716" t="s">
        <v>17</v>
      </c>
      <c r="W38" s="717">
        <f t="shared" si="14"/>
        <v>100</v>
      </c>
      <c r="X38" s="718"/>
      <c r="Y38" s="3510"/>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10"/>
      <c r="Q39" s="1486">
        <f t="shared" si="11"/>
        <v>111</v>
      </c>
      <c r="R39" s="713" t="s">
        <v>17</v>
      </c>
      <c r="S39" s="714">
        <f t="shared" si="12"/>
        <v>100</v>
      </c>
      <c r="T39" s="713" t="s">
        <v>17</v>
      </c>
      <c r="U39" s="714">
        <f t="shared" si="13"/>
        <v>100</v>
      </c>
      <c r="V39" s="713" t="s">
        <v>17</v>
      </c>
      <c r="W39" s="714">
        <f t="shared" si="14"/>
        <v>100</v>
      </c>
      <c r="X39" s="1489"/>
      <c r="Y39" s="3510"/>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11"/>
      <c r="Q40" s="1486">
        <f t="shared" si="11"/>
        <v>111</v>
      </c>
      <c r="R40" s="713" t="s">
        <v>17</v>
      </c>
      <c r="S40" s="714">
        <f t="shared" si="12"/>
        <v>100</v>
      </c>
      <c r="T40" s="713" t="s">
        <v>17</v>
      </c>
      <c r="U40" s="714">
        <f t="shared" si="13"/>
        <v>100</v>
      </c>
      <c r="V40" s="713" t="s">
        <v>17</v>
      </c>
      <c r="W40" s="714">
        <f t="shared" si="14"/>
        <v>100</v>
      </c>
      <c r="X40" s="1489"/>
      <c r="Y40" s="3511"/>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503" t="str">
        <f>A41</f>
        <v>成交单价（元/平方米）</v>
      </c>
      <c r="Q41" s="3503"/>
      <c r="R41" s="3504">
        <f>E41</f>
        <v>0</v>
      </c>
      <c r="S41" s="3504"/>
      <c r="T41" s="3504">
        <f>G41</f>
        <v>0</v>
      </c>
      <c r="U41" s="3504"/>
      <c r="V41" s="3504">
        <f>I41</f>
        <v>0</v>
      </c>
      <c r="W41" s="3504"/>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503" t="str">
        <f>A42</f>
        <v>比较价值（元/平方米）</v>
      </c>
      <c r="Q42" s="35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500" t="str">
        <f>A43</f>
        <v>估价对象XX用房的比较价值（楼面单价，元/平方米）</v>
      </c>
      <c r="Q43" s="3501"/>
      <c r="R43" s="3502" t="e">
        <f>IF(F1="售价",ROUND(IF(D42="简单平均",AVERAGE(R42:V42),R42*F42+T42*H42+V42*J42),0),ROUND(IF(D42="简单平均",AVERAGE(R42:V42),R42*F42+T42*H42+V42*J42),1))</f>
        <v>#DIV/0!</v>
      </c>
      <c r="S43" s="3502"/>
      <c r="T43" s="3502"/>
      <c r="U43" s="3502"/>
      <c r="V43" s="3502"/>
      <c r="W43" s="3502"/>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受贵公司委托，我公司对房地产抵押价值进行了预评估。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2022年7月25日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86" t="s">
        <v>2226</v>
      </c>
      <c r="D4" s="3487"/>
      <c r="E4" s="3488" t="s">
        <v>2227</v>
      </c>
      <c r="F4" s="3489"/>
      <c r="G4" s="3486" t="s">
        <v>2228</v>
      </c>
      <c r="H4" s="3487"/>
      <c r="I4" s="3486" t="s">
        <v>2229</v>
      </c>
      <c r="J4" s="3487"/>
      <c r="K4" s="567" t="s">
        <v>2230</v>
      </c>
      <c r="L4" s="2893"/>
      <c r="M4" s="2894"/>
      <c r="N4" s="2894"/>
      <c r="O4" s="2894"/>
      <c r="P4" s="3490" t="s">
        <v>2231</v>
      </c>
      <c r="Q4" s="3491"/>
      <c r="R4" s="3473" t="s">
        <v>2227</v>
      </c>
      <c r="S4" s="3474"/>
      <c r="T4" s="3473" t="s">
        <v>2228</v>
      </c>
      <c r="U4" s="3474"/>
      <c r="V4" s="3498" t="s">
        <v>2229</v>
      </c>
      <c r="W4" s="3498"/>
      <c r="X4" s="1489"/>
      <c r="Y4" s="3473" t="s">
        <v>2231</v>
      </c>
      <c r="Z4" s="3474"/>
      <c r="AA4" s="3468" t="s">
        <v>2227</v>
      </c>
      <c r="AB4" s="3469" t="s">
        <v>2228</v>
      </c>
      <c r="AC4" s="3468" t="s">
        <v>2229</v>
      </c>
    </row>
    <row r="5" spans="1:29" ht="15">
      <c r="A5" s="364"/>
      <c r="B5" s="365"/>
      <c r="C5" s="3479" t="s">
        <v>2122</v>
      </c>
      <c r="D5" s="3480"/>
      <c r="E5" s="3477" t="s">
        <v>2123</v>
      </c>
      <c r="F5" s="3478"/>
      <c r="G5" s="3479" t="s">
        <v>2124</v>
      </c>
      <c r="H5" s="3480"/>
      <c r="I5" s="3479" t="s">
        <v>2125</v>
      </c>
      <c r="J5" s="3480"/>
      <c r="K5" s="567"/>
      <c r="L5" s="2893"/>
      <c r="M5" s="2894"/>
      <c r="N5" s="2894"/>
      <c r="O5" s="2894"/>
      <c r="P5" s="3492"/>
      <c r="Q5" s="3493"/>
      <c r="R5" s="3475"/>
      <c r="S5" s="3476"/>
      <c r="T5" s="3475"/>
      <c r="U5" s="3476"/>
      <c r="V5" s="3498"/>
      <c r="W5" s="3498"/>
      <c r="X5" s="1489"/>
      <c r="Y5" s="3475"/>
      <c r="Z5" s="3476"/>
      <c r="AA5" s="3469"/>
      <c r="AB5" s="3469"/>
      <c r="AC5" s="3469"/>
    </row>
    <row r="6" spans="1:29" ht="15.75" thickBot="1">
      <c r="A6" s="366"/>
      <c r="B6" s="367"/>
      <c r="C6" s="3481" t="s">
        <v>2126</v>
      </c>
      <c r="D6" s="3482"/>
      <c r="E6" s="3483" t="s">
        <v>2126</v>
      </c>
      <c r="F6" s="3484"/>
      <c r="G6" s="3481" t="s">
        <v>2126</v>
      </c>
      <c r="H6" s="3482"/>
      <c r="I6" s="3481" t="s">
        <v>2126</v>
      </c>
      <c r="J6" s="3482"/>
      <c r="K6" s="567" t="s">
        <v>2127</v>
      </c>
      <c r="L6" s="2893"/>
      <c r="M6" s="2894"/>
      <c r="N6" s="2894"/>
      <c r="O6" s="2894"/>
      <c r="P6" s="3494"/>
      <c r="Q6" s="3495"/>
      <c r="R6" s="3475"/>
      <c r="S6" s="3476"/>
      <c r="T6" s="3496"/>
      <c r="U6" s="3497"/>
      <c r="V6" s="3498"/>
      <c r="W6" s="3498"/>
      <c r="X6" s="1489"/>
      <c r="Y6" s="3496"/>
      <c r="Z6" s="3497"/>
      <c r="AA6" s="3470"/>
      <c r="AB6" s="3470"/>
      <c r="AC6" s="3470"/>
    </row>
    <row r="7" spans="1:29" s="113" customFormat="1" ht="15.75" thickBot="1">
      <c r="A7" s="368" t="s">
        <v>2128</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71" t="s">
        <v>2129</v>
      </c>
      <c r="Q7" s="3499"/>
      <c r="R7" s="709" t="s">
        <v>17</v>
      </c>
      <c r="S7" s="710">
        <f t="shared" ref="S7:S14" si="0">F7</f>
        <v>0</v>
      </c>
      <c r="T7" s="709" t="s">
        <v>17</v>
      </c>
      <c r="U7" s="710">
        <f t="shared" ref="U7:U14" si="1">H7</f>
        <v>0</v>
      </c>
      <c r="V7" s="709" t="s">
        <v>17</v>
      </c>
      <c r="W7" s="710">
        <f t="shared" ref="W7:W14" si="2">J7</f>
        <v>0</v>
      </c>
      <c r="X7" s="711"/>
      <c r="Y7" s="3471" t="s">
        <v>2129</v>
      </c>
      <c r="Z7" s="3472"/>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71" t="s">
        <v>2132</v>
      </c>
      <c r="Q8" s="3472"/>
      <c r="R8" s="709" t="s">
        <v>17</v>
      </c>
      <c r="S8" s="710">
        <f t="shared" si="0"/>
        <v>0</v>
      </c>
      <c r="T8" s="709" t="s">
        <v>17</v>
      </c>
      <c r="U8" s="710">
        <f t="shared" si="1"/>
        <v>0</v>
      </c>
      <c r="V8" s="709" t="s">
        <v>17</v>
      </c>
      <c r="W8" s="710">
        <f t="shared" si="2"/>
        <v>0</v>
      </c>
      <c r="X8" s="711"/>
      <c r="Y8" s="3471" t="s">
        <v>2132</v>
      </c>
      <c r="Z8" s="3472"/>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03" t="s">
        <v>2135</v>
      </c>
      <c r="Q9" s="1477" t="str">
        <f t="shared" ref="Q9:Q14" si="6">B9</f>
        <v>用途</v>
      </c>
      <c r="R9" s="709" t="s">
        <v>17</v>
      </c>
      <c r="S9" s="710">
        <f t="shared" si="0"/>
        <v>100</v>
      </c>
      <c r="T9" s="709" t="s">
        <v>17</v>
      </c>
      <c r="U9" s="710">
        <f t="shared" si="1"/>
        <v>100</v>
      </c>
      <c r="V9" s="709" t="s">
        <v>17</v>
      </c>
      <c r="W9" s="710">
        <f t="shared" si="2"/>
        <v>100</v>
      </c>
      <c r="X9" s="711"/>
      <c r="Y9" s="3415"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03"/>
      <c r="Q10" s="1477" t="str">
        <f t="shared" si="6"/>
        <v>土地使用年限（年）</v>
      </c>
      <c r="R10" s="709" t="s">
        <v>17</v>
      </c>
      <c r="S10" s="710">
        <f t="shared" si="0"/>
        <v>100</v>
      </c>
      <c r="T10" s="709" t="s">
        <v>17</v>
      </c>
      <c r="U10" s="710">
        <f t="shared" si="1"/>
        <v>100</v>
      </c>
      <c r="V10" s="709" t="s">
        <v>17</v>
      </c>
      <c r="W10" s="710">
        <f t="shared" si="2"/>
        <v>100</v>
      </c>
      <c r="X10" s="711"/>
      <c r="Y10" s="3415"/>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03"/>
      <c r="Q11" s="1477">
        <f t="shared" si="6"/>
        <v>111</v>
      </c>
      <c r="R11" s="709" t="s">
        <v>17</v>
      </c>
      <c r="S11" s="710">
        <f t="shared" si="0"/>
        <v>100</v>
      </c>
      <c r="T11" s="709" t="s">
        <v>17</v>
      </c>
      <c r="U11" s="710">
        <f t="shared" si="1"/>
        <v>100</v>
      </c>
      <c r="V11" s="709" t="s">
        <v>17</v>
      </c>
      <c r="W11" s="710">
        <f t="shared" si="2"/>
        <v>100</v>
      </c>
      <c r="X11" s="711"/>
      <c r="Y11" s="3415"/>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03"/>
      <c r="Q12" s="1477">
        <f t="shared" si="6"/>
        <v>111</v>
      </c>
      <c r="R12" s="709" t="s">
        <v>17</v>
      </c>
      <c r="S12" s="710">
        <f t="shared" si="0"/>
        <v>100</v>
      </c>
      <c r="T12" s="709" t="s">
        <v>17</v>
      </c>
      <c r="U12" s="710">
        <f t="shared" si="1"/>
        <v>100</v>
      </c>
      <c r="V12" s="709" t="s">
        <v>17</v>
      </c>
      <c r="W12" s="710">
        <f t="shared" si="2"/>
        <v>100</v>
      </c>
      <c r="X12" s="711"/>
      <c r="Y12" s="3415"/>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03"/>
      <c r="Q13" s="1477">
        <f t="shared" si="6"/>
        <v>111</v>
      </c>
      <c r="R13" s="709" t="s">
        <v>17</v>
      </c>
      <c r="S13" s="710">
        <f t="shared" si="0"/>
        <v>100</v>
      </c>
      <c r="T13" s="709" t="s">
        <v>17</v>
      </c>
      <c r="U13" s="710">
        <f t="shared" si="1"/>
        <v>100</v>
      </c>
      <c r="V13" s="709" t="s">
        <v>17</v>
      </c>
      <c r="W13" s="710">
        <f t="shared" si="2"/>
        <v>100</v>
      </c>
      <c r="X13" s="711"/>
      <c r="Y13" s="3415"/>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05" t="s">
        <v>2140</v>
      </c>
      <c r="Q14" s="1486" t="str">
        <f t="shared" si="6"/>
        <v>交通便捷度</v>
      </c>
      <c r="R14" s="713" t="s">
        <v>17</v>
      </c>
      <c r="S14" s="714">
        <f t="shared" si="0"/>
        <v>100</v>
      </c>
      <c r="T14" s="713" t="s">
        <v>17</v>
      </c>
      <c r="U14" s="714">
        <f t="shared" si="1"/>
        <v>100</v>
      </c>
      <c r="V14" s="713" t="s">
        <v>17</v>
      </c>
      <c r="W14" s="714">
        <f t="shared" si="2"/>
        <v>100</v>
      </c>
      <c r="X14" s="1489"/>
      <c r="Y14" s="3505"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06"/>
      <c r="Q15" s="1486"/>
      <c r="R15" s="713"/>
      <c r="S15" s="714"/>
      <c r="T15" s="713"/>
      <c r="U15" s="714"/>
      <c r="V15" s="713"/>
      <c r="W15" s="714"/>
      <c r="X15" s="1489"/>
      <c r="Y15" s="3506"/>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06"/>
      <c r="Q16" s="1486" t="str">
        <f>B16</f>
        <v>公共配套设施</v>
      </c>
      <c r="R16" s="713" t="s">
        <v>17</v>
      </c>
      <c r="S16" s="714">
        <f>F16</f>
        <v>100</v>
      </c>
      <c r="T16" s="713" t="s">
        <v>17</v>
      </c>
      <c r="U16" s="714">
        <f>H16</f>
        <v>100</v>
      </c>
      <c r="V16" s="713" t="s">
        <v>17</v>
      </c>
      <c r="W16" s="714">
        <f>J16</f>
        <v>100</v>
      </c>
      <c r="X16" s="1489"/>
      <c r="Y16" s="3506"/>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06"/>
      <c r="Q17" s="1486"/>
      <c r="R17" s="713"/>
      <c r="S17" s="714"/>
      <c r="T17" s="713"/>
      <c r="U17" s="714"/>
      <c r="V17" s="713"/>
      <c r="W17" s="714"/>
      <c r="X17" s="1489"/>
      <c r="Y17" s="3506"/>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06"/>
      <c r="Q18" s="1486" t="str">
        <f>B18</f>
        <v>基础设施水平</v>
      </c>
      <c r="R18" s="713" t="s">
        <v>17</v>
      </c>
      <c r="S18" s="714">
        <f>F18</f>
        <v>100</v>
      </c>
      <c r="T18" s="713" t="s">
        <v>17</v>
      </c>
      <c r="U18" s="714">
        <f>H18</f>
        <v>100</v>
      </c>
      <c r="V18" s="713" t="s">
        <v>17</v>
      </c>
      <c r="W18" s="714">
        <f>J18</f>
        <v>100</v>
      </c>
      <c r="X18" s="1489"/>
      <c r="Y18" s="3506"/>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06"/>
      <c r="Q19" s="1486"/>
      <c r="R19" s="713"/>
      <c r="S19" s="714"/>
      <c r="T19" s="713"/>
      <c r="U19" s="714"/>
      <c r="V19" s="713"/>
      <c r="W19" s="714"/>
      <c r="X19" s="1489"/>
      <c r="Y19" s="3506"/>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06"/>
      <c r="Q20" s="1486" t="str">
        <f>B20</f>
        <v>自然及人文环境</v>
      </c>
      <c r="R20" s="713" t="s">
        <v>17</v>
      </c>
      <c r="S20" s="714">
        <f>F20</f>
        <v>100</v>
      </c>
      <c r="T20" s="713" t="s">
        <v>17</v>
      </c>
      <c r="U20" s="714">
        <f>H20</f>
        <v>100</v>
      </c>
      <c r="V20" s="713" t="s">
        <v>17</v>
      </c>
      <c r="W20" s="714">
        <f>J20</f>
        <v>100</v>
      </c>
      <c r="X20" s="1489"/>
      <c r="Y20" s="3506"/>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06"/>
      <c r="Q21" s="1486"/>
      <c r="R21" s="713"/>
      <c r="S21" s="714"/>
      <c r="T21" s="713"/>
      <c r="U21" s="714"/>
      <c r="V21" s="713"/>
      <c r="W21" s="714"/>
      <c r="X21" s="1489"/>
      <c r="Y21" s="3506"/>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06"/>
      <c r="Q22" s="1486" t="str">
        <f>B22</f>
        <v>楼层</v>
      </c>
      <c r="R22" s="713" t="s">
        <v>17</v>
      </c>
      <c r="S22" s="714">
        <f>F22</f>
        <v>100</v>
      </c>
      <c r="T22" s="713" t="s">
        <v>17</v>
      </c>
      <c r="U22" s="714">
        <f>H22</f>
        <v>100</v>
      </c>
      <c r="V22" s="713" t="s">
        <v>17</v>
      </c>
      <c r="W22" s="714">
        <f>J22</f>
        <v>100</v>
      </c>
      <c r="X22" s="1489"/>
      <c r="Y22" s="3506"/>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06"/>
      <c r="Q23" s="1486">
        <f>B23</f>
        <v>111</v>
      </c>
      <c r="R23" s="713" t="s">
        <v>17</v>
      </c>
      <c r="S23" s="714">
        <f>F23</f>
        <v>100</v>
      </c>
      <c r="T23" s="713" t="s">
        <v>17</v>
      </c>
      <c r="U23" s="714">
        <f>H23</f>
        <v>100</v>
      </c>
      <c r="V23" s="713" t="s">
        <v>17</v>
      </c>
      <c r="W23" s="714">
        <f>J23</f>
        <v>100</v>
      </c>
      <c r="X23" s="1489"/>
      <c r="Y23" s="3506"/>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06"/>
      <c r="Q24" s="1486">
        <f t="shared" ref="Q24:Q36" si="11">B24</f>
        <v>111</v>
      </c>
      <c r="R24" s="713" t="s">
        <v>17</v>
      </c>
      <c r="S24" s="714">
        <f>F24</f>
        <v>100</v>
      </c>
      <c r="T24" s="713" t="s">
        <v>17</v>
      </c>
      <c r="U24" s="714">
        <f>H24</f>
        <v>100</v>
      </c>
      <c r="V24" s="713" t="s">
        <v>17</v>
      </c>
      <c r="W24" s="714">
        <f>J24</f>
        <v>100</v>
      </c>
      <c r="X24" s="1489"/>
      <c r="Y24" s="3506"/>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06"/>
      <c r="Q25" s="1477">
        <f t="shared" si="11"/>
        <v>111</v>
      </c>
      <c r="R25" s="709" t="s">
        <v>17</v>
      </c>
      <c r="S25" s="710">
        <f>F25</f>
        <v>100</v>
      </c>
      <c r="T25" s="709" t="s">
        <v>17</v>
      </c>
      <c r="U25" s="710">
        <f>H25</f>
        <v>100</v>
      </c>
      <c r="V25" s="709" t="s">
        <v>17</v>
      </c>
      <c r="W25" s="710">
        <f>J25</f>
        <v>100</v>
      </c>
      <c r="X25" s="711"/>
      <c r="Y25" s="3506"/>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10"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10"/>
      <c r="Q27" s="715" t="str">
        <f t="shared" si="11"/>
        <v>项目停车位配比</v>
      </c>
      <c r="R27" s="716" t="s">
        <v>17</v>
      </c>
      <c r="S27" s="717">
        <f t="shared" si="12"/>
        <v>100</v>
      </c>
      <c r="T27" s="716" t="s">
        <v>17</v>
      </c>
      <c r="U27" s="717">
        <f t="shared" si="13"/>
        <v>100</v>
      </c>
      <c r="V27" s="716" t="s">
        <v>17</v>
      </c>
      <c r="W27" s="717">
        <f t="shared" si="14"/>
        <v>100</v>
      </c>
      <c r="X27" s="718"/>
      <c r="Y27" s="3510"/>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10"/>
      <c r="Q28" s="1486" t="str">
        <f t="shared" si="11"/>
        <v>公共部分装修</v>
      </c>
      <c r="R28" s="713" t="s">
        <v>17</v>
      </c>
      <c r="S28" s="714">
        <f t="shared" si="12"/>
        <v>100</v>
      </c>
      <c r="T28" s="713" t="s">
        <v>17</v>
      </c>
      <c r="U28" s="714">
        <f t="shared" si="13"/>
        <v>100</v>
      </c>
      <c r="V28" s="713" t="s">
        <v>17</v>
      </c>
      <c r="W28" s="714">
        <f t="shared" si="14"/>
        <v>100</v>
      </c>
      <c r="X28" s="1489"/>
      <c r="Y28" s="3510"/>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10"/>
      <c r="Q29" s="1486" t="str">
        <f t="shared" si="11"/>
        <v>成新率</v>
      </c>
      <c r="R29" s="713" t="s">
        <v>17</v>
      </c>
      <c r="S29" s="714" t="e">
        <f t="shared" si="12"/>
        <v>#N/A</v>
      </c>
      <c r="T29" s="713" t="s">
        <v>17</v>
      </c>
      <c r="U29" s="714" t="e">
        <f t="shared" si="13"/>
        <v>#N/A</v>
      </c>
      <c r="V29" s="713" t="s">
        <v>17</v>
      </c>
      <c r="W29" s="714" t="e">
        <f t="shared" si="14"/>
        <v>#N/A</v>
      </c>
      <c r="X29" s="1489"/>
      <c r="Y29" s="3510"/>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10"/>
      <c r="Q30" s="1486" t="str">
        <f t="shared" si="11"/>
        <v>物业等级</v>
      </c>
      <c r="R30" s="713" t="s">
        <v>17</v>
      </c>
      <c r="S30" s="714">
        <f t="shared" si="12"/>
        <v>100</v>
      </c>
      <c r="T30" s="713" t="s">
        <v>17</v>
      </c>
      <c r="U30" s="714">
        <f t="shared" si="13"/>
        <v>100</v>
      </c>
      <c r="V30" s="713" t="s">
        <v>17</v>
      </c>
      <c r="W30" s="714">
        <f t="shared" si="14"/>
        <v>100</v>
      </c>
      <c r="X30" s="1489"/>
      <c r="Y30" s="3510"/>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10"/>
      <c r="Q31" s="1477" t="str">
        <f t="shared" si="11"/>
        <v>停车位面积</v>
      </c>
      <c r="R31" s="709" t="s">
        <v>17</v>
      </c>
      <c r="S31" s="710" t="e">
        <f t="shared" si="12"/>
        <v>#N/A</v>
      </c>
      <c r="T31" s="709" t="s">
        <v>17</v>
      </c>
      <c r="U31" s="710" t="e">
        <f t="shared" si="13"/>
        <v>#N/A</v>
      </c>
      <c r="V31" s="709" t="s">
        <v>17</v>
      </c>
      <c r="W31" s="710" t="e">
        <f t="shared" si="14"/>
        <v>#N/A</v>
      </c>
      <c r="X31" s="711"/>
      <c r="Y31" s="3510"/>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10" t="s">
        <v>2145</v>
      </c>
      <c r="Q32" s="1486" t="str">
        <f t="shared" si="11"/>
        <v>车位类型</v>
      </c>
      <c r="R32" s="713" t="s">
        <v>17</v>
      </c>
      <c r="S32" s="714">
        <f t="shared" si="12"/>
        <v>100</v>
      </c>
      <c r="T32" s="713" t="s">
        <v>17</v>
      </c>
      <c r="U32" s="714">
        <f t="shared" si="13"/>
        <v>100</v>
      </c>
      <c r="V32" s="713" t="s">
        <v>17</v>
      </c>
      <c r="W32" s="714">
        <f t="shared" si="14"/>
        <v>100</v>
      </c>
      <c r="X32" s="1489"/>
      <c r="Y32" s="3510"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10"/>
      <c r="Q33" s="1486" t="str">
        <f t="shared" si="11"/>
        <v>是否直接入户</v>
      </c>
      <c r="R33" s="713" t="s">
        <v>17</v>
      </c>
      <c r="S33" s="714">
        <f t="shared" si="12"/>
        <v>100</v>
      </c>
      <c r="T33" s="713" t="s">
        <v>17</v>
      </c>
      <c r="U33" s="714">
        <f t="shared" si="13"/>
        <v>100</v>
      </c>
      <c r="V33" s="713" t="s">
        <v>17</v>
      </c>
      <c r="W33" s="714">
        <f t="shared" si="14"/>
        <v>100</v>
      </c>
      <c r="X33" s="1489"/>
      <c r="Y33" s="3510"/>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10"/>
      <c r="Q34" s="1486">
        <f t="shared" si="11"/>
        <v>111</v>
      </c>
      <c r="R34" s="713" t="s">
        <v>17</v>
      </c>
      <c r="S34" s="714">
        <f t="shared" si="12"/>
        <v>100</v>
      </c>
      <c r="T34" s="713" t="s">
        <v>17</v>
      </c>
      <c r="U34" s="714">
        <f t="shared" si="13"/>
        <v>100</v>
      </c>
      <c r="V34" s="713" t="s">
        <v>17</v>
      </c>
      <c r="W34" s="714">
        <f t="shared" si="14"/>
        <v>100</v>
      </c>
      <c r="X34" s="1489"/>
      <c r="Y34" s="3510"/>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10"/>
      <c r="Q35" s="715">
        <f t="shared" si="11"/>
        <v>111</v>
      </c>
      <c r="R35" s="716" t="s">
        <v>17</v>
      </c>
      <c r="S35" s="717">
        <f t="shared" si="12"/>
        <v>100</v>
      </c>
      <c r="T35" s="716" t="s">
        <v>17</v>
      </c>
      <c r="U35" s="717">
        <f t="shared" si="13"/>
        <v>100</v>
      </c>
      <c r="V35" s="716" t="s">
        <v>17</v>
      </c>
      <c r="W35" s="717">
        <f t="shared" si="14"/>
        <v>100</v>
      </c>
      <c r="X35" s="718"/>
      <c r="Y35" s="3510"/>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10"/>
      <c r="Q36" s="1486">
        <f t="shared" si="11"/>
        <v>111</v>
      </c>
      <c r="R36" s="713" t="s">
        <v>17</v>
      </c>
      <c r="S36" s="714">
        <f t="shared" si="12"/>
        <v>100</v>
      </c>
      <c r="T36" s="713" t="s">
        <v>17</v>
      </c>
      <c r="U36" s="714">
        <f t="shared" si="13"/>
        <v>100</v>
      </c>
      <c r="V36" s="713" t="s">
        <v>17</v>
      </c>
      <c r="W36" s="714">
        <f t="shared" si="14"/>
        <v>100</v>
      </c>
      <c r="X36" s="1489"/>
      <c r="Y36" s="3510"/>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03" t="str">
        <f>A37</f>
        <v>成交单价</v>
      </c>
      <c r="Q37" s="3503"/>
      <c r="R37" s="3504">
        <f>E37</f>
        <v>0</v>
      </c>
      <c r="S37" s="3504"/>
      <c r="T37" s="3504">
        <f>G37</f>
        <v>0</v>
      </c>
      <c r="U37" s="3504"/>
      <c r="V37" s="3504">
        <f>I37</f>
        <v>0</v>
      </c>
      <c r="W37" s="3504"/>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03" t="str">
        <f>A38</f>
        <v>比较价值（元/平方米）</v>
      </c>
      <c r="Q38" s="3503"/>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500" t="str">
        <f>A39</f>
        <v>估价对象XX用房的比较价值（楼面单价，元/平方米）</v>
      </c>
      <c r="Q39" s="3501"/>
      <c r="R39" s="3536" t="e">
        <f>IF(F1="售价",ROUND(IF(D38="简单平均",AVERAGE(R38:W38),R38*F38+T38*H38+V38*J38),0),ROUND(IF(D38="简单平均",AVERAGE(R38:V38),R38*F38+T38*H38+V38*J38),1))</f>
        <v>#DIV/0!</v>
      </c>
      <c r="S39" s="3536"/>
      <c r="T39" s="3536"/>
      <c r="U39" s="3536"/>
      <c r="V39" s="3536"/>
      <c r="W39" s="353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6" t="s">
        <v>2226</v>
      </c>
      <c r="D4" s="3487"/>
      <c r="E4" s="3488" t="s">
        <v>2227</v>
      </c>
      <c r="F4" s="3489"/>
      <c r="G4" s="3486" t="s">
        <v>2228</v>
      </c>
      <c r="H4" s="3487"/>
      <c r="I4" s="3486" t="s">
        <v>2229</v>
      </c>
      <c r="J4" s="3487"/>
      <c r="K4" s="567" t="s">
        <v>2230</v>
      </c>
      <c r="L4" s="2893"/>
      <c r="M4" s="2894"/>
      <c r="N4" s="2894"/>
      <c r="O4" s="2894"/>
      <c r="P4" s="3490" t="s">
        <v>2231</v>
      </c>
      <c r="Q4" s="3491"/>
      <c r="R4" s="3473" t="s">
        <v>2227</v>
      </c>
      <c r="S4" s="3474"/>
      <c r="T4" s="3473" t="s">
        <v>2228</v>
      </c>
      <c r="U4" s="3474"/>
      <c r="V4" s="3498" t="s">
        <v>2229</v>
      </c>
      <c r="W4" s="3498"/>
      <c r="X4" s="1489"/>
      <c r="Y4" s="3473" t="s">
        <v>2231</v>
      </c>
      <c r="Z4" s="3474"/>
      <c r="AA4" s="3468" t="s">
        <v>2227</v>
      </c>
      <c r="AB4" s="3469" t="s">
        <v>2228</v>
      </c>
      <c r="AC4" s="3468" t="s">
        <v>2229</v>
      </c>
    </row>
    <row r="5" spans="1:29" ht="15">
      <c r="A5" s="364"/>
      <c r="B5" s="365"/>
      <c r="C5" s="3479" t="s">
        <v>2122</v>
      </c>
      <c r="D5" s="3480"/>
      <c r="E5" s="3477" t="s">
        <v>2123</v>
      </c>
      <c r="F5" s="3478"/>
      <c r="G5" s="3479" t="s">
        <v>2124</v>
      </c>
      <c r="H5" s="3480"/>
      <c r="I5" s="3479" t="s">
        <v>2125</v>
      </c>
      <c r="J5" s="3480"/>
      <c r="K5" s="567"/>
      <c r="L5" s="2893"/>
      <c r="M5" s="2894"/>
      <c r="N5" s="2894"/>
      <c r="O5" s="2894"/>
      <c r="P5" s="3492"/>
      <c r="Q5" s="3493"/>
      <c r="R5" s="3475"/>
      <c r="S5" s="3476"/>
      <c r="T5" s="3475"/>
      <c r="U5" s="3476"/>
      <c r="V5" s="3498"/>
      <c r="W5" s="3498"/>
      <c r="X5" s="1489"/>
      <c r="Y5" s="3475"/>
      <c r="Z5" s="3476"/>
      <c r="AA5" s="3469"/>
      <c r="AB5" s="3469"/>
      <c r="AC5" s="3469"/>
    </row>
    <row r="6" spans="1:29" ht="15.75" thickBot="1">
      <c r="A6" s="366"/>
      <c r="B6" s="367"/>
      <c r="C6" s="3481" t="s">
        <v>2126</v>
      </c>
      <c r="D6" s="3482"/>
      <c r="E6" s="3483" t="s">
        <v>2126</v>
      </c>
      <c r="F6" s="3484"/>
      <c r="G6" s="3481" t="s">
        <v>2126</v>
      </c>
      <c r="H6" s="3482"/>
      <c r="I6" s="3481" t="s">
        <v>2126</v>
      </c>
      <c r="J6" s="3482"/>
      <c r="K6" s="567" t="s">
        <v>2127</v>
      </c>
      <c r="L6" s="2893"/>
      <c r="M6" s="2894"/>
      <c r="N6" s="2894"/>
      <c r="O6" s="2894"/>
      <c r="P6" s="3494"/>
      <c r="Q6" s="3495"/>
      <c r="R6" s="3475"/>
      <c r="S6" s="3476"/>
      <c r="T6" s="3496"/>
      <c r="U6" s="3497"/>
      <c r="V6" s="3498"/>
      <c r="W6" s="3498"/>
      <c r="X6" s="1489"/>
      <c r="Y6" s="3496"/>
      <c r="Z6" s="3497"/>
      <c r="AA6" s="3470"/>
      <c r="AB6" s="3470"/>
      <c r="AC6" s="3470"/>
    </row>
    <row r="7" spans="1:29" s="113" customFormat="1" ht="15.75" thickBot="1">
      <c r="A7" s="368" t="s">
        <v>2128</v>
      </c>
      <c r="B7" s="369"/>
      <c r="C7" s="370">
        <f>'数据-取费表'!B2</f>
        <v>44767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71" t="s">
        <v>2129</v>
      </c>
      <c r="Q7" s="3499"/>
      <c r="R7" s="709" t="s">
        <v>17</v>
      </c>
      <c r="S7" s="710">
        <f t="shared" ref="S7:S14" si="0">F7</f>
        <v>0</v>
      </c>
      <c r="T7" s="709" t="s">
        <v>17</v>
      </c>
      <c r="U7" s="710">
        <f t="shared" ref="U7:U14" si="1">H7</f>
        <v>0</v>
      </c>
      <c r="V7" s="709" t="s">
        <v>17</v>
      </c>
      <c r="W7" s="710">
        <f t="shared" ref="W7:W14" si="2">J7</f>
        <v>0</v>
      </c>
      <c r="X7" s="711"/>
      <c r="Y7" s="3471" t="s">
        <v>2129</v>
      </c>
      <c r="Z7" s="3472"/>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71" t="s">
        <v>2132</v>
      </c>
      <c r="Q8" s="3472"/>
      <c r="R8" s="709" t="s">
        <v>17</v>
      </c>
      <c r="S8" s="710">
        <f t="shared" si="0"/>
        <v>0</v>
      </c>
      <c r="T8" s="709" t="s">
        <v>17</v>
      </c>
      <c r="U8" s="710">
        <f t="shared" si="1"/>
        <v>0</v>
      </c>
      <c r="V8" s="709" t="s">
        <v>17</v>
      </c>
      <c r="W8" s="710">
        <f t="shared" si="2"/>
        <v>0</v>
      </c>
      <c r="X8" s="711"/>
      <c r="Y8" s="3471" t="s">
        <v>2132</v>
      </c>
      <c r="Z8" s="3472"/>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03" t="s">
        <v>2135</v>
      </c>
      <c r="Q9" s="1477" t="str">
        <f t="shared" ref="Q9:Q14" si="6">B9</f>
        <v>用途</v>
      </c>
      <c r="R9" s="709" t="s">
        <v>17</v>
      </c>
      <c r="S9" s="710">
        <f t="shared" si="0"/>
        <v>100</v>
      </c>
      <c r="T9" s="709" t="s">
        <v>17</v>
      </c>
      <c r="U9" s="710">
        <f t="shared" si="1"/>
        <v>100</v>
      </c>
      <c r="V9" s="709" t="s">
        <v>17</v>
      </c>
      <c r="W9" s="710">
        <f t="shared" si="2"/>
        <v>100</v>
      </c>
      <c r="X9" s="711"/>
      <c r="Y9" s="3415"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03"/>
      <c r="Q10" s="1477" t="str">
        <f t="shared" si="6"/>
        <v>土地使用年限（年）</v>
      </c>
      <c r="R10" s="709" t="s">
        <v>17</v>
      </c>
      <c r="S10" s="710">
        <f t="shared" si="0"/>
        <v>100</v>
      </c>
      <c r="T10" s="709" t="s">
        <v>17</v>
      </c>
      <c r="U10" s="710">
        <f t="shared" si="1"/>
        <v>100</v>
      </c>
      <c r="V10" s="709" t="s">
        <v>17</v>
      </c>
      <c r="W10" s="710">
        <f t="shared" si="2"/>
        <v>100</v>
      </c>
      <c r="X10" s="711"/>
      <c r="Y10" s="3415"/>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03"/>
      <c r="Q11" s="1477">
        <f t="shared" si="6"/>
        <v>111</v>
      </c>
      <c r="R11" s="709" t="s">
        <v>17</v>
      </c>
      <c r="S11" s="710">
        <f t="shared" si="0"/>
        <v>100</v>
      </c>
      <c r="T11" s="709" t="s">
        <v>17</v>
      </c>
      <c r="U11" s="710">
        <f t="shared" si="1"/>
        <v>100</v>
      </c>
      <c r="V11" s="709" t="s">
        <v>17</v>
      </c>
      <c r="W11" s="710">
        <f t="shared" si="2"/>
        <v>100</v>
      </c>
      <c r="X11" s="711"/>
      <c r="Y11" s="3415"/>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03"/>
      <c r="Q12" s="1477">
        <f t="shared" si="6"/>
        <v>111</v>
      </c>
      <c r="R12" s="709" t="s">
        <v>17</v>
      </c>
      <c r="S12" s="710">
        <f t="shared" si="0"/>
        <v>100</v>
      </c>
      <c r="T12" s="709" t="s">
        <v>17</v>
      </c>
      <c r="U12" s="710">
        <f t="shared" si="1"/>
        <v>100</v>
      </c>
      <c r="V12" s="709" t="s">
        <v>17</v>
      </c>
      <c r="W12" s="710">
        <f t="shared" si="2"/>
        <v>100</v>
      </c>
      <c r="X12" s="711"/>
      <c r="Y12" s="3415"/>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03"/>
      <c r="Q13" s="1477">
        <f t="shared" si="6"/>
        <v>111</v>
      </c>
      <c r="R13" s="709" t="s">
        <v>17</v>
      </c>
      <c r="S13" s="710">
        <f t="shared" si="0"/>
        <v>100</v>
      </c>
      <c r="T13" s="709" t="s">
        <v>17</v>
      </c>
      <c r="U13" s="710">
        <f t="shared" si="1"/>
        <v>100</v>
      </c>
      <c r="V13" s="709" t="s">
        <v>17</v>
      </c>
      <c r="W13" s="710">
        <f t="shared" si="2"/>
        <v>100</v>
      </c>
      <c r="X13" s="711"/>
      <c r="Y13" s="3415"/>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05" t="s">
        <v>2140</v>
      </c>
      <c r="Q14" s="1486" t="str">
        <f t="shared" si="6"/>
        <v>交通便捷度</v>
      </c>
      <c r="R14" s="713" t="s">
        <v>17</v>
      </c>
      <c r="S14" s="714">
        <f t="shared" si="0"/>
        <v>100</v>
      </c>
      <c r="T14" s="713" t="s">
        <v>17</v>
      </c>
      <c r="U14" s="714">
        <f t="shared" si="1"/>
        <v>100</v>
      </c>
      <c r="V14" s="713" t="s">
        <v>17</v>
      </c>
      <c r="W14" s="714">
        <f t="shared" si="2"/>
        <v>100</v>
      </c>
      <c r="X14" s="1489"/>
      <c r="Y14" s="3505"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06"/>
      <c r="Q15" s="1486"/>
      <c r="R15" s="713"/>
      <c r="S15" s="714"/>
      <c r="T15" s="713"/>
      <c r="U15" s="714"/>
      <c r="V15" s="713"/>
      <c r="W15" s="714"/>
      <c r="X15" s="1489"/>
      <c r="Y15" s="3506"/>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06"/>
      <c r="Q16" s="1486" t="str">
        <f>B16</f>
        <v>公共配套设施</v>
      </c>
      <c r="R16" s="713" t="s">
        <v>17</v>
      </c>
      <c r="S16" s="714">
        <f>F16</f>
        <v>100</v>
      </c>
      <c r="T16" s="713" t="s">
        <v>17</v>
      </c>
      <c r="U16" s="714">
        <f>H16</f>
        <v>100</v>
      </c>
      <c r="V16" s="713" t="s">
        <v>17</v>
      </c>
      <c r="W16" s="714">
        <f>J16</f>
        <v>100</v>
      </c>
      <c r="X16" s="1489"/>
      <c r="Y16" s="3506"/>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06"/>
      <c r="Q17" s="1486"/>
      <c r="R17" s="713"/>
      <c r="S17" s="714"/>
      <c r="T17" s="713"/>
      <c r="U17" s="714"/>
      <c r="V17" s="713"/>
      <c r="W17" s="714"/>
      <c r="X17" s="1489"/>
      <c r="Y17" s="3506"/>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06"/>
      <c r="Q18" s="1486" t="str">
        <f>B18</f>
        <v>基础设施水平</v>
      </c>
      <c r="R18" s="713" t="s">
        <v>17</v>
      </c>
      <c r="S18" s="714">
        <f>F18</f>
        <v>100</v>
      </c>
      <c r="T18" s="713" t="s">
        <v>17</v>
      </c>
      <c r="U18" s="714">
        <f>H18</f>
        <v>100</v>
      </c>
      <c r="V18" s="713" t="s">
        <v>17</v>
      </c>
      <c r="W18" s="714">
        <f>J18</f>
        <v>100</v>
      </c>
      <c r="X18" s="1489"/>
      <c r="Y18" s="3506"/>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06"/>
      <c r="Q19" s="1486"/>
      <c r="R19" s="713"/>
      <c r="S19" s="714"/>
      <c r="T19" s="713"/>
      <c r="U19" s="714"/>
      <c r="V19" s="713"/>
      <c r="W19" s="714"/>
      <c r="X19" s="1489"/>
      <c r="Y19" s="3506"/>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06"/>
      <c r="Q20" s="1486" t="str">
        <f>B20</f>
        <v>自然及人文环境</v>
      </c>
      <c r="R20" s="713" t="s">
        <v>17</v>
      </c>
      <c r="S20" s="714">
        <f>F20</f>
        <v>100</v>
      </c>
      <c r="T20" s="713" t="s">
        <v>17</v>
      </c>
      <c r="U20" s="714">
        <f>H20</f>
        <v>100</v>
      </c>
      <c r="V20" s="713" t="s">
        <v>17</v>
      </c>
      <c r="W20" s="714">
        <f>J20</f>
        <v>100</v>
      </c>
      <c r="X20" s="1489"/>
      <c r="Y20" s="3506"/>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06"/>
      <c r="Q21" s="1486"/>
      <c r="R21" s="713"/>
      <c r="S21" s="714"/>
      <c r="T21" s="713"/>
      <c r="U21" s="714"/>
      <c r="V21" s="713"/>
      <c r="W21" s="714"/>
      <c r="X21" s="1489"/>
      <c r="Y21" s="3506"/>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06"/>
      <c r="Q22" s="1486" t="str">
        <f>B22</f>
        <v>楼层</v>
      </c>
      <c r="R22" s="713" t="s">
        <v>17</v>
      </c>
      <c r="S22" s="714">
        <f>F22</f>
        <v>100</v>
      </c>
      <c r="T22" s="713" t="s">
        <v>17</v>
      </c>
      <c r="U22" s="714">
        <f>H22</f>
        <v>100</v>
      </c>
      <c r="V22" s="713" t="s">
        <v>17</v>
      </c>
      <c r="W22" s="714">
        <f>J22</f>
        <v>100</v>
      </c>
      <c r="X22" s="1489"/>
      <c r="Y22" s="3506"/>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06"/>
      <c r="Q23" s="1486">
        <f>B23</f>
        <v>111</v>
      </c>
      <c r="R23" s="713" t="s">
        <v>17</v>
      </c>
      <c r="S23" s="714">
        <f>F23</f>
        <v>100</v>
      </c>
      <c r="T23" s="713" t="s">
        <v>17</v>
      </c>
      <c r="U23" s="714">
        <f>H23</f>
        <v>100</v>
      </c>
      <c r="V23" s="713" t="s">
        <v>17</v>
      </c>
      <c r="W23" s="714">
        <f>J23</f>
        <v>100</v>
      </c>
      <c r="X23" s="1489"/>
      <c r="Y23" s="3506"/>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06"/>
      <c r="Q24" s="1486">
        <f t="shared" ref="Q24:Q34" si="11">B24</f>
        <v>111</v>
      </c>
      <c r="R24" s="713" t="s">
        <v>17</v>
      </c>
      <c r="S24" s="714">
        <f>F24</f>
        <v>100</v>
      </c>
      <c r="T24" s="713" t="s">
        <v>17</v>
      </c>
      <c r="U24" s="714">
        <f>H24</f>
        <v>100</v>
      </c>
      <c r="V24" s="713" t="s">
        <v>17</v>
      </c>
      <c r="W24" s="714">
        <f>J24</f>
        <v>100</v>
      </c>
      <c r="X24" s="1489"/>
      <c r="Y24" s="3506"/>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06"/>
      <c r="Q25" s="1477">
        <f t="shared" si="11"/>
        <v>111</v>
      </c>
      <c r="R25" s="709" t="s">
        <v>17</v>
      </c>
      <c r="S25" s="710">
        <f>F25</f>
        <v>100</v>
      </c>
      <c r="T25" s="709" t="s">
        <v>17</v>
      </c>
      <c r="U25" s="710">
        <f>H25</f>
        <v>100</v>
      </c>
      <c r="V25" s="709" t="s">
        <v>17</v>
      </c>
      <c r="W25" s="710">
        <f>J25</f>
        <v>100</v>
      </c>
      <c r="X25" s="711"/>
      <c r="Y25" s="3506"/>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3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10"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10"/>
      <c r="Q27" s="715" t="str">
        <f t="shared" si="11"/>
        <v>成新率</v>
      </c>
      <c r="R27" s="716" t="s">
        <v>17</v>
      </c>
      <c r="S27" s="717" t="e">
        <f t="shared" si="12"/>
        <v>#N/A</v>
      </c>
      <c r="T27" s="716" t="s">
        <v>17</v>
      </c>
      <c r="U27" s="717" t="e">
        <f t="shared" si="13"/>
        <v>#N/A</v>
      </c>
      <c r="V27" s="716" t="s">
        <v>17</v>
      </c>
      <c r="W27" s="717" t="e">
        <f t="shared" si="14"/>
        <v>#N/A</v>
      </c>
      <c r="X27" s="718"/>
      <c r="Y27" s="3510"/>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10"/>
      <c r="Q28" s="1486" t="str">
        <f t="shared" si="11"/>
        <v>物业等级</v>
      </c>
      <c r="R28" s="713" t="s">
        <v>17</v>
      </c>
      <c r="S28" s="714">
        <f t="shared" si="12"/>
        <v>100</v>
      </c>
      <c r="T28" s="713" t="s">
        <v>17</v>
      </c>
      <c r="U28" s="714">
        <f t="shared" si="13"/>
        <v>100</v>
      </c>
      <c r="V28" s="713" t="s">
        <v>17</v>
      </c>
      <c r="W28" s="714">
        <f t="shared" si="14"/>
        <v>100</v>
      </c>
      <c r="X28" s="1489"/>
      <c r="Y28" s="3510"/>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10"/>
      <c r="Q29" s="1486" t="str">
        <f t="shared" si="11"/>
        <v>有无电梯</v>
      </c>
      <c r="R29" s="713" t="s">
        <v>17</v>
      </c>
      <c r="S29" s="714">
        <f t="shared" si="12"/>
        <v>100</v>
      </c>
      <c r="T29" s="713" t="s">
        <v>17</v>
      </c>
      <c r="U29" s="714">
        <f t="shared" si="13"/>
        <v>100</v>
      </c>
      <c r="V29" s="713" t="s">
        <v>17</v>
      </c>
      <c r="W29" s="714">
        <f t="shared" si="14"/>
        <v>100</v>
      </c>
      <c r="X29" s="1489"/>
      <c r="Y29" s="3510"/>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10"/>
      <c r="Q30" s="1486" t="str">
        <f t="shared" si="11"/>
        <v>建筑面积</v>
      </c>
      <c r="R30" s="713" t="s">
        <v>17</v>
      </c>
      <c r="S30" s="714" t="e">
        <f t="shared" si="12"/>
        <v>#N/A</v>
      </c>
      <c r="T30" s="713" t="s">
        <v>17</v>
      </c>
      <c r="U30" s="714" t="e">
        <f t="shared" si="13"/>
        <v>#N/A</v>
      </c>
      <c r="V30" s="713" t="s">
        <v>17</v>
      </c>
      <c r="W30" s="714" t="e">
        <f t="shared" si="14"/>
        <v>#N/A</v>
      </c>
      <c r="X30" s="1489"/>
      <c r="Y30" s="3510"/>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10"/>
      <c r="Q31" s="1477" t="str">
        <f t="shared" si="11"/>
        <v>是否封闭</v>
      </c>
      <c r="R31" s="709" t="s">
        <v>17</v>
      </c>
      <c r="S31" s="710">
        <f t="shared" si="12"/>
        <v>100</v>
      </c>
      <c r="T31" s="709" t="s">
        <v>17</v>
      </c>
      <c r="U31" s="710">
        <f t="shared" si="13"/>
        <v>100</v>
      </c>
      <c r="V31" s="709" t="s">
        <v>17</v>
      </c>
      <c r="W31" s="710">
        <f t="shared" si="14"/>
        <v>100</v>
      </c>
      <c r="X31" s="711"/>
      <c r="Y31" s="3510"/>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10" t="s">
        <v>2145</v>
      </c>
      <c r="Q32" s="1486">
        <f t="shared" si="11"/>
        <v>111</v>
      </c>
      <c r="R32" s="713" t="s">
        <v>17</v>
      </c>
      <c r="S32" s="714">
        <f t="shared" si="12"/>
        <v>100</v>
      </c>
      <c r="T32" s="713" t="s">
        <v>17</v>
      </c>
      <c r="U32" s="714">
        <f t="shared" si="13"/>
        <v>100</v>
      </c>
      <c r="V32" s="713" t="s">
        <v>17</v>
      </c>
      <c r="W32" s="714">
        <f t="shared" si="14"/>
        <v>100</v>
      </c>
      <c r="X32" s="1489"/>
      <c r="Y32" s="3510"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10"/>
      <c r="Q33" s="1486">
        <f t="shared" si="11"/>
        <v>111</v>
      </c>
      <c r="R33" s="713" t="s">
        <v>17</v>
      </c>
      <c r="S33" s="714">
        <f t="shared" si="12"/>
        <v>100</v>
      </c>
      <c r="T33" s="713" t="s">
        <v>17</v>
      </c>
      <c r="U33" s="714">
        <f t="shared" si="13"/>
        <v>100</v>
      </c>
      <c r="V33" s="713" t="s">
        <v>17</v>
      </c>
      <c r="W33" s="714">
        <f t="shared" si="14"/>
        <v>100</v>
      </c>
      <c r="X33" s="1489"/>
      <c r="Y33" s="3510"/>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10"/>
      <c r="Q34" s="1486">
        <f t="shared" si="11"/>
        <v>111</v>
      </c>
      <c r="R34" s="713" t="s">
        <v>17</v>
      </c>
      <c r="S34" s="714">
        <f t="shared" si="12"/>
        <v>100</v>
      </c>
      <c r="T34" s="713" t="s">
        <v>17</v>
      </c>
      <c r="U34" s="714">
        <f t="shared" si="13"/>
        <v>100</v>
      </c>
      <c r="V34" s="713" t="s">
        <v>17</v>
      </c>
      <c r="W34" s="714">
        <f t="shared" si="14"/>
        <v>100</v>
      </c>
      <c r="X34" s="1489"/>
      <c r="Y34" s="3510"/>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503" t="str">
        <f>A35</f>
        <v>成交单价（元/平方米）</v>
      </c>
      <c r="Q35" s="3503"/>
      <c r="R35" s="3504">
        <f>E35</f>
        <v>0</v>
      </c>
      <c r="S35" s="3504"/>
      <c r="T35" s="3504">
        <f>G35</f>
        <v>0</v>
      </c>
      <c r="U35" s="3504"/>
      <c r="V35" s="3504">
        <f>I35</f>
        <v>0</v>
      </c>
      <c r="W35" s="3504"/>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03" t="str">
        <f>A36</f>
        <v>比较价值（元/平方米）</v>
      </c>
      <c r="Q36" s="35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500" t="str">
        <f>A37</f>
        <v>估价对象XX用房的比较价值（楼面单价，元/平方米）</v>
      </c>
      <c r="Q37" s="3501"/>
      <c r="R37" s="3536" t="e">
        <f>IF(F1="售价",ROUND(IF(D36="简单平均",AVERAGE(R36:W36),R36*F36+T36*H36+V36*J36),0),ROUND(IF(D36="简单平均",AVERAGE(R36:V36),R36*F36+T36*H36+V36*J36),1))</f>
        <v>#DIV/0!</v>
      </c>
      <c r="S37" s="3536"/>
      <c r="T37" s="3536"/>
      <c r="U37" s="3536"/>
      <c r="V37" s="3536"/>
      <c r="W37" s="353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86" t="s">
        <v>2226</v>
      </c>
      <c r="D4" s="3487"/>
      <c r="E4" s="3488" t="s">
        <v>2227</v>
      </c>
      <c r="F4" s="3489"/>
      <c r="G4" s="3486" t="s">
        <v>2228</v>
      </c>
      <c r="H4" s="3487"/>
      <c r="I4" s="3486" t="s">
        <v>2229</v>
      </c>
      <c r="J4" s="3487"/>
      <c r="K4" s="567" t="s">
        <v>2230</v>
      </c>
      <c r="L4" s="2893"/>
      <c r="M4" s="2894"/>
      <c r="N4" s="2894"/>
      <c r="O4" s="2894"/>
      <c r="P4" s="3490" t="s">
        <v>2231</v>
      </c>
      <c r="Q4" s="3491"/>
      <c r="R4" s="3473" t="s">
        <v>2227</v>
      </c>
      <c r="S4" s="3474"/>
      <c r="T4" s="3473" t="s">
        <v>2228</v>
      </c>
      <c r="U4" s="3474"/>
      <c r="V4" s="3498" t="s">
        <v>2229</v>
      </c>
      <c r="W4" s="3498"/>
      <c r="X4" s="1489"/>
      <c r="Y4" s="3473" t="s">
        <v>2231</v>
      </c>
      <c r="Z4" s="3474"/>
      <c r="AA4" s="3468" t="s">
        <v>2227</v>
      </c>
      <c r="AB4" s="3469" t="s">
        <v>2228</v>
      </c>
      <c r="AC4" s="3468" t="s">
        <v>2229</v>
      </c>
    </row>
    <row r="5" spans="1:30" ht="15">
      <c r="A5" s="364"/>
      <c r="B5" s="365"/>
      <c r="C5" s="3479" t="s">
        <v>2122</v>
      </c>
      <c r="D5" s="3480"/>
      <c r="E5" s="3477" t="s">
        <v>2123</v>
      </c>
      <c r="F5" s="3478"/>
      <c r="G5" s="3479" t="s">
        <v>2124</v>
      </c>
      <c r="H5" s="3480"/>
      <c r="I5" s="3479" t="s">
        <v>2125</v>
      </c>
      <c r="J5" s="3480"/>
      <c r="K5" s="567"/>
      <c r="L5" s="2893"/>
      <c r="M5" s="2894"/>
      <c r="N5" s="2894"/>
      <c r="O5" s="2894"/>
      <c r="P5" s="3492"/>
      <c r="Q5" s="3493"/>
      <c r="R5" s="3475"/>
      <c r="S5" s="3476"/>
      <c r="T5" s="3475"/>
      <c r="U5" s="3476"/>
      <c r="V5" s="3498"/>
      <c r="W5" s="3498"/>
      <c r="X5" s="1489"/>
      <c r="Y5" s="3475"/>
      <c r="Z5" s="3476"/>
      <c r="AA5" s="3469"/>
      <c r="AB5" s="3469"/>
      <c r="AC5" s="3469"/>
    </row>
    <row r="6" spans="1:30" ht="15.75" thickBot="1">
      <c r="A6" s="366"/>
      <c r="B6" s="367"/>
      <c r="C6" s="3481" t="s">
        <v>2126</v>
      </c>
      <c r="D6" s="3482"/>
      <c r="E6" s="3483" t="s">
        <v>2126</v>
      </c>
      <c r="F6" s="3484"/>
      <c r="G6" s="3481" t="s">
        <v>2126</v>
      </c>
      <c r="H6" s="3482"/>
      <c r="I6" s="3481" t="s">
        <v>2126</v>
      </c>
      <c r="J6" s="3482"/>
      <c r="K6" s="567" t="s">
        <v>2127</v>
      </c>
      <c r="L6" s="2893"/>
      <c r="M6" s="2894"/>
      <c r="N6" s="2894"/>
      <c r="O6" s="2894"/>
      <c r="P6" s="3494"/>
      <c r="Q6" s="3495"/>
      <c r="R6" s="3475"/>
      <c r="S6" s="3476"/>
      <c r="T6" s="3496"/>
      <c r="U6" s="3497"/>
      <c r="V6" s="3498"/>
      <c r="W6" s="3498"/>
      <c r="X6" s="1489"/>
      <c r="Y6" s="3496"/>
      <c r="Z6" s="3497"/>
      <c r="AA6" s="3470"/>
      <c r="AB6" s="3470"/>
      <c r="AC6" s="3470"/>
    </row>
    <row r="7" spans="1:30" s="113" customFormat="1" ht="15.75" thickBot="1">
      <c r="A7" s="368" t="s">
        <v>2128</v>
      </c>
      <c r="B7" s="369"/>
      <c r="C7" s="370">
        <f>'数据-取费表'!B2</f>
        <v>44767</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7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71" t="s">
        <v>2132</v>
      </c>
      <c r="Q8" s="3472"/>
      <c r="R8" s="709" t="s">
        <v>17</v>
      </c>
      <c r="S8" s="710">
        <f t="shared" si="0"/>
        <v>0</v>
      </c>
      <c r="T8" s="709" t="s">
        <v>17</v>
      </c>
      <c r="U8" s="710">
        <f t="shared" si="1"/>
        <v>0</v>
      </c>
      <c r="V8" s="709" t="s">
        <v>17</v>
      </c>
      <c r="W8" s="710">
        <f t="shared" si="2"/>
        <v>0</v>
      </c>
      <c r="X8" s="711"/>
      <c r="Y8" s="3471" t="s">
        <v>2132</v>
      </c>
      <c r="Z8" s="3472"/>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03" t="s">
        <v>2135</v>
      </c>
      <c r="Q9" s="1477" t="str">
        <f t="shared" ref="Q9:Q15" si="6">B9</f>
        <v>用途</v>
      </c>
      <c r="R9" s="709" t="s">
        <v>17</v>
      </c>
      <c r="S9" s="710">
        <f t="shared" si="0"/>
        <v>100</v>
      </c>
      <c r="T9" s="709" t="s">
        <v>17</v>
      </c>
      <c r="U9" s="710">
        <f t="shared" si="1"/>
        <v>100</v>
      </c>
      <c r="V9" s="709" t="s">
        <v>17</v>
      </c>
      <c r="W9" s="710">
        <f t="shared" si="2"/>
        <v>100</v>
      </c>
      <c r="X9" s="711"/>
      <c r="Y9" s="3415"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7"/>
      <c r="M10" s="2898"/>
      <c r="N10" s="2898"/>
      <c r="O10" s="2951"/>
      <c r="P10" s="3503"/>
      <c r="Q10" s="1477" t="str">
        <f t="shared" si="6"/>
        <v>土地使用年限（年）</v>
      </c>
      <c r="R10" s="709" t="s">
        <v>17</v>
      </c>
      <c r="S10" s="710">
        <f t="shared" si="0"/>
        <v>132</v>
      </c>
      <c r="T10" s="709" t="s">
        <v>17</v>
      </c>
      <c r="U10" s="710">
        <f t="shared" si="1"/>
        <v>132</v>
      </c>
      <c r="V10" s="709" t="s">
        <v>17</v>
      </c>
      <c r="W10" s="710">
        <f t="shared" si="2"/>
        <v>132</v>
      </c>
      <c r="X10" s="711"/>
      <c r="Y10" s="3415"/>
      <c r="Z10" s="55" t="str">
        <f t="shared" si="7"/>
        <v>土地使用年限（年）</v>
      </c>
      <c r="AA10" s="712">
        <f t="shared" si="3"/>
        <v>0.75757575757575757</v>
      </c>
      <c r="AB10" s="712">
        <f t="shared" si="4"/>
        <v>0.75757575757575757</v>
      </c>
      <c r="AC10" s="712">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03"/>
      <c r="Q11" s="1477" t="str">
        <f t="shared" si="6"/>
        <v>容积率</v>
      </c>
      <c r="R11" s="709" t="s">
        <v>17</v>
      </c>
      <c r="S11" s="710" t="e">
        <f t="shared" si="0"/>
        <v>#N/A</v>
      </c>
      <c r="T11" s="709" t="s">
        <v>17</v>
      </c>
      <c r="U11" s="710" t="e">
        <f t="shared" si="1"/>
        <v>#N/A</v>
      </c>
      <c r="V11" s="709" t="s">
        <v>17</v>
      </c>
      <c r="W11" s="710" t="e">
        <f t="shared" si="2"/>
        <v>#N/A</v>
      </c>
      <c r="X11" s="711"/>
      <c r="Y11" s="3415"/>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03"/>
      <c r="Q12" s="1477" t="str">
        <f t="shared" si="6"/>
        <v>配建</v>
      </c>
      <c r="R12" s="709" t="s">
        <v>17</v>
      </c>
      <c r="S12" s="710">
        <f t="shared" si="0"/>
        <v>100</v>
      </c>
      <c r="T12" s="709" t="s">
        <v>17</v>
      </c>
      <c r="U12" s="710">
        <f t="shared" si="1"/>
        <v>100</v>
      </c>
      <c r="V12" s="709" t="s">
        <v>17</v>
      </c>
      <c r="W12" s="710">
        <f t="shared" si="2"/>
        <v>100</v>
      </c>
      <c r="X12" s="711"/>
      <c r="Y12" s="3415"/>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03"/>
      <c r="Q13" s="1477">
        <f t="shared" si="6"/>
        <v>111</v>
      </c>
      <c r="R13" s="709" t="s">
        <v>17</v>
      </c>
      <c r="S13" s="710">
        <f t="shared" si="0"/>
        <v>100</v>
      </c>
      <c r="T13" s="709" t="s">
        <v>17</v>
      </c>
      <c r="U13" s="710">
        <f t="shared" si="1"/>
        <v>100</v>
      </c>
      <c r="V13" s="709" t="s">
        <v>17</v>
      </c>
      <c r="W13" s="710">
        <f t="shared" si="2"/>
        <v>100</v>
      </c>
      <c r="X13" s="711"/>
      <c r="Y13" s="3415"/>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03"/>
      <c r="Q14" s="1477">
        <f t="shared" si="6"/>
        <v>111</v>
      </c>
      <c r="R14" s="709" t="s">
        <v>17</v>
      </c>
      <c r="S14" s="710">
        <f t="shared" si="0"/>
        <v>100</v>
      </c>
      <c r="T14" s="709" t="s">
        <v>17</v>
      </c>
      <c r="U14" s="710">
        <f t="shared" si="1"/>
        <v>100</v>
      </c>
      <c r="V14" s="709" t="s">
        <v>17</v>
      </c>
      <c r="W14" s="710">
        <f t="shared" si="2"/>
        <v>100</v>
      </c>
      <c r="X14" s="711"/>
      <c r="Y14" s="3415"/>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05" t="s">
        <v>2140</v>
      </c>
      <c r="Q15" s="1486" t="str">
        <f t="shared" si="6"/>
        <v>居住社区成熟度</v>
      </c>
      <c r="R15" s="713" t="s">
        <v>17</v>
      </c>
      <c r="S15" s="714">
        <f t="shared" si="0"/>
        <v>100</v>
      </c>
      <c r="T15" s="713" t="s">
        <v>17</v>
      </c>
      <c r="U15" s="714">
        <f t="shared" si="1"/>
        <v>100</v>
      </c>
      <c r="V15" s="713" t="s">
        <v>17</v>
      </c>
      <c r="W15" s="714">
        <f t="shared" si="2"/>
        <v>100</v>
      </c>
      <c r="X15" s="1489"/>
      <c r="Y15" s="3505"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06"/>
      <c r="Q16" s="1486"/>
      <c r="R16" s="713"/>
      <c r="S16" s="714"/>
      <c r="T16" s="713"/>
      <c r="U16" s="714"/>
      <c r="V16" s="713"/>
      <c r="W16" s="714"/>
      <c r="X16" s="1489"/>
      <c r="Y16" s="3506"/>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06"/>
      <c r="Q17" s="1486" t="str">
        <f>B17</f>
        <v>商业繁华度</v>
      </c>
      <c r="R17" s="713" t="s">
        <v>17</v>
      </c>
      <c r="S17" s="714">
        <f>F17</f>
        <v>100</v>
      </c>
      <c r="T17" s="713" t="s">
        <v>17</v>
      </c>
      <c r="U17" s="714">
        <f>H17</f>
        <v>100</v>
      </c>
      <c r="V17" s="713" t="s">
        <v>17</v>
      </c>
      <c r="W17" s="714">
        <f>J17</f>
        <v>100</v>
      </c>
      <c r="X17" s="1489"/>
      <c r="Y17" s="3506"/>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06"/>
      <c r="Q18" s="1486"/>
      <c r="R18" s="713"/>
      <c r="S18" s="714"/>
      <c r="T18" s="713"/>
      <c r="U18" s="714"/>
      <c r="V18" s="713"/>
      <c r="W18" s="714"/>
      <c r="X18" s="1489"/>
      <c r="Y18" s="3506"/>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06"/>
      <c r="Q19" s="1486" t="str">
        <f>B19</f>
        <v>办公集聚程度</v>
      </c>
      <c r="R19" s="713" t="s">
        <v>17</v>
      </c>
      <c r="S19" s="714">
        <f>F19</f>
        <v>100</v>
      </c>
      <c r="T19" s="713" t="s">
        <v>17</v>
      </c>
      <c r="U19" s="714">
        <f>H19</f>
        <v>100</v>
      </c>
      <c r="V19" s="713" t="s">
        <v>17</v>
      </c>
      <c r="W19" s="714">
        <f>J19</f>
        <v>100</v>
      </c>
      <c r="X19" s="1489"/>
      <c r="Y19" s="3506"/>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06"/>
      <c r="Q20" s="1486"/>
      <c r="R20" s="713"/>
      <c r="S20" s="714"/>
      <c r="T20" s="713"/>
      <c r="U20" s="714"/>
      <c r="V20" s="713"/>
      <c r="W20" s="714"/>
      <c r="X20" s="1489"/>
      <c r="Y20" s="3506"/>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06"/>
      <c r="Q21" s="1486" t="str">
        <f>B21</f>
        <v>交通便捷度</v>
      </c>
      <c r="R21" s="713" t="s">
        <v>17</v>
      </c>
      <c r="S21" s="714">
        <f>F21</f>
        <v>100</v>
      </c>
      <c r="T21" s="713" t="s">
        <v>17</v>
      </c>
      <c r="U21" s="714">
        <f>H21</f>
        <v>100</v>
      </c>
      <c r="V21" s="713" t="s">
        <v>17</v>
      </c>
      <c r="W21" s="714">
        <f>J21</f>
        <v>100</v>
      </c>
      <c r="X21" s="1489"/>
      <c r="Y21" s="3506"/>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06"/>
      <c r="Q22" s="1486"/>
      <c r="R22" s="713"/>
      <c r="S22" s="714"/>
      <c r="T22" s="713"/>
      <c r="U22" s="714"/>
      <c r="V22" s="713"/>
      <c r="W22" s="714"/>
      <c r="X22" s="1489"/>
      <c r="Y22" s="3506"/>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06"/>
      <c r="Q23" s="1486" t="str">
        <f t="shared" ref="Q23:Q37" si="8">B23</f>
        <v>区域土地利用方向</v>
      </c>
      <c r="R23" s="713" t="s">
        <v>17</v>
      </c>
      <c r="S23" s="714">
        <f>F23</f>
        <v>100</v>
      </c>
      <c r="T23" s="713" t="s">
        <v>17</v>
      </c>
      <c r="U23" s="714">
        <f>H23</f>
        <v>100</v>
      </c>
      <c r="V23" s="713" t="s">
        <v>17</v>
      </c>
      <c r="W23" s="714">
        <f>J23</f>
        <v>100</v>
      </c>
      <c r="X23" s="1489"/>
      <c r="Y23" s="3506"/>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506"/>
      <c r="Q24" s="1486"/>
      <c r="R24" s="713"/>
      <c r="S24" s="714"/>
      <c r="T24" s="713"/>
      <c r="U24" s="714"/>
      <c r="V24" s="713"/>
      <c r="W24" s="714"/>
      <c r="X24" s="1489"/>
      <c r="Y24" s="3506"/>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06"/>
      <c r="Q25" s="1486" t="str">
        <f t="shared" si="8"/>
        <v>自然及人文环境状况</v>
      </c>
      <c r="R25" s="713" t="s">
        <v>17</v>
      </c>
      <c r="S25" s="714">
        <f>F25</f>
        <v>100</v>
      </c>
      <c r="T25" s="713" t="s">
        <v>17</v>
      </c>
      <c r="U25" s="714">
        <f>H25</f>
        <v>100</v>
      </c>
      <c r="V25" s="713" t="s">
        <v>17</v>
      </c>
      <c r="W25" s="714">
        <f>J25</f>
        <v>100</v>
      </c>
      <c r="X25" s="1489"/>
      <c r="Y25" s="3506"/>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06"/>
      <c r="Q26" s="1486"/>
      <c r="R26" s="713"/>
      <c r="S26" s="714"/>
      <c r="T26" s="713"/>
      <c r="U26" s="714"/>
      <c r="V26" s="713"/>
      <c r="W26" s="714"/>
      <c r="X26" s="1489"/>
      <c r="Y26" s="3506"/>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06"/>
      <c r="Q27" s="1477" t="str">
        <f t="shared" si="8"/>
        <v>公共配套设施</v>
      </c>
      <c r="R27" s="709" t="s">
        <v>17</v>
      </c>
      <c r="S27" s="710">
        <f>F27</f>
        <v>100</v>
      </c>
      <c r="T27" s="709" t="s">
        <v>17</v>
      </c>
      <c r="U27" s="710">
        <f>H27</f>
        <v>100</v>
      </c>
      <c r="V27" s="709" t="s">
        <v>17</v>
      </c>
      <c r="W27" s="710">
        <f>J27</f>
        <v>100</v>
      </c>
      <c r="X27" s="711"/>
      <c r="Y27" s="3506"/>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06"/>
      <c r="Q28" s="1477"/>
      <c r="R28" s="709"/>
      <c r="S28" s="710"/>
      <c r="T28" s="709"/>
      <c r="U28" s="710"/>
      <c r="V28" s="709"/>
      <c r="W28" s="710"/>
      <c r="X28" s="711"/>
      <c r="Y28" s="3506"/>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06"/>
      <c r="Q29" s="1477" t="str">
        <f t="shared" ref="Q29" si="9">B29</f>
        <v>基础设施水平</v>
      </c>
      <c r="R29" s="709" t="s">
        <v>17</v>
      </c>
      <c r="S29" s="710">
        <f>F29</f>
        <v>100</v>
      </c>
      <c r="T29" s="709" t="s">
        <v>17</v>
      </c>
      <c r="U29" s="710">
        <f>H29</f>
        <v>100</v>
      </c>
      <c r="V29" s="709" t="s">
        <v>17</v>
      </c>
      <c r="W29" s="710">
        <f>J29</f>
        <v>100</v>
      </c>
      <c r="X29" s="711"/>
      <c r="Y29" s="3506"/>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06"/>
      <c r="Q30" s="1477"/>
      <c r="R30" s="709"/>
      <c r="S30" s="710"/>
      <c r="T30" s="709"/>
      <c r="U30" s="710"/>
      <c r="V30" s="709"/>
      <c r="W30" s="710"/>
      <c r="X30" s="711"/>
      <c r="Y30" s="3506"/>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06"/>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06"/>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06"/>
      <c r="Q32" s="1486" t="str">
        <f t="shared" si="8"/>
        <v>毗邻道路的类型与等级</v>
      </c>
      <c r="R32" s="713" t="s">
        <v>17</v>
      </c>
      <c r="S32" s="714">
        <f t="shared" si="10"/>
        <v>100</v>
      </c>
      <c r="T32" s="713" t="s">
        <v>17</v>
      </c>
      <c r="U32" s="714">
        <f t="shared" si="11"/>
        <v>100</v>
      </c>
      <c r="V32" s="713" t="s">
        <v>17</v>
      </c>
      <c r="W32" s="714">
        <f t="shared" si="12"/>
        <v>100</v>
      </c>
      <c r="X32" s="1489"/>
      <c r="Y32" s="3506"/>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06"/>
      <c r="Q33" s="1486"/>
      <c r="R33" s="713"/>
      <c r="S33" s="714"/>
      <c r="T33" s="713"/>
      <c r="U33" s="714"/>
      <c r="V33" s="713"/>
      <c r="W33" s="714"/>
      <c r="X33" s="1489"/>
      <c r="Y33" s="3506"/>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06"/>
      <c r="Q34" s="1486" t="str">
        <f t="shared" si="8"/>
        <v>土地级别</v>
      </c>
      <c r="R34" s="713" t="s">
        <v>17</v>
      </c>
      <c r="S34" s="714">
        <f t="shared" si="10"/>
        <v>100</v>
      </c>
      <c r="T34" s="713" t="s">
        <v>17</v>
      </c>
      <c r="U34" s="714">
        <f t="shared" si="11"/>
        <v>100</v>
      </c>
      <c r="V34" s="713" t="s">
        <v>17</v>
      </c>
      <c r="W34" s="714">
        <f t="shared" si="12"/>
        <v>100</v>
      </c>
      <c r="X34" s="1489"/>
      <c r="Y34" s="3506"/>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06"/>
      <c r="Q35" s="1486">
        <f t="shared" si="8"/>
        <v>111</v>
      </c>
      <c r="R35" s="713" t="s">
        <v>17</v>
      </c>
      <c r="S35" s="714">
        <f t="shared" si="10"/>
        <v>100</v>
      </c>
      <c r="T35" s="713" t="s">
        <v>17</v>
      </c>
      <c r="U35" s="714">
        <f t="shared" si="11"/>
        <v>100</v>
      </c>
      <c r="V35" s="713" t="s">
        <v>17</v>
      </c>
      <c r="W35" s="714">
        <f t="shared" si="12"/>
        <v>100</v>
      </c>
      <c r="X35" s="1489"/>
      <c r="Y35" s="3506"/>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5" t="s">
        <v>2145</v>
      </c>
      <c r="Q36" s="1486">
        <f t="shared" si="8"/>
        <v>111</v>
      </c>
      <c r="R36" s="713" t="s">
        <v>17</v>
      </c>
      <c r="S36" s="714">
        <f t="shared" si="10"/>
        <v>100</v>
      </c>
      <c r="T36" s="713" t="s">
        <v>17</v>
      </c>
      <c r="U36" s="714">
        <f t="shared" si="11"/>
        <v>100</v>
      </c>
      <c r="V36" s="713" t="s">
        <v>17</v>
      </c>
      <c r="W36" s="714">
        <f t="shared" si="12"/>
        <v>100</v>
      </c>
      <c r="X36" s="1489"/>
      <c r="Y36" s="3510"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10"/>
      <c r="Q37" s="1486">
        <f t="shared" si="8"/>
        <v>111</v>
      </c>
      <c r="R37" s="716" t="s">
        <v>17</v>
      </c>
      <c r="S37" s="717">
        <f t="shared" si="10"/>
        <v>100</v>
      </c>
      <c r="T37" s="716" t="s">
        <v>17</v>
      </c>
      <c r="U37" s="717">
        <f t="shared" si="11"/>
        <v>100</v>
      </c>
      <c r="V37" s="716" t="s">
        <v>17</v>
      </c>
      <c r="W37" s="717">
        <f t="shared" si="12"/>
        <v>100</v>
      </c>
      <c r="X37" s="718"/>
      <c r="Y37" s="3510"/>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10"/>
      <c r="Q38" s="1486" t="str">
        <f>B38</f>
        <v>宗地面积</v>
      </c>
      <c r="R38" s="713" t="s">
        <v>17</v>
      </c>
      <c r="S38" s="714" t="e">
        <f t="shared" si="10"/>
        <v>#N/A</v>
      </c>
      <c r="T38" s="713" t="s">
        <v>17</v>
      </c>
      <c r="U38" s="714" t="e">
        <f t="shared" si="11"/>
        <v>#N/A</v>
      </c>
      <c r="V38" s="713" t="s">
        <v>17</v>
      </c>
      <c r="W38" s="714" t="e">
        <f t="shared" si="12"/>
        <v>#N/A</v>
      </c>
      <c r="X38" s="1489"/>
      <c r="Y38" s="3510"/>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10"/>
      <c r="Q39" s="1486" t="str">
        <f t="shared" ref="Q39:Q45" si="14">B39</f>
        <v>宗地形状</v>
      </c>
      <c r="R39" s="713" t="s">
        <v>17</v>
      </c>
      <c r="S39" s="714">
        <f t="shared" si="10"/>
        <v>100</v>
      </c>
      <c r="T39" s="713" t="s">
        <v>17</v>
      </c>
      <c r="U39" s="714">
        <f t="shared" si="11"/>
        <v>100</v>
      </c>
      <c r="V39" s="713" t="s">
        <v>17</v>
      </c>
      <c r="W39" s="714">
        <f t="shared" si="12"/>
        <v>100</v>
      </c>
      <c r="X39" s="1489"/>
      <c r="Y39" s="3510"/>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10"/>
      <c r="Q40" s="1486" t="str">
        <f t="shared" si="14"/>
        <v>临街宽度及深度</v>
      </c>
      <c r="R40" s="713" t="s">
        <v>17</v>
      </c>
      <c r="S40" s="714">
        <f t="shared" si="10"/>
        <v>100</v>
      </c>
      <c r="T40" s="713" t="s">
        <v>17</v>
      </c>
      <c r="U40" s="714">
        <f t="shared" si="11"/>
        <v>100</v>
      </c>
      <c r="V40" s="713" t="s">
        <v>17</v>
      </c>
      <c r="W40" s="714">
        <f t="shared" si="12"/>
        <v>100</v>
      </c>
      <c r="X40" s="1489"/>
      <c r="Y40" s="3510"/>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10"/>
      <c r="Q41" s="1486" t="str">
        <f t="shared" si="14"/>
        <v>宗地开发程度</v>
      </c>
      <c r="R41" s="709" t="s">
        <v>17</v>
      </c>
      <c r="S41" s="710">
        <f t="shared" si="10"/>
        <v>100</v>
      </c>
      <c r="T41" s="709" t="s">
        <v>17</v>
      </c>
      <c r="U41" s="710">
        <f t="shared" si="11"/>
        <v>100</v>
      </c>
      <c r="V41" s="709" t="s">
        <v>17</v>
      </c>
      <c r="W41" s="710">
        <f t="shared" si="12"/>
        <v>100</v>
      </c>
      <c r="X41" s="711"/>
      <c r="Y41" s="3510"/>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10" t="s">
        <v>2145</v>
      </c>
      <c r="Q42" s="1486" t="str">
        <f t="shared" si="14"/>
        <v>工程地质条件</v>
      </c>
      <c r="R42" s="713" t="s">
        <v>17</v>
      </c>
      <c r="S42" s="714">
        <f t="shared" si="10"/>
        <v>100</v>
      </c>
      <c r="T42" s="713" t="s">
        <v>17</v>
      </c>
      <c r="U42" s="714">
        <f t="shared" si="11"/>
        <v>100</v>
      </c>
      <c r="V42" s="713" t="s">
        <v>17</v>
      </c>
      <c r="W42" s="714">
        <f t="shared" si="12"/>
        <v>100</v>
      </c>
      <c r="X42" s="1489"/>
      <c r="Y42" s="3510"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10"/>
      <c r="Q43" s="1486">
        <f t="shared" si="14"/>
        <v>111</v>
      </c>
      <c r="R43" s="713" t="s">
        <v>17</v>
      </c>
      <c r="S43" s="714">
        <f t="shared" si="10"/>
        <v>100</v>
      </c>
      <c r="T43" s="713" t="s">
        <v>17</v>
      </c>
      <c r="U43" s="714">
        <f t="shared" si="11"/>
        <v>100</v>
      </c>
      <c r="V43" s="713" t="s">
        <v>17</v>
      </c>
      <c r="W43" s="714">
        <f t="shared" si="12"/>
        <v>100</v>
      </c>
      <c r="X43" s="1489"/>
      <c r="Y43" s="3510"/>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10"/>
      <c r="Q44" s="1486">
        <f t="shared" si="14"/>
        <v>111</v>
      </c>
      <c r="R44" s="713" t="s">
        <v>17</v>
      </c>
      <c r="S44" s="714">
        <f t="shared" si="10"/>
        <v>100</v>
      </c>
      <c r="T44" s="713" t="s">
        <v>17</v>
      </c>
      <c r="U44" s="714">
        <f t="shared" si="11"/>
        <v>100</v>
      </c>
      <c r="V44" s="713" t="s">
        <v>17</v>
      </c>
      <c r="W44" s="714">
        <f t="shared" si="12"/>
        <v>100</v>
      </c>
      <c r="X44" s="1489"/>
      <c r="Y44" s="3510"/>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10"/>
      <c r="Q45" s="1486">
        <f t="shared" si="14"/>
        <v>111</v>
      </c>
      <c r="R45" s="716" t="s">
        <v>17</v>
      </c>
      <c r="S45" s="717">
        <f t="shared" si="10"/>
        <v>100</v>
      </c>
      <c r="T45" s="716" t="s">
        <v>17</v>
      </c>
      <c r="U45" s="717">
        <f t="shared" si="11"/>
        <v>100</v>
      </c>
      <c r="V45" s="716" t="s">
        <v>17</v>
      </c>
      <c r="W45" s="717">
        <f t="shared" si="12"/>
        <v>100</v>
      </c>
      <c r="X45" s="718"/>
      <c r="Y45" s="3510"/>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503" t="str">
        <f>A46</f>
        <v>成交单价</v>
      </c>
      <c r="Q46" s="3503"/>
      <c r="R46" s="3498">
        <f>E46</f>
        <v>0</v>
      </c>
      <c r="S46" s="3498"/>
      <c r="T46" s="3498">
        <f>G46</f>
        <v>0</v>
      </c>
      <c r="U46" s="3498"/>
      <c r="V46" s="3498">
        <f>I46</f>
        <v>0</v>
      </c>
      <c r="W46" s="3498"/>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03" t="str">
        <f>A47</f>
        <v>比较价值（元/平方米）</v>
      </c>
      <c r="Q47" s="3503"/>
      <c r="R47" s="3537" t="e">
        <f>ROUND(PRODUCT(R46,AA7:AA45),0)</f>
        <v>#DIV/0!</v>
      </c>
      <c r="S47" s="3537"/>
      <c r="T47" s="3537" t="e">
        <f>ROUND(PRODUCT(T46,AB7:AB45),0)</f>
        <v>#DIV/0!</v>
      </c>
      <c r="U47" s="3537"/>
      <c r="V47" s="3537" t="e">
        <f>ROUND(PRODUCT(V46,AC7:AC45),0)</f>
        <v>#DIV/0!</v>
      </c>
      <c r="W47" s="3537"/>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500" t="str">
        <f>A48</f>
        <v>估价对象XX用房的比较价值（楼面单价，元/平方米）</v>
      </c>
      <c r="Q48" s="3501"/>
      <c r="R48" s="3538" t="e">
        <f>ROUND(IF(D47="简单平均",AVERAGE(R47:W47),R47*F47+T47*H47+V47*J47),0)</f>
        <v>#DIV/0!</v>
      </c>
      <c r="S48" s="3538"/>
      <c r="T48" s="3538"/>
      <c r="U48" s="3538"/>
      <c r="V48" s="3538"/>
      <c r="W48" s="353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86" t="s">
        <v>2344</v>
      </c>
      <c r="H55" s="353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18937.57</v>
      </c>
      <c r="F56" s="997" t="e">
        <f t="shared" ref="F56:F64" si="15">ROUND(B56*E56/10000,0)</f>
        <v>#DIV/0!</v>
      </c>
      <c r="G56" s="3485"/>
      <c r="H56" s="3503"/>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6" t="s">
        <v>2226</v>
      </c>
      <c r="D4" s="3487"/>
      <c r="E4" s="3488" t="s">
        <v>2227</v>
      </c>
      <c r="F4" s="3489"/>
      <c r="G4" s="3486" t="s">
        <v>2228</v>
      </c>
      <c r="H4" s="3487"/>
      <c r="I4" s="3486" t="s">
        <v>2229</v>
      </c>
      <c r="J4" s="3487"/>
      <c r="K4" s="567" t="s">
        <v>2230</v>
      </c>
      <c r="L4" s="2893"/>
      <c r="M4" s="2894"/>
      <c r="N4" s="2894"/>
      <c r="O4" s="2894"/>
      <c r="P4" s="3490" t="s">
        <v>2231</v>
      </c>
      <c r="Q4" s="3491"/>
      <c r="R4" s="3473" t="s">
        <v>2227</v>
      </c>
      <c r="S4" s="3474"/>
      <c r="T4" s="3473" t="s">
        <v>2228</v>
      </c>
      <c r="U4" s="3474"/>
      <c r="V4" s="3498" t="s">
        <v>2229</v>
      </c>
      <c r="W4" s="3498"/>
      <c r="X4" s="1489"/>
      <c r="Y4" s="3473" t="s">
        <v>2231</v>
      </c>
      <c r="Z4" s="3474"/>
      <c r="AA4" s="3468" t="s">
        <v>2227</v>
      </c>
      <c r="AB4" s="3469" t="s">
        <v>2228</v>
      </c>
      <c r="AC4" s="3468" t="s">
        <v>2229</v>
      </c>
    </row>
    <row r="5" spans="1:29" ht="15">
      <c r="A5" s="364"/>
      <c r="B5" s="365"/>
      <c r="C5" s="3479" t="s">
        <v>2122</v>
      </c>
      <c r="D5" s="3480"/>
      <c r="E5" s="3477" t="s">
        <v>2123</v>
      </c>
      <c r="F5" s="3478"/>
      <c r="G5" s="3479" t="s">
        <v>2124</v>
      </c>
      <c r="H5" s="3480"/>
      <c r="I5" s="3479" t="s">
        <v>2125</v>
      </c>
      <c r="J5" s="3480"/>
      <c r="K5" s="567"/>
      <c r="L5" s="2893"/>
      <c r="M5" s="2894"/>
      <c r="N5" s="2894"/>
      <c r="O5" s="2894"/>
      <c r="P5" s="3492"/>
      <c r="Q5" s="3493"/>
      <c r="R5" s="3475"/>
      <c r="S5" s="3476"/>
      <c r="T5" s="3475"/>
      <c r="U5" s="3476"/>
      <c r="V5" s="3498"/>
      <c r="W5" s="3498"/>
      <c r="X5" s="1489"/>
      <c r="Y5" s="3475"/>
      <c r="Z5" s="3476"/>
      <c r="AA5" s="3469"/>
      <c r="AB5" s="3469"/>
      <c r="AC5" s="3469"/>
    </row>
    <row r="6" spans="1:29" ht="15.75" thickBot="1">
      <c r="A6" s="366"/>
      <c r="B6" s="367"/>
      <c r="C6" s="3540" t="s">
        <v>2376</v>
      </c>
      <c r="D6" s="3541"/>
      <c r="E6" s="3542" t="s">
        <v>2376</v>
      </c>
      <c r="F6" s="3543"/>
      <c r="G6" s="3540" t="s">
        <v>2376</v>
      </c>
      <c r="H6" s="3541"/>
      <c r="I6" s="3540" t="s">
        <v>2376</v>
      </c>
      <c r="J6" s="3541"/>
      <c r="K6" s="567" t="s">
        <v>2127</v>
      </c>
      <c r="L6" s="2893"/>
      <c r="M6" s="2894"/>
      <c r="N6" s="2894"/>
      <c r="O6" s="2894"/>
      <c r="P6" s="3494"/>
      <c r="Q6" s="3495"/>
      <c r="R6" s="3475"/>
      <c r="S6" s="3476"/>
      <c r="T6" s="3496"/>
      <c r="U6" s="3497"/>
      <c r="V6" s="3498"/>
      <c r="W6" s="3498"/>
      <c r="X6" s="1489"/>
      <c r="Y6" s="3496"/>
      <c r="Z6" s="3497"/>
      <c r="AA6" s="3470"/>
      <c r="AB6" s="3470"/>
      <c r="AC6" s="3470"/>
    </row>
    <row r="7" spans="1:29" s="113" customFormat="1" ht="15.75" thickBot="1">
      <c r="A7" s="368" t="s">
        <v>2128</v>
      </c>
      <c r="B7" s="369"/>
      <c r="C7" s="370">
        <f>'数据-取费表'!B2</f>
        <v>44767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7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71" t="s">
        <v>2132</v>
      </c>
      <c r="Q8" s="3472"/>
      <c r="R8" s="709" t="s">
        <v>17</v>
      </c>
      <c r="S8" s="710">
        <f t="shared" si="0"/>
        <v>0</v>
      </c>
      <c r="T8" s="709" t="s">
        <v>17</v>
      </c>
      <c r="U8" s="710">
        <f t="shared" si="1"/>
        <v>0</v>
      </c>
      <c r="V8" s="709" t="s">
        <v>17</v>
      </c>
      <c r="W8" s="710">
        <f t="shared" si="2"/>
        <v>0</v>
      </c>
      <c r="X8" s="711"/>
      <c r="Y8" s="3471" t="s">
        <v>2132</v>
      </c>
      <c r="Z8" s="3472"/>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03" t="s">
        <v>2135</v>
      </c>
      <c r="Q9" s="1477" t="str">
        <f t="shared" ref="Q9:Q15" si="6">B9</f>
        <v>用途</v>
      </c>
      <c r="R9" s="709" t="s">
        <v>17</v>
      </c>
      <c r="S9" s="710">
        <f t="shared" si="0"/>
        <v>100</v>
      </c>
      <c r="T9" s="709" t="s">
        <v>17</v>
      </c>
      <c r="U9" s="710">
        <f t="shared" si="1"/>
        <v>100</v>
      </c>
      <c r="V9" s="709" t="s">
        <v>17</v>
      </c>
      <c r="W9" s="710">
        <f t="shared" si="2"/>
        <v>100</v>
      </c>
      <c r="X9" s="711"/>
      <c r="Y9" s="3415"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7"/>
      <c r="M10" s="2898"/>
      <c r="N10" s="2898"/>
      <c r="O10" s="2951"/>
      <c r="P10" s="3503"/>
      <c r="Q10" s="1477" t="str">
        <f t="shared" si="6"/>
        <v>土地使用年限（年）</v>
      </c>
      <c r="R10" s="709" t="s">
        <v>17</v>
      </c>
      <c r="S10" s="710">
        <f t="shared" si="0"/>
        <v>132</v>
      </c>
      <c r="T10" s="709" t="s">
        <v>17</v>
      </c>
      <c r="U10" s="710">
        <f t="shared" si="1"/>
        <v>132</v>
      </c>
      <c r="V10" s="709" t="s">
        <v>17</v>
      </c>
      <c r="W10" s="710">
        <f t="shared" si="2"/>
        <v>132</v>
      </c>
      <c r="X10" s="711"/>
      <c r="Y10" s="3415"/>
      <c r="Z10" s="55" t="str">
        <f t="shared" si="7"/>
        <v>土地使用年限（年）</v>
      </c>
      <c r="AA10" s="712">
        <f t="shared" si="3"/>
        <v>0.75757575757575757</v>
      </c>
      <c r="AB10" s="712">
        <f t="shared" si="4"/>
        <v>0.75757575757575757</v>
      </c>
      <c r="AC10" s="712">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03"/>
      <c r="Q11" s="1477" t="str">
        <f t="shared" si="6"/>
        <v>容积率</v>
      </c>
      <c r="R11" s="709" t="s">
        <v>17</v>
      </c>
      <c r="S11" s="710" t="e">
        <f t="shared" si="0"/>
        <v>#N/A</v>
      </c>
      <c r="T11" s="709" t="s">
        <v>17</v>
      </c>
      <c r="U11" s="710" t="e">
        <f t="shared" si="1"/>
        <v>#N/A</v>
      </c>
      <c r="V11" s="709" t="s">
        <v>17</v>
      </c>
      <c r="W11" s="710" t="e">
        <f t="shared" si="2"/>
        <v>#N/A</v>
      </c>
      <c r="X11" s="711"/>
      <c r="Y11" s="3415"/>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03"/>
      <c r="Q12" s="1477">
        <f t="shared" si="6"/>
        <v>111</v>
      </c>
      <c r="R12" s="709" t="s">
        <v>17</v>
      </c>
      <c r="S12" s="710">
        <f t="shared" si="0"/>
        <v>100</v>
      </c>
      <c r="T12" s="709" t="s">
        <v>17</v>
      </c>
      <c r="U12" s="710">
        <f t="shared" si="1"/>
        <v>100</v>
      </c>
      <c r="V12" s="709" t="s">
        <v>17</v>
      </c>
      <c r="W12" s="710">
        <f t="shared" si="2"/>
        <v>100</v>
      </c>
      <c r="X12" s="711"/>
      <c r="Y12" s="3415"/>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03"/>
      <c r="Q13" s="1477">
        <f t="shared" si="6"/>
        <v>111</v>
      </c>
      <c r="R13" s="709" t="s">
        <v>17</v>
      </c>
      <c r="S13" s="710">
        <f t="shared" si="0"/>
        <v>100</v>
      </c>
      <c r="T13" s="709" t="s">
        <v>17</v>
      </c>
      <c r="U13" s="710">
        <f t="shared" si="1"/>
        <v>100</v>
      </c>
      <c r="V13" s="709" t="s">
        <v>17</v>
      </c>
      <c r="W13" s="710">
        <f t="shared" si="2"/>
        <v>100</v>
      </c>
      <c r="X13" s="711"/>
      <c r="Y13" s="3415"/>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03"/>
      <c r="Q14" s="1477">
        <f t="shared" si="6"/>
        <v>111</v>
      </c>
      <c r="R14" s="709" t="s">
        <v>17</v>
      </c>
      <c r="S14" s="710">
        <f t="shared" si="0"/>
        <v>100</v>
      </c>
      <c r="T14" s="709" t="s">
        <v>17</v>
      </c>
      <c r="U14" s="710">
        <f t="shared" si="1"/>
        <v>100</v>
      </c>
      <c r="V14" s="709" t="s">
        <v>17</v>
      </c>
      <c r="W14" s="710">
        <f t="shared" si="2"/>
        <v>100</v>
      </c>
      <c r="X14" s="711"/>
      <c r="Y14" s="3415"/>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05" t="s">
        <v>2140</v>
      </c>
      <c r="Q15" s="1486" t="str">
        <f t="shared" si="6"/>
        <v>产业集聚程度</v>
      </c>
      <c r="R15" s="713" t="s">
        <v>17</v>
      </c>
      <c r="S15" s="714">
        <f t="shared" si="0"/>
        <v>100</v>
      </c>
      <c r="T15" s="713" t="s">
        <v>17</v>
      </c>
      <c r="U15" s="714">
        <f t="shared" si="1"/>
        <v>100</v>
      </c>
      <c r="V15" s="713" t="s">
        <v>17</v>
      </c>
      <c r="W15" s="714">
        <f t="shared" si="2"/>
        <v>100</v>
      </c>
      <c r="X15" s="1489"/>
      <c r="Y15" s="3505"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06"/>
      <c r="Q16" s="1486"/>
      <c r="R16" s="713"/>
      <c r="S16" s="714"/>
      <c r="T16" s="713"/>
      <c r="U16" s="714"/>
      <c r="V16" s="713"/>
      <c r="W16" s="714"/>
      <c r="X16" s="1489"/>
      <c r="Y16" s="3506"/>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06"/>
      <c r="Q17" s="1486" t="str">
        <f>B17</f>
        <v>交通便捷度</v>
      </c>
      <c r="R17" s="713" t="s">
        <v>17</v>
      </c>
      <c r="S17" s="714">
        <f>F17</f>
        <v>100</v>
      </c>
      <c r="T17" s="713" t="s">
        <v>17</v>
      </c>
      <c r="U17" s="714">
        <f>H17</f>
        <v>100</v>
      </c>
      <c r="V17" s="713" t="s">
        <v>17</v>
      </c>
      <c r="W17" s="714">
        <f>J17</f>
        <v>100</v>
      </c>
      <c r="X17" s="1489"/>
      <c r="Y17" s="3506"/>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06"/>
      <c r="Q18" s="1486"/>
      <c r="R18" s="713"/>
      <c r="S18" s="714"/>
      <c r="T18" s="713"/>
      <c r="U18" s="714"/>
      <c r="V18" s="713"/>
      <c r="W18" s="714"/>
      <c r="X18" s="1489"/>
      <c r="Y18" s="3506"/>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06"/>
      <c r="Q19" s="1486" t="str">
        <f t="shared" ref="Q19:Q33" si="8">B19</f>
        <v>区域土地利用方向</v>
      </c>
      <c r="R19" s="713" t="s">
        <v>17</v>
      </c>
      <c r="S19" s="714">
        <f>F19</f>
        <v>100</v>
      </c>
      <c r="T19" s="713" t="s">
        <v>17</v>
      </c>
      <c r="U19" s="714">
        <f>H19</f>
        <v>100</v>
      </c>
      <c r="V19" s="713" t="s">
        <v>17</v>
      </c>
      <c r="W19" s="714">
        <f>J19</f>
        <v>100</v>
      </c>
      <c r="X19" s="1489"/>
      <c r="Y19" s="3506"/>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506"/>
      <c r="Q20" s="1486"/>
      <c r="R20" s="713"/>
      <c r="S20" s="714"/>
      <c r="T20" s="713"/>
      <c r="U20" s="714"/>
      <c r="V20" s="713"/>
      <c r="W20" s="714"/>
      <c r="X20" s="1489"/>
      <c r="Y20" s="3506"/>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06"/>
      <c r="Q21" s="1486" t="str">
        <f t="shared" si="8"/>
        <v>环境状况</v>
      </c>
      <c r="R21" s="713" t="s">
        <v>17</v>
      </c>
      <c r="S21" s="714">
        <f>F21</f>
        <v>100</v>
      </c>
      <c r="T21" s="713" t="s">
        <v>17</v>
      </c>
      <c r="U21" s="714">
        <f>H21</f>
        <v>100</v>
      </c>
      <c r="V21" s="713" t="s">
        <v>17</v>
      </c>
      <c r="W21" s="714">
        <f>J21</f>
        <v>100</v>
      </c>
      <c r="X21" s="1489"/>
      <c r="Y21" s="3506"/>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06"/>
      <c r="Q22" s="1486"/>
      <c r="R22" s="713"/>
      <c r="S22" s="714"/>
      <c r="T22" s="713"/>
      <c r="U22" s="714"/>
      <c r="V22" s="713"/>
      <c r="W22" s="714"/>
      <c r="X22" s="1489"/>
      <c r="Y22" s="3506"/>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06"/>
      <c r="Q23" s="1477" t="str">
        <f t="shared" si="8"/>
        <v>公共配套设施</v>
      </c>
      <c r="R23" s="709" t="s">
        <v>17</v>
      </c>
      <c r="S23" s="710">
        <f>F23</f>
        <v>100</v>
      </c>
      <c r="T23" s="709" t="s">
        <v>17</v>
      </c>
      <c r="U23" s="710">
        <f>H23</f>
        <v>100</v>
      </c>
      <c r="V23" s="709" t="s">
        <v>17</v>
      </c>
      <c r="W23" s="710">
        <f>J23</f>
        <v>100</v>
      </c>
      <c r="X23" s="711"/>
      <c r="Y23" s="3506"/>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06"/>
      <c r="Q24" s="1477"/>
      <c r="R24" s="709"/>
      <c r="S24" s="710"/>
      <c r="T24" s="709"/>
      <c r="U24" s="710"/>
      <c r="V24" s="709"/>
      <c r="W24" s="710"/>
      <c r="X24" s="711"/>
      <c r="Y24" s="3506"/>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06"/>
      <c r="Q25" s="1477" t="str">
        <f t="shared" ref="Q25" si="9">B25</f>
        <v>基础设施水平</v>
      </c>
      <c r="R25" s="709" t="s">
        <v>17</v>
      </c>
      <c r="S25" s="710">
        <f>F25</f>
        <v>100</v>
      </c>
      <c r="T25" s="709" t="s">
        <v>17</v>
      </c>
      <c r="U25" s="710">
        <f>H25</f>
        <v>100</v>
      </c>
      <c r="V25" s="709" t="s">
        <v>17</v>
      </c>
      <c r="W25" s="710">
        <f>J25</f>
        <v>100</v>
      </c>
      <c r="X25" s="711"/>
      <c r="Y25" s="3506"/>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06"/>
      <c r="Q26" s="1477"/>
      <c r="R26" s="709"/>
      <c r="S26" s="710"/>
      <c r="T26" s="709"/>
      <c r="U26" s="710"/>
      <c r="V26" s="709"/>
      <c r="W26" s="710"/>
      <c r="X26" s="711"/>
      <c r="Y26" s="3506"/>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06"/>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06"/>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06"/>
      <c r="Q28" s="1486" t="str">
        <f t="shared" si="8"/>
        <v>毗邻道路的类型与等级</v>
      </c>
      <c r="R28" s="713" t="s">
        <v>17</v>
      </c>
      <c r="S28" s="714">
        <f t="shared" si="10"/>
        <v>100</v>
      </c>
      <c r="T28" s="713" t="s">
        <v>17</v>
      </c>
      <c r="U28" s="714">
        <f t="shared" si="11"/>
        <v>100</v>
      </c>
      <c r="V28" s="713" t="s">
        <v>17</v>
      </c>
      <c r="W28" s="714">
        <f t="shared" si="12"/>
        <v>100</v>
      </c>
      <c r="X28" s="1489"/>
      <c r="Y28" s="3506"/>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06"/>
      <c r="Q29" s="1486"/>
      <c r="R29" s="713"/>
      <c r="S29" s="714"/>
      <c r="T29" s="713"/>
      <c r="U29" s="714"/>
      <c r="V29" s="713"/>
      <c r="W29" s="714"/>
      <c r="X29" s="1489"/>
      <c r="Y29" s="3506"/>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06"/>
      <c r="Q30" s="1486" t="str">
        <f t="shared" si="8"/>
        <v>土地级别</v>
      </c>
      <c r="R30" s="713" t="s">
        <v>17</v>
      </c>
      <c r="S30" s="714">
        <f t="shared" si="10"/>
        <v>100</v>
      </c>
      <c r="T30" s="713" t="s">
        <v>17</v>
      </c>
      <c r="U30" s="714">
        <f t="shared" si="11"/>
        <v>100</v>
      </c>
      <c r="V30" s="713" t="s">
        <v>17</v>
      </c>
      <c r="W30" s="714">
        <f t="shared" si="12"/>
        <v>100</v>
      </c>
      <c r="X30" s="1489"/>
      <c r="Y30" s="3506"/>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06"/>
      <c r="Q31" s="1486">
        <f t="shared" si="8"/>
        <v>111</v>
      </c>
      <c r="R31" s="713" t="s">
        <v>17</v>
      </c>
      <c r="S31" s="714">
        <f t="shared" si="10"/>
        <v>100</v>
      </c>
      <c r="T31" s="713" t="s">
        <v>17</v>
      </c>
      <c r="U31" s="714">
        <f t="shared" si="11"/>
        <v>100</v>
      </c>
      <c r="V31" s="713" t="s">
        <v>17</v>
      </c>
      <c r="W31" s="714">
        <f t="shared" si="12"/>
        <v>100</v>
      </c>
      <c r="X31" s="1489"/>
      <c r="Y31" s="3506"/>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5" t="s">
        <v>2145</v>
      </c>
      <c r="Q32" s="1486">
        <f t="shared" si="8"/>
        <v>111</v>
      </c>
      <c r="R32" s="713" t="s">
        <v>17</v>
      </c>
      <c r="S32" s="714">
        <f t="shared" si="10"/>
        <v>100</v>
      </c>
      <c r="T32" s="713" t="s">
        <v>17</v>
      </c>
      <c r="U32" s="714">
        <f t="shared" si="11"/>
        <v>100</v>
      </c>
      <c r="V32" s="713" t="s">
        <v>17</v>
      </c>
      <c r="W32" s="714">
        <f t="shared" si="12"/>
        <v>100</v>
      </c>
      <c r="X32" s="1489"/>
      <c r="Y32" s="3510"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10"/>
      <c r="Q33" s="1486">
        <f t="shared" si="8"/>
        <v>111</v>
      </c>
      <c r="R33" s="716" t="s">
        <v>17</v>
      </c>
      <c r="S33" s="717">
        <f t="shared" si="10"/>
        <v>100</v>
      </c>
      <c r="T33" s="716" t="s">
        <v>17</v>
      </c>
      <c r="U33" s="717">
        <f t="shared" si="11"/>
        <v>100</v>
      </c>
      <c r="V33" s="716" t="s">
        <v>17</v>
      </c>
      <c r="W33" s="717">
        <f t="shared" si="12"/>
        <v>100</v>
      </c>
      <c r="X33" s="718"/>
      <c r="Y33" s="3510"/>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10"/>
      <c r="Q34" s="1486" t="str">
        <f>B34</f>
        <v>宗地面积</v>
      </c>
      <c r="R34" s="713" t="s">
        <v>17</v>
      </c>
      <c r="S34" s="714" t="e">
        <f t="shared" si="10"/>
        <v>#N/A</v>
      </c>
      <c r="T34" s="713" t="s">
        <v>17</v>
      </c>
      <c r="U34" s="714" t="e">
        <f t="shared" si="11"/>
        <v>#N/A</v>
      </c>
      <c r="V34" s="713" t="s">
        <v>17</v>
      </c>
      <c r="W34" s="714" t="e">
        <f t="shared" si="12"/>
        <v>#N/A</v>
      </c>
      <c r="X34" s="1489"/>
      <c r="Y34" s="3510"/>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10"/>
      <c r="Q35" s="1486" t="str">
        <f t="shared" ref="Q35:Q40" si="14">B35</f>
        <v>宗地形状</v>
      </c>
      <c r="R35" s="713" t="s">
        <v>17</v>
      </c>
      <c r="S35" s="714">
        <f t="shared" si="10"/>
        <v>100</v>
      </c>
      <c r="T35" s="713" t="s">
        <v>17</v>
      </c>
      <c r="U35" s="714">
        <f t="shared" si="11"/>
        <v>100</v>
      </c>
      <c r="V35" s="713" t="s">
        <v>17</v>
      </c>
      <c r="W35" s="714">
        <f t="shared" si="12"/>
        <v>100</v>
      </c>
      <c r="X35" s="1489"/>
      <c r="Y35" s="3510"/>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10"/>
      <c r="Q36" s="1486" t="str">
        <f t="shared" si="14"/>
        <v>宗地开发程度</v>
      </c>
      <c r="R36" s="709" t="s">
        <v>17</v>
      </c>
      <c r="S36" s="710">
        <f t="shared" si="10"/>
        <v>100</v>
      </c>
      <c r="T36" s="709" t="s">
        <v>17</v>
      </c>
      <c r="U36" s="710">
        <f t="shared" si="11"/>
        <v>100</v>
      </c>
      <c r="V36" s="709" t="s">
        <v>17</v>
      </c>
      <c r="W36" s="710">
        <f t="shared" si="12"/>
        <v>100</v>
      </c>
      <c r="X36" s="711"/>
      <c r="Y36" s="3510"/>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10" t="s">
        <v>2145</v>
      </c>
      <c r="Q37" s="1486" t="str">
        <f t="shared" si="14"/>
        <v>工程地质条件</v>
      </c>
      <c r="R37" s="713" t="s">
        <v>17</v>
      </c>
      <c r="S37" s="714">
        <f t="shared" si="10"/>
        <v>100</v>
      </c>
      <c r="T37" s="713" t="s">
        <v>17</v>
      </c>
      <c r="U37" s="714">
        <f t="shared" si="11"/>
        <v>100</v>
      </c>
      <c r="V37" s="713" t="s">
        <v>17</v>
      </c>
      <c r="W37" s="714">
        <f t="shared" si="12"/>
        <v>100</v>
      </c>
      <c r="X37" s="1489"/>
      <c r="Y37" s="3510"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10"/>
      <c r="Q38" s="1486">
        <f t="shared" si="14"/>
        <v>111</v>
      </c>
      <c r="R38" s="713" t="s">
        <v>17</v>
      </c>
      <c r="S38" s="714">
        <f t="shared" si="10"/>
        <v>100</v>
      </c>
      <c r="T38" s="713" t="s">
        <v>17</v>
      </c>
      <c r="U38" s="714">
        <f t="shared" si="11"/>
        <v>100</v>
      </c>
      <c r="V38" s="713" t="s">
        <v>17</v>
      </c>
      <c r="W38" s="714">
        <f t="shared" si="12"/>
        <v>100</v>
      </c>
      <c r="X38" s="1489"/>
      <c r="Y38" s="3510"/>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10"/>
      <c r="Q39" s="1486">
        <f t="shared" si="14"/>
        <v>111</v>
      </c>
      <c r="R39" s="713" t="s">
        <v>17</v>
      </c>
      <c r="S39" s="714">
        <f t="shared" si="10"/>
        <v>100</v>
      </c>
      <c r="T39" s="713" t="s">
        <v>17</v>
      </c>
      <c r="U39" s="714">
        <f t="shared" si="11"/>
        <v>100</v>
      </c>
      <c r="V39" s="713" t="s">
        <v>17</v>
      </c>
      <c r="W39" s="714">
        <f t="shared" si="12"/>
        <v>100</v>
      </c>
      <c r="X39" s="1489"/>
      <c r="Y39" s="3510"/>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10"/>
      <c r="Q40" s="1486">
        <f t="shared" si="14"/>
        <v>111</v>
      </c>
      <c r="R40" s="716" t="s">
        <v>17</v>
      </c>
      <c r="S40" s="717">
        <f t="shared" si="10"/>
        <v>100</v>
      </c>
      <c r="T40" s="716" t="s">
        <v>17</v>
      </c>
      <c r="U40" s="717">
        <f t="shared" si="11"/>
        <v>100</v>
      </c>
      <c r="V40" s="716" t="s">
        <v>17</v>
      </c>
      <c r="W40" s="717">
        <f t="shared" si="12"/>
        <v>100</v>
      </c>
      <c r="X40" s="718"/>
      <c r="Y40" s="3510"/>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503" t="str">
        <f>A41</f>
        <v>成交单价</v>
      </c>
      <c r="Q41" s="3503"/>
      <c r="R41" s="3498">
        <f>E41</f>
        <v>0</v>
      </c>
      <c r="S41" s="3498"/>
      <c r="T41" s="3498">
        <f>G41</f>
        <v>0</v>
      </c>
      <c r="U41" s="3498"/>
      <c r="V41" s="3498">
        <f>I41</f>
        <v>0</v>
      </c>
      <c r="W41" s="3498"/>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03" t="str">
        <f>A42</f>
        <v>比较价值（元/平方米）</v>
      </c>
      <c r="Q42" s="3503"/>
      <c r="R42" s="3537" t="e">
        <f>ROUND(PRODUCT(R41,AA7:AA40),0)</f>
        <v>#DIV/0!</v>
      </c>
      <c r="S42" s="3537"/>
      <c r="T42" s="3537" t="e">
        <f>ROUND(PRODUCT(T41,AB7:AB40),0)</f>
        <v>#DIV/0!</v>
      </c>
      <c r="U42" s="3537"/>
      <c r="V42" s="3537" t="e">
        <f>ROUND(PRODUCT(V41,AC7:AC40),0)</f>
        <v>#DIV/0!</v>
      </c>
      <c r="W42" s="3537"/>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500" t="str">
        <f>A43</f>
        <v>估价对象XX用房的比较价值（楼面单价，元/平方米）</v>
      </c>
      <c r="Q43" s="3501"/>
      <c r="R43" s="3538" t="e">
        <f>ROUND(IF(D42="简单平均",AVERAGE(R42:W42),R42*F42+T42*H42+V42*J42),0)</f>
        <v>#DIV/0!</v>
      </c>
      <c r="S43" s="3538"/>
      <c r="T43" s="3538"/>
      <c r="U43" s="3538"/>
      <c r="V43" s="3538"/>
      <c r="W43" s="353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86" t="s">
        <v>2344</v>
      </c>
      <c r="H50" s="353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18937.57</v>
      </c>
      <c r="F51" s="647" t="e">
        <f t="shared" ref="F51:F60" si="15">ROUND(B51*E51/10000,0)</f>
        <v>#DIV/0!</v>
      </c>
      <c r="G51" s="3485"/>
      <c r="H51" s="3503"/>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3"/>
      <c r="B4" s="3564"/>
      <c r="C4" s="3564"/>
      <c r="D4" s="3565"/>
      <c r="E4" s="3565"/>
      <c r="F4" s="3565"/>
      <c r="G4" s="3565"/>
      <c r="H4" s="3565"/>
      <c r="I4" s="3565"/>
      <c r="J4" s="3566"/>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44"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67"/>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60" t="s">
        <v>2419</v>
      </c>
      <c r="X8" s="3561"/>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67"/>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62"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7"/>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6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7"/>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62"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44"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62"/>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8"/>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62"/>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68"/>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9"/>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44" t="s">
        <v>2462</v>
      </c>
      <c r="B16" s="2159" t="s">
        <v>2463</v>
      </c>
      <c r="C16" s="2321" t="e">
        <f>ROUND(IF(F17="与级别开发程度一致",0,(G17-E17)/C17),0)</f>
        <v>#DIV/0!</v>
      </c>
      <c r="D16" s="3557" t="s">
        <v>2467</v>
      </c>
      <c r="E16" s="3558"/>
      <c r="F16" s="3557" t="s">
        <v>2464</v>
      </c>
      <c r="G16" s="355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4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44767</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存贷款利率!E21/100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5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5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5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46" t="s">
        <v>2550</v>
      </c>
      <c r="B90" s="3546"/>
      <c r="C90" s="3546"/>
      <c r="D90" s="3546"/>
      <c r="E90" s="3546"/>
      <c r="F90" s="3546"/>
      <c r="G90" s="3546"/>
      <c r="H90" s="3546"/>
      <c r="I90" s="3546"/>
      <c r="J90" s="3546"/>
      <c r="K90" s="2293"/>
      <c r="L90" s="2293"/>
      <c r="M90" s="2293"/>
      <c r="N90" s="2293"/>
    </row>
    <row r="91" spans="1:37">
      <c r="A91" s="3548" t="s">
        <v>2551</v>
      </c>
      <c r="B91" s="3548" t="s">
        <v>2552</v>
      </c>
      <c r="C91" s="2247" t="s">
        <v>2553</v>
      </c>
      <c r="D91" s="2248"/>
      <c r="E91" s="2248"/>
      <c r="F91" s="2248"/>
      <c r="G91" s="2248"/>
      <c r="H91" s="2248"/>
      <c r="I91" s="2248"/>
      <c r="J91" s="2294"/>
      <c r="K91" s="2295"/>
      <c r="L91" s="2295"/>
      <c r="M91" s="2295"/>
      <c r="N91" s="2295"/>
    </row>
    <row r="92" spans="1:37">
      <c r="A92" s="3548"/>
      <c r="B92" s="354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9"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5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5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5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5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5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5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50"/>
      <c r="B108" s="355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1"/>
      <c r="B109" s="355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47" t="s">
        <v>2558</v>
      </c>
      <c r="B110" s="3547"/>
      <c r="C110" s="3547"/>
      <c r="D110" s="3547"/>
      <c r="E110" s="3547"/>
      <c r="F110" s="3547"/>
      <c r="G110" s="3547"/>
      <c r="H110" s="3547"/>
      <c r="I110" s="3547"/>
      <c r="J110" s="3547"/>
      <c r="K110" s="2302"/>
      <c r="L110" s="2302"/>
      <c r="M110" s="2302"/>
      <c r="N110" s="2302"/>
    </row>
    <row r="112" spans="1:14" ht="13.5" thickBot="1"/>
    <row r="113" spans="1:13" ht="25.5"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77" t="s">
        <v>2954</v>
      </c>
      <c r="B20" s="3570" t="s">
        <v>2955</v>
      </c>
      <c r="C20" s="3212" t="s">
        <v>2956</v>
      </c>
      <c r="D20" s="3213"/>
      <c r="E20" s="3214">
        <v>1</v>
      </c>
      <c r="F20" s="3215" t="s">
        <v>2957</v>
      </c>
      <c r="G20" s="806"/>
      <c r="H20" s="800"/>
      <c r="I20" s="800"/>
    </row>
    <row r="21" spans="1:13" s="807" customFormat="1" ht="19.5" customHeight="1">
      <c r="A21" s="3578"/>
      <c r="B21" s="3571"/>
      <c r="C21" s="804" t="s">
        <v>2958</v>
      </c>
      <c r="D21" s="805"/>
      <c r="E21" s="3216">
        <v>1</v>
      </c>
      <c r="F21" s="3215" t="s">
        <v>2959</v>
      </c>
      <c r="G21" s="806"/>
      <c r="H21" s="800"/>
      <c r="I21" s="800"/>
    </row>
    <row r="22" spans="1:13" s="807" customFormat="1" ht="19.5" customHeight="1">
      <c r="A22" s="3578"/>
      <c r="B22" s="3571"/>
      <c r="C22" s="804" t="s">
        <v>2960</v>
      </c>
      <c r="D22" s="805"/>
      <c r="E22" s="3216">
        <v>0.9</v>
      </c>
      <c r="F22" s="3215" t="s">
        <v>2961</v>
      </c>
      <c r="G22" s="806"/>
      <c r="H22" s="800"/>
      <c r="I22" s="800"/>
    </row>
    <row r="23" spans="1:13" s="807" customFormat="1" ht="19.5" customHeight="1">
      <c r="A23" s="3578"/>
      <c r="B23" s="3571"/>
      <c r="C23" s="804" t="s">
        <v>2962</v>
      </c>
      <c r="D23" s="805"/>
      <c r="E23" s="3216">
        <v>0.9</v>
      </c>
      <c r="F23" s="3215" t="s">
        <v>2963</v>
      </c>
      <c r="G23" s="806"/>
      <c r="H23" s="800"/>
      <c r="I23" s="800"/>
    </row>
    <row r="24" spans="1:13" s="807" customFormat="1" ht="19.5" customHeight="1">
      <c r="A24" s="3578"/>
      <c r="B24" s="3571"/>
      <c r="C24" s="804" t="s">
        <v>2964</v>
      </c>
      <c r="D24" s="805"/>
      <c r="E24" s="3216">
        <v>0.8</v>
      </c>
      <c r="F24" s="3215" t="s">
        <v>2965</v>
      </c>
      <c r="G24" s="806"/>
      <c r="H24" s="800"/>
      <c r="I24" s="800"/>
    </row>
    <row r="25" spans="1:13" s="807" customFormat="1" ht="19.5" customHeight="1" thickBot="1">
      <c r="A25" s="3579"/>
      <c r="B25" s="357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73" t="s">
        <v>2971</v>
      </c>
      <c r="B27" s="3570" t="s">
        <v>2971</v>
      </c>
      <c r="C27" s="3212" t="s">
        <v>2972</v>
      </c>
      <c r="D27" s="3213"/>
      <c r="E27" s="3214">
        <v>1</v>
      </c>
      <c r="F27" s="3215" t="s">
        <v>2973</v>
      </c>
      <c r="G27" s="806"/>
      <c r="H27" s="800"/>
      <c r="I27" s="800"/>
    </row>
    <row r="28" spans="1:13" s="807" customFormat="1" ht="19.5" customHeight="1">
      <c r="A28" s="3574"/>
      <c r="B28" s="3571"/>
      <c r="C28" s="804" t="s">
        <v>2974</v>
      </c>
      <c r="D28" s="805"/>
      <c r="E28" s="3216">
        <v>1</v>
      </c>
      <c r="F28" s="3215" t="s">
        <v>2975</v>
      </c>
      <c r="G28" s="806"/>
      <c r="H28" s="800"/>
      <c r="I28" s="800"/>
    </row>
    <row r="29" spans="1:13" s="807" customFormat="1" ht="19.5" customHeight="1">
      <c r="A29" s="3574"/>
      <c r="B29" s="3571"/>
      <c r="C29" s="804" t="s">
        <v>2976</v>
      </c>
      <c r="D29" s="805"/>
      <c r="E29" s="3216">
        <v>0.8</v>
      </c>
      <c r="F29" s="3215" t="s">
        <v>2977</v>
      </c>
      <c r="G29" s="806"/>
      <c r="H29" s="800"/>
      <c r="I29" s="800"/>
    </row>
    <row r="30" spans="1:13" s="807" customFormat="1" ht="19.5" customHeight="1">
      <c r="A30" s="3574"/>
      <c r="B30" s="3571"/>
      <c r="C30" s="804" t="s">
        <v>2978</v>
      </c>
      <c r="D30" s="805"/>
      <c r="E30" s="3216">
        <v>0.8</v>
      </c>
      <c r="F30" s="3215" t="s">
        <v>2979</v>
      </c>
      <c r="G30" s="806"/>
      <c r="H30" s="800"/>
      <c r="I30" s="800"/>
    </row>
    <row r="31" spans="1:13" s="807" customFormat="1" ht="19.5" customHeight="1">
      <c r="A31" s="3574"/>
      <c r="B31" s="3571"/>
      <c r="C31" s="804" t="s">
        <v>2980</v>
      </c>
      <c r="D31" s="805"/>
      <c r="E31" s="3216">
        <v>0.8</v>
      </c>
      <c r="F31" s="3215" t="s">
        <v>2981</v>
      </c>
      <c r="G31" s="806"/>
      <c r="H31" s="800"/>
      <c r="I31" s="800"/>
    </row>
    <row r="32" spans="1:13" s="807" customFormat="1" ht="19.5" customHeight="1">
      <c r="A32" s="3574"/>
      <c r="B32" s="3571"/>
      <c r="C32" s="804" t="s">
        <v>2982</v>
      </c>
      <c r="D32" s="805"/>
      <c r="E32" s="3216">
        <v>0.7</v>
      </c>
      <c r="F32" s="3215" t="s">
        <v>2983</v>
      </c>
      <c r="G32" s="806"/>
      <c r="H32" s="800"/>
      <c r="I32" s="800"/>
    </row>
    <row r="33" spans="1:9" s="807" customFormat="1" ht="19.5" customHeight="1">
      <c r="A33" s="3574"/>
      <c r="B33" s="3571"/>
      <c r="C33" s="804" t="s">
        <v>2984</v>
      </c>
      <c r="D33" s="805"/>
      <c r="E33" s="3216">
        <v>0.8</v>
      </c>
      <c r="F33" s="3215" t="s">
        <v>2985</v>
      </c>
      <c r="G33" s="806"/>
      <c r="H33" s="800"/>
      <c r="I33" s="800"/>
    </row>
    <row r="34" spans="1:9" s="807" customFormat="1" ht="19.5" customHeight="1">
      <c r="A34" s="3574"/>
      <c r="B34" s="3571"/>
      <c r="C34" s="804" t="s">
        <v>2986</v>
      </c>
      <c r="D34" s="805"/>
      <c r="E34" s="3216">
        <v>0.6</v>
      </c>
      <c r="F34" s="3215" t="s">
        <v>2987</v>
      </c>
      <c r="G34" s="806"/>
      <c r="H34" s="800"/>
      <c r="I34" s="800"/>
    </row>
    <row r="35" spans="1:9" s="807" customFormat="1" ht="19.5" customHeight="1">
      <c r="A35" s="3574"/>
      <c r="B35" s="3571"/>
      <c r="C35" s="804" t="s">
        <v>2988</v>
      </c>
      <c r="D35" s="805"/>
      <c r="E35" s="3216">
        <v>0.2</v>
      </c>
      <c r="F35" s="3215" t="s">
        <v>2989</v>
      </c>
      <c r="G35" s="806"/>
      <c r="H35" s="800"/>
      <c r="I35" s="800"/>
    </row>
    <row r="36" spans="1:9" s="807" customFormat="1" ht="19.5" customHeight="1">
      <c r="A36" s="3574"/>
      <c r="B36" s="3571"/>
      <c r="C36" s="804" t="s">
        <v>2990</v>
      </c>
      <c r="D36" s="805"/>
      <c r="E36" s="3216">
        <v>0.2</v>
      </c>
      <c r="F36" s="3215" t="s">
        <v>2991</v>
      </c>
      <c r="G36" s="806"/>
      <c r="H36" s="800"/>
      <c r="I36" s="800"/>
    </row>
    <row r="37" spans="1:9" s="807" customFormat="1" ht="19.5" customHeight="1">
      <c r="A37" s="3574"/>
      <c r="B37" s="3576" t="s">
        <v>2992</v>
      </c>
      <c r="C37" s="804" t="s">
        <v>2993</v>
      </c>
      <c r="D37" s="805"/>
      <c r="E37" s="3216">
        <v>0.6</v>
      </c>
      <c r="F37" s="3215" t="s">
        <v>2994</v>
      </c>
      <c r="G37" s="806"/>
      <c r="H37" s="800"/>
      <c r="I37" s="800"/>
    </row>
    <row r="38" spans="1:9" s="807" customFormat="1" ht="19.5" customHeight="1">
      <c r="A38" s="3574"/>
      <c r="B38" s="3571"/>
      <c r="C38" s="804" t="s">
        <v>2995</v>
      </c>
      <c r="D38" s="805"/>
      <c r="E38" s="3216">
        <v>0.6</v>
      </c>
      <c r="F38" s="3215" t="s">
        <v>2996</v>
      </c>
      <c r="G38" s="806"/>
      <c r="H38" s="800"/>
      <c r="I38" s="800"/>
    </row>
    <row r="39" spans="1:9" s="807" customFormat="1" ht="19.5" customHeight="1" thickBot="1">
      <c r="A39" s="3575"/>
      <c r="B39" s="357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77" t="s">
        <v>3002</v>
      </c>
      <c r="B41" s="3570" t="s">
        <v>3003</v>
      </c>
      <c r="C41" s="3212" t="s">
        <v>3004</v>
      </c>
      <c r="D41" s="3213"/>
      <c r="E41" s="3214">
        <v>1</v>
      </c>
      <c r="F41" s="3215" t="s">
        <v>3005</v>
      </c>
      <c r="G41" s="806"/>
      <c r="H41" s="800"/>
      <c r="I41" s="800"/>
    </row>
    <row r="42" spans="1:9" s="807" customFormat="1" ht="19.5" customHeight="1">
      <c r="A42" s="3578"/>
      <c r="B42" s="3571"/>
      <c r="C42" s="804" t="s">
        <v>3006</v>
      </c>
      <c r="D42" s="805"/>
      <c r="E42" s="3216">
        <v>1</v>
      </c>
      <c r="F42" s="3215" t="s">
        <v>3007</v>
      </c>
      <c r="G42" s="806"/>
      <c r="H42" s="800"/>
      <c r="I42" s="800"/>
    </row>
    <row r="43" spans="1:9" s="807" customFormat="1" ht="19.5" customHeight="1">
      <c r="A43" s="3578"/>
      <c r="B43" s="3580"/>
      <c r="C43" s="804" t="s">
        <v>3008</v>
      </c>
      <c r="D43" s="805"/>
      <c r="E43" s="3216">
        <v>1.5</v>
      </c>
      <c r="F43" s="3215" t="s">
        <v>3009</v>
      </c>
      <c r="G43" s="806"/>
      <c r="H43" s="800"/>
      <c r="I43" s="800"/>
    </row>
    <row r="44" spans="1:9" s="807" customFormat="1" ht="19.5" customHeight="1">
      <c r="A44" s="3578"/>
      <c r="B44" s="3225" t="s">
        <v>2971</v>
      </c>
      <c r="C44" s="804" t="s">
        <v>3010</v>
      </c>
      <c r="D44" s="805"/>
      <c r="E44" s="3216">
        <v>2</v>
      </c>
      <c r="F44" s="3215" t="s">
        <v>3011</v>
      </c>
      <c r="G44" s="806"/>
      <c r="H44" s="800"/>
      <c r="I44" s="800"/>
    </row>
    <row r="45" spans="1:9" s="807" customFormat="1" ht="19.5" customHeight="1">
      <c r="A45" s="3578"/>
      <c r="B45" s="3576" t="s">
        <v>3012</v>
      </c>
      <c r="C45" s="804" t="s">
        <v>3013</v>
      </c>
      <c r="D45" s="805"/>
      <c r="E45" s="3216">
        <v>1</v>
      </c>
      <c r="F45" s="3215" t="s">
        <v>3014</v>
      </c>
      <c r="G45" s="806"/>
      <c r="H45" s="800"/>
      <c r="I45" s="800"/>
    </row>
    <row r="46" spans="1:9" s="807" customFormat="1" ht="19.5" customHeight="1">
      <c r="A46" s="3578"/>
      <c r="B46" s="3571"/>
      <c r="C46" s="804" t="s">
        <v>3015</v>
      </c>
      <c r="D46" s="805"/>
      <c r="E46" s="3216">
        <v>1</v>
      </c>
      <c r="F46" s="3215" t="s">
        <v>3016</v>
      </c>
      <c r="G46" s="806"/>
      <c r="H46" s="800"/>
      <c r="I46" s="800"/>
    </row>
    <row r="47" spans="1:9" s="807" customFormat="1" ht="19.5" customHeight="1">
      <c r="A47" s="3578"/>
      <c r="B47" s="3571"/>
      <c r="C47" s="804" t="s">
        <v>3017</v>
      </c>
      <c r="D47" s="805"/>
      <c r="E47" s="3216">
        <v>1</v>
      </c>
      <c r="F47" s="3215" t="s">
        <v>3018</v>
      </c>
      <c r="G47" s="806"/>
      <c r="H47" s="800"/>
      <c r="I47" s="800"/>
    </row>
    <row r="48" spans="1:9" s="807" customFormat="1" ht="19.5" customHeight="1">
      <c r="A48" s="3578"/>
      <c r="B48" s="3571"/>
      <c r="C48" s="804" t="s">
        <v>3019</v>
      </c>
      <c r="D48" s="805"/>
      <c r="E48" s="3216">
        <v>1</v>
      </c>
      <c r="F48" s="3215" t="s">
        <v>3020</v>
      </c>
      <c r="G48" s="806"/>
      <c r="H48" s="800"/>
      <c r="I48" s="800"/>
    </row>
    <row r="49" spans="1:9" s="807" customFormat="1" ht="19.5" customHeight="1">
      <c r="A49" s="3578"/>
      <c r="B49" s="3571"/>
      <c r="C49" s="804" t="s">
        <v>3021</v>
      </c>
      <c r="D49" s="805"/>
      <c r="E49" s="3216">
        <v>1</v>
      </c>
      <c r="F49" s="3215" t="s">
        <v>3022</v>
      </c>
      <c r="G49" s="806"/>
      <c r="H49" s="800"/>
      <c r="I49" s="800"/>
    </row>
    <row r="50" spans="1:9" s="807" customFormat="1" ht="19.5" customHeight="1">
      <c r="A50" s="3578"/>
      <c r="B50" s="3571"/>
      <c r="C50" s="804" t="s">
        <v>3023</v>
      </c>
      <c r="D50" s="805"/>
      <c r="E50" s="3216">
        <v>1</v>
      </c>
      <c r="F50" s="3215" t="s">
        <v>3024</v>
      </c>
      <c r="G50" s="806"/>
      <c r="H50" s="800"/>
      <c r="I50" s="800"/>
    </row>
    <row r="51" spans="1:9" s="807" customFormat="1" ht="19.5" customHeight="1" thickBot="1">
      <c r="A51" s="3579"/>
      <c r="B51" s="357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76" t="s">
        <v>3028</v>
      </c>
      <c r="C73" s="3205" t="s">
        <v>3029</v>
      </c>
      <c r="D73" s="3205" t="s">
        <v>3030</v>
      </c>
      <c r="E73" s="3226">
        <v>0.2</v>
      </c>
      <c r="F73" s="3225">
        <v>25</v>
      </c>
    </row>
    <row r="74" spans="1:7" s="800" customFormat="1" ht="24">
      <c r="A74" s="3225">
        <v>2</v>
      </c>
      <c r="B74" s="3571"/>
      <c r="C74" s="3205" t="s">
        <v>3031</v>
      </c>
      <c r="D74" s="3205" t="s">
        <v>3032</v>
      </c>
      <c r="E74" s="3226">
        <v>0.2</v>
      </c>
      <c r="F74" s="3225">
        <v>25</v>
      </c>
    </row>
    <row r="75" spans="1:7" s="800" customFormat="1" ht="24">
      <c r="A75" s="3225">
        <v>3</v>
      </c>
      <c r="B75" s="3571"/>
      <c r="C75" s="3205" t="s">
        <v>3033</v>
      </c>
      <c r="D75" s="3205" t="s">
        <v>3034</v>
      </c>
      <c r="E75" s="3226">
        <v>0.2</v>
      </c>
      <c r="F75" s="3225">
        <v>25</v>
      </c>
    </row>
    <row r="76" spans="1:7" s="800" customFormat="1" ht="13.5">
      <c r="A76" s="3225">
        <v>4</v>
      </c>
      <c r="B76" s="3571"/>
      <c r="C76" s="3205" t="s">
        <v>3035</v>
      </c>
      <c r="D76" s="3205" t="s">
        <v>3036</v>
      </c>
      <c r="E76" s="3226">
        <v>0.15</v>
      </c>
      <c r="F76" s="3225">
        <v>20</v>
      </c>
    </row>
    <row r="77" spans="1:7" s="800" customFormat="1" ht="24">
      <c r="A77" s="3225">
        <v>5</v>
      </c>
      <c r="B77" s="3571"/>
      <c r="C77" s="3205" t="s">
        <v>3037</v>
      </c>
      <c r="D77" s="3205" t="s">
        <v>3038</v>
      </c>
      <c r="E77" s="3226">
        <v>0.15</v>
      </c>
      <c r="F77" s="3225">
        <v>20</v>
      </c>
    </row>
    <row r="78" spans="1:7" s="800" customFormat="1" ht="24">
      <c r="A78" s="3225">
        <v>6</v>
      </c>
      <c r="B78" s="3571"/>
      <c r="C78" s="3205" t="s">
        <v>3039</v>
      </c>
      <c r="D78" s="3205" t="s">
        <v>3040</v>
      </c>
      <c r="E78" s="3226">
        <v>0.15</v>
      </c>
      <c r="F78" s="3225">
        <v>20</v>
      </c>
    </row>
    <row r="79" spans="1:7" s="800" customFormat="1" ht="24">
      <c r="A79" s="3225">
        <v>7</v>
      </c>
      <c r="B79" s="3571"/>
      <c r="C79" s="3205" t="s">
        <v>3041</v>
      </c>
      <c r="D79" s="3205" t="s">
        <v>3042</v>
      </c>
      <c r="E79" s="3226">
        <v>0.15</v>
      </c>
      <c r="F79" s="3225">
        <v>20</v>
      </c>
    </row>
    <row r="80" spans="1:7" s="800" customFormat="1" ht="24">
      <c r="A80" s="3225">
        <v>8</v>
      </c>
      <c r="B80" s="3571"/>
      <c r="C80" s="3205" t="s">
        <v>3043</v>
      </c>
      <c r="D80" s="3205" t="s">
        <v>3044</v>
      </c>
      <c r="E80" s="3226">
        <v>0.1</v>
      </c>
      <c r="F80" s="3225">
        <v>15</v>
      </c>
    </row>
    <row r="81" spans="1:6" s="800" customFormat="1" ht="24">
      <c r="A81" s="3225">
        <v>9</v>
      </c>
      <c r="B81" s="3571"/>
      <c r="C81" s="3205" t="s">
        <v>3045</v>
      </c>
      <c r="D81" s="3205" t="s">
        <v>3046</v>
      </c>
      <c r="E81" s="3226">
        <v>0.1</v>
      </c>
      <c r="F81" s="3225">
        <v>15</v>
      </c>
    </row>
    <row r="82" spans="1:6" s="800" customFormat="1" ht="24">
      <c r="A82" s="3225">
        <v>10</v>
      </c>
      <c r="B82" s="3571"/>
      <c r="C82" s="3205" t="s">
        <v>3047</v>
      </c>
      <c r="D82" s="3205" t="s">
        <v>3048</v>
      </c>
      <c r="E82" s="3226">
        <v>0.1</v>
      </c>
      <c r="F82" s="3225">
        <v>15</v>
      </c>
    </row>
    <row r="83" spans="1:6" s="800" customFormat="1" ht="24">
      <c r="A83" s="3225">
        <v>11</v>
      </c>
      <c r="B83" s="3571"/>
      <c r="C83" s="3205" t="s">
        <v>3049</v>
      </c>
      <c r="D83" s="3205" t="s">
        <v>3050</v>
      </c>
      <c r="E83" s="3226">
        <v>0.1</v>
      </c>
      <c r="F83" s="3225">
        <v>15</v>
      </c>
    </row>
    <row r="84" spans="1:6" s="800" customFormat="1" ht="24">
      <c r="A84" s="3225">
        <v>12</v>
      </c>
      <c r="B84" s="3571"/>
      <c r="C84" s="3205" t="s">
        <v>3051</v>
      </c>
      <c r="D84" s="3205" t="s">
        <v>3052</v>
      </c>
      <c r="E84" s="3226">
        <v>0.1</v>
      </c>
      <c r="F84" s="3225">
        <v>15</v>
      </c>
    </row>
    <row r="85" spans="1:6" s="800" customFormat="1" ht="13.5">
      <c r="A85" s="3225">
        <v>13</v>
      </c>
      <c r="B85" s="3571"/>
      <c r="C85" s="3205" t="s">
        <v>3053</v>
      </c>
      <c r="D85" s="3205" t="s">
        <v>3054</v>
      </c>
      <c r="E85" s="3226">
        <v>0.1</v>
      </c>
      <c r="F85" s="3225">
        <v>15</v>
      </c>
    </row>
    <row r="86" spans="1:6" s="800" customFormat="1" ht="13.5">
      <c r="A86" s="3225">
        <v>14</v>
      </c>
      <c r="B86" s="3571"/>
      <c r="C86" s="3205" t="s">
        <v>3055</v>
      </c>
      <c r="D86" s="3205" t="s">
        <v>3056</v>
      </c>
      <c r="E86" s="3226">
        <v>0.1</v>
      </c>
      <c r="F86" s="3225">
        <v>15</v>
      </c>
    </row>
    <row r="87" spans="1:6" s="800" customFormat="1" ht="13.5">
      <c r="A87" s="3225">
        <v>15</v>
      </c>
      <c r="B87" s="3571"/>
      <c r="C87" s="3205" t="s">
        <v>3057</v>
      </c>
      <c r="D87" s="3205" t="s">
        <v>3058</v>
      </c>
      <c r="E87" s="3226">
        <v>0.1</v>
      </c>
      <c r="F87" s="3225">
        <v>15</v>
      </c>
    </row>
    <row r="88" spans="1:6" s="800" customFormat="1" ht="24">
      <c r="A88" s="3225">
        <v>16</v>
      </c>
      <c r="B88" s="3571"/>
      <c r="C88" s="3205" t="s">
        <v>3059</v>
      </c>
      <c r="D88" s="3205" t="s">
        <v>3060</v>
      </c>
      <c r="E88" s="3226">
        <v>0.1</v>
      </c>
      <c r="F88" s="3225">
        <v>15</v>
      </c>
    </row>
    <row r="89" spans="1:6" s="800" customFormat="1" ht="24">
      <c r="A89" s="3225">
        <v>17</v>
      </c>
      <c r="B89" s="3580"/>
      <c r="C89" s="3205" t="s">
        <v>3061</v>
      </c>
      <c r="D89" s="3205" t="s">
        <v>3062</v>
      </c>
      <c r="E89" s="3226">
        <v>0.1</v>
      </c>
      <c r="F89" s="3225">
        <v>15</v>
      </c>
    </row>
    <row r="90" spans="1:6" s="800" customFormat="1" ht="13.5">
      <c r="A90" s="3225">
        <v>18</v>
      </c>
      <c r="B90" s="3576" t="s">
        <v>3063</v>
      </c>
      <c r="C90" s="3205" t="s">
        <v>3064</v>
      </c>
      <c r="D90" s="3205" t="s">
        <v>3065</v>
      </c>
      <c r="E90" s="3226">
        <v>0.2</v>
      </c>
      <c r="F90" s="3225">
        <v>25</v>
      </c>
    </row>
    <row r="91" spans="1:6" s="800" customFormat="1" ht="24">
      <c r="A91" s="3225">
        <v>19</v>
      </c>
      <c r="B91" s="3571"/>
      <c r="C91" s="3205" t="s">
        <v>3066</v>
      </c>
      <c r="D91" s="3205" t="s">
        <v>3067</v>
      </c>
      <c r="E91" s="3226">
        <v>0.2</v>
      </c>
      <c r="F91" s="3225">
        <v>25</v>
      </c>
    </row>
    <row r="92" spans="1:6" s="800" customFormat="1" ht="13.5">
      <c r="A92" s="3225">
        <v>20</v>
      </c>
      <c r="B92" s="3571"/>
      <c r="C92" s="3205" t="s">
        <v>3068</v>
      </c>
      <c r="D92" s="3205" t="s">
        <v>3069</v>
      </c>
      <c r="E92" s="3226">
        <v>0.15</v>
      </c>
      <c r="F92" s="3225">
        <v>20</v>
      </c>
    </row>
    <row r="93" spans="1:6" s="800" customFormat="1" ht="24">
      <c r="A93" s="3225">
        <v>21</v>
      </c>
      <c r="B93" s="3571"/>
      <c r="C93" s="3205" t="s">
        <v>3070</v>
      </c>
      <c r="D93" s="3205" t="s">
        <v>3071</v>
      </c>
      <c r="E93" s="3226">
        <v>0.15</v>
      </c>
      <c r="F93" s="3225">
        <v>20</v>
      </c>
    </row>
    <row r="94" spans="1:6" s="800" customFormat="1" ht="24">
      <c r="A94" s="3225">
        <v>22</v>
      </c>
      <c r="B94" s="3571"/>
      <c r="C94" s="3205" t="s">
        <v>3072</v>
      </c>
      <c r="D94" s="3205" t="s">
        <v>3073</v>
      </c>
      <c r="E94" s="3226">
        <v>0.15</v>
      </c>
      <c r="F94" s="3225">
        <v>20</v>
      </c>
    </row>
    <row r="95" spans="1:6" s="800" customFormat="1" ht="36">
      <c r="A95" s="3225">
        <v>23</v>
      </c>
      <c r="B95" s="3571"/>
      <c r="C95" s="3205" t="s">
        <v>3074</v>
      </c>
      <c r="D95" s="3205" t="s">
        <v>3075</v>
      </c>
      <c r="E95" s="3226">
        <v>0.15</v>
      </c>
      <c r="F95" s="3225">
        <v>20</v>
      </c>
    </row>
    <row r="96" spans="1:6" s="800" customFormat="1" ht="13.5">
      <c r="A96" s="3225">
        <v>24</v>
      </c>
      <c r="B96" s="3571"/>
      <c r="C96" s="3205" t="s">
        <v>3076</v>
      </c>
      <c r="D96" s="3205" t="s">
        <v>3077</v>
      </c>
      <c r="E96" s="3226">
        <v>0.1</v>
      </c>
      <c r="F96" s="3225">
        <v>15</v>
      </c>
    </row>
    <row r="97" spans="1:6" s="800" customFormat="1" ht="24">
      <c r="A97" s="3225">
        <v>25</v>
      </c>
      <c r="B97" s="3571"/>
      <c r="C97" s="3205" t="s">
        <v>3078</v>
      </c>
      <c r="D97" s="3205" t="s">
        <v>3079</v>
      </c>
      <c r="E97" s="3226">
        <v>0.1</v>
      </c>
      <c r="F97" s="3225">
        <v>15</v>
      </c>
    </row>
    <row r="98" spans="1:6" s="800" customFormat="1" ht="24">
      <c r="A98" s="3225">
        <v>26</v>
      </c>
      <c r="B98" s="3571"/>
      <c r="C98" s="3205" t="s">
        <v>3080</v>
      </c>
      <c r="D98" s="3205" t="s">
        <v>3081</v>
      </c>
      <c r="E98" s="3226">
        <v>0.1</v>
      </c>
      <c r="F98" s="3225">
        <v>15</v>
      </c>
    </row>
    <row r="99" spans="1:6" s="800" customFormat="1" ht="24">
      <c r="A99" s="3225">
        <v>27</v>
      </c>
      <c r="B99" s="3571"/>
      <c r="C99" s="3205" t="s">
        <v>3082</v>
      </c>
      <c r="D99" s="3205" t="s">
        <v>3083</v>
      </c>
      <c r="E99" s="3226">
        <v>0.1</v>
      </c>
      <c r="F99" s="3225">
        <v>15</v>
      </c>
    </row>
    <row r="100" spans="1:6" s="800" customFormat="1" ht="24">
      <c r="A100" s="3225">
        <v>28</v>
      </c>
      <c r="B100" s="3571"/>
      <c r="C100" s="3205" t="s">
        <v>3084</v>
      </c>
      <c r="D100" s="3205" t="s">
        <v>3085</v>
      </c>
      <c r="E100" s="3226">
        <v>0.1</v>
      </c>
      <c r="F100" s="3225">
        <v>15</v>
      </c>
    </row>
    <row r="101" spans="1:6" s="800" customFormat="1" ht="24">
      <c r="A101" s="3225">
        <v>29</v>
      </c>
      <c r="B101" s="3571"/>
      <c r="C101" s="3205" t="s">
        <v>3086</v>
      </c>
      <c r="D101" s="3205" t="s">
        <v>3087</v>
      </c>
      <c r="E101" s="3226">
        <v>0.1</v>
      </c>
      <c r="F101" s="3225">
        <v>15</v>
      </c>
    </row>
    <row r="102" spans="1:6" s="800" customFormat="1" ht="24">
      <c r="A102" s="3225">
        <v>30</v>
      </c>
      <c r="B102" s="3571"/>
      <c r="C102" s="3205" t="s">
        <v>3088</v>
      </c>
      <c r="D102" s="3205" t="s">
        <v>3089</v>
      </c>
      <c r="E102" s="3226">
        <v>0.1</v>
      </c>
      <c r="F102" s="3225">
        <v>15</v>
      </c>
    </row>
    <row r="103" spans="1:6" s="800" customFormat="1" ht="24">
      <c r="A103" s="3225">
        <v>31</v>
      </c>
      <c r="B103" s="3571"/>
      <c r="C103" s="3205" t="s">
        <v>3090</v>
      </c>
      <c r="D103" s="3205" t="s">
        <v>3091</v>
      </c>
      <c r="E103" s="3226">
        <v>0.1</v>
      </c>
      <c r="F103" s="3225">
        <v>15</v>
      </c>
    </row>
    <row r="104" spans="1:6" s="800" customFormat="1" ht="24">
      <c r="A104" s="3225">
        <v>32</v>
      </c>
      <c r="B104" s="3571"/>
      <c r="C104" s="3205" t="s">
        <v>3092</v>
      </c>
      <c r="D104" s="3205" t="s">
        <v>3093</v>
      </c>
      <c r="E104" s="3226">
        <v>0.1</v>
      </c>
      <c r="F104" s="3225">
        <v>15</v>
      </c>
    </row>
    <row r="105" spans="1:6" s="800" customFormat="1" ht="24">
      <c r="A105" s="3225">
        <v>33</v>
      </c>
      <c r="B105" s="3571"/>
      <c r="C105" s="3205" t="s">
        <v>3094</v>
      </c>
      <c r="D105" s="3205" t="s">
        <v>3095</v>
      </c>
      <c r="E105" s="3226">
        <v>0.1</v>
      </c>
      <c r="F105" s="3225">
        <v>15</v>
      </c>
    </row>
    <row r="106" spans="1:6" s="800" customFormat="1" ht="24">
      <c r="A106" s="3225">
        <v>34</v>
      </c>
      <c r="B106" s="3580"/>
      <c r="C106" s="3205" t="s">
        <v>3096</v>
      </c>
      <c r="D106" s="3205" t="s">
        <v>3097</v>
      </c>
      <c r="E106" s="3226">
        <v>0.1</v>
      </c>
      <c r="F106" s="3225">
        <v>15</v>
      </c>
    </row>
    <row r="107" spans="1:6" s="800" customFormat="1" ht="24">
      <c r="A107" s="3225">
        <v>35</v>
      </c>
      <c r="B107" s="3576" t="s">
        <v>3098</v>
      </c>
      <c r="C107" s="3225" t="s">
        <v>3099</v>
      </c>
      <c r="D107" s="3205" t="s">
        <v>3100</v>
      </c>
      <c r="E107" s="3226">
        <v>0.15</v>
      </c>
      <c r="F107" s="3225">
        <v>20</v>
      </c>
    </row>
    <row r="108" spans="1:6" s="800" customFormat="1" ht="24">
      <c r="A108" s="3225">
        <v>36</v>
      </c>
      <c r="B108" s="3571"/>
      <c r="C108" s="3225" t="s">
        <v>3101</v>
      </c>
      <c r="D108" s="3205" t="s">
        <v>3102</v>
      </c>
      <c r="E108" s="3226">
        <v>0.15</v>
      </c>
      <c r="F108" s="3225">
        <v>20</v>
      </c>
    </row>
    <row r="109" spans="1:6" s="800" customFormat="1" ht="24">
      <c r="A109" s="3225">
        <v>37</v>
      </c>
      <c r="B109" s="3571"/>
      <c r="C109" s="3225" t="s">
        <v>3103</v>
      </c>
      <c r="D109" s="3205" t="s">
        <v>3104</v>
      </c>
      <c r="E109" s="3226">
        <v>0.15</v>
      </c>
      <c r="F109" s="3225">
        <v>20</v>
      </c>
    </row>
    <row r="110" spans="1:6" s="800" customFormat="1" ht="13.5">
      <c r="A110" s="3225">
        <v>38</v>
      </c>
      <c r="B110" s="3571"/>
      <c r="C110" s="3225" t="s">
        <v>3105</v>
      </c>
      <c r="D110" s="3205" t="s">
        <v>3106</v>
      </c>
      <c r="E110" s="3226">
        <v>0.1</v>
      </c>
      <c r="F110" s="3225">
        <v>15</v>
      </c>
    </row>
    <row r="111" spans="1:6" s="800" customFormat="1" ht="24">
      <c r="A111" s="3225">
        <v>39</v>
      </c>
      <c r="B111" s="3571"/>
      <c r="C111" s="3225" t="s">
        <v>3107</v>
      </c>
      <c r="D111" s="3205" t="s">
        <v>3108</v>
      </c>
      <c r="E111" s="3226">
        <v>0.1</v>
      </c>
      <c r="F111" s="3225">
        <v>15</v>
      </c>
    </row>
    <row r="112" spans="1:6" s="800" customFormat="1" ht="24">
      <c r="A112" s="3225">
        <v>40</v>
      </c>
      <c r="B112" s="3580"/>
      <c r="C112" s="3225" t="s">
        <v>3109</v>
      </c>
      <c r="D112" s="3205" t="s">
        <v>3110</v>
      </c>
      <c r="E112" s="3226">
        <v>0.1</v>
      </c>
      <c r="F112" s="3225">
        <v>15</v>
      </c>
    </row>
    <row r="113" spans="1:6" s="800" customFormat="1" ht="24">
      <c r="A113" s="3225">
        <v>41</v>
      </c>
      <c r="B113" s="3581" t="s">
        <v>3111</v>
      </c>
      <c r="C113" s="3225" t="s">
        <v>3112</v>
      </c>
      <c r="D113" s="3205" t="s">
        <v>3113</v>
      </c>
      <c r="E113" s="3226">
        <v>0.1</v>
      </c>
      <c r="F113" s="3225">
        <v>15</v>
      </c>
    </row>
    <row r="114" spans="1:6" s="800" customFormat="1" ht="13.5">
      <c r="A114" s="3225">
        <v>42</v>
      </c>
      <c r="B114" s="3581"/>
      <c r="C114" s="3225" t="s">
        <v>3114</v>
      </c>
      <c r="D114" s="3205" t="s">
        <v>3115</v>
      </c>
      <c r="E114" s="3226">
        <v>0.1</v>
      </c>
      <c r="F114" s="3225">
        <v>15</v>
      </c>
    </row>
    <row r="115" spans="1:6" s="800" customFormat="1" ht="24">
      <c r="A115" s="3225">
        <v>43</v>
      </c>
      <c r="B115" s="3581"/>
      <c r="C115" s="3225" t="s">
        <v>3116</v>
      </c>
      <c r="D115" s="3205" t="s">
        <v>3117</v>
      </c>
      <c r="E115" s="3226">
        <v>0.1</v>
      </c>
      <c r="F115" s="3225">
        <v>15</v>
      </c>
    </row>
    <row r="116" spans="1:6" s="800" customFormat="1" ht="24">
      <c r="A116" s="3225">
        <v>44</v>
      </c>
      <c r="B116" s="3576" t="s">
        <v>3118</v>
      </c>
      <c r="C116" s="3225" t="s">
        <v>3119</v>
      </c>
      <c r="D116" s="3205" t="s">
        <v>3120</v>
      </c>
      <c r="E116" s="3226">
        <v>0.1</v>
      </c>
      <c r="F116" s="3225">
        <v>15</v>
      </c>
    </row>
    <row r="117" spans="1:6" s="800" customFormat="1" ht="24">
      <c r="A117" s="3225">
        <v>45</v>
      </c>
      <c r="B117" s="3580"/>
      <c r="C117" s="3205" t="s">
        <v>3121</v>
      </c>
      <c r="D117" s="3205" t="s">
        <v>3122</v>
      </c>
      <c r="E117" s="3226">
        <v>0.1</v>
      </c>
      <c r="F117" s="3225">
        <v>15</v>
      </c>
    </row>
    <row r="118" spans="1:6" s="800" customFormat="1" ht="24">
      <c r="A118" s="3225">
        <v>46</v>
      </c>
      <c r="B118" s="3576" t="s">
        <v>3123</v>
      </c>
      <c r="C118" s="3225" t="s">
        <v>3124</v>
      </c>
      <c r="D118" s="3205" t="s">
        <v>3125</v>
      </c>
      <c r="E118" s="3226">
        <v>0.1</v>
      </c>
      <c r="F118" s="3225">
        <v>15</v>
      </c>
    </row>
    <row r="119" spans="1:6" s="800" customFormat="1" ht="24">
      <c r="A119" s="3225">
        <v>47</v>
      </c>
      <c r="B119" s="3580"/>
      <c r="C119" s="3225" t="s">
        <v>3126</v>
      </c>
      <c r="D119" s="3205" t="s">
        <v>3127</v>
      </c>
      <c r="E119" s="3226">
        <v>0.1</v>
      </c>
      <c r="F119" s="3225">
        <v>15</v>
      </c>
    </row>
    <row r="120" spans="1:6" s="800" customFormat="1" ht="24">
      <c r="A120" s="3225">
        <v>48</v>
      </c>
      <c r="B120" s="3576" t="s">
        <v>3128</v>
      </c>
      <c r="C120" s="3225" t="s">
        <v>3129</v>
      </c>
      <c r="D120" s="3205" t="s">
        <v>3130</v>
      </c>
      <c r="E120" s="3226">
        <v>0.1</v>
      </c>
      <c r="F120" s="3225">
        <v>15</v>
      </c>
    </row>
    <row r="121" spans="1:6" s="800" customFormat="1" ht="13.5">
      <c r="A121" s="3225">
        <v>49</v>
      </c>
      <c r="B121" s="3580"/>
      <c r="C121" s="3225" t="s">
        <v>3131</v>
      </c>
      <c r="D121" s="3205" t="s">
        <v>3132</v>
      </c>
      <c r="E121" s="3226">
        <v>0.1</v>
      </c>
      <c r="F121" s="3225">
        <v>15</v>
      </c>
    </row>
    <row r="122" spans="1:6" s="800" customFormat="1" ht="24">
      <c r="A122" s="3225">
        <v>50</v>
      </c>
      <c r="B122" s="3581" t="s">
        <v>3133</v>
      </c>
      <c r="C122" s="3225" t="s">
        <v>3134</v>
      </c>
      <c r="D122" s="3205" t="s">
        <v>3135</v>
      </c>
      <c r="E122" s="3226">
        <v>0.1</v>
      </c>
      <c r="F122" s="3225">
        <v>15</v>
      </c>
    </row>
    <row r="123" spans="1:6" s="800" customFormat="1" ht="24">
      <c r="A123" s="3225">
        <v>51</v>
      </c>
      <c r="B123" s="3581"/>
      <c r="C123" s="3225" t="s">
        <v>3136</v>
      </c>
      <c r="D123" s="3205" t="s">
        <v>3137</v>
      </c>
      <c r="E123" s="3226">
        <v>0.1</v>
      </c>
      <c r="F123" s="3225">
        <v>15</v>
      </c>
    </row>
    <row r="124" spans="1:6" s="800" customFormat="1" ht="24">
      <c r="A124" s="3225">
        <v>52</v>
      </c>
      <c r="B124" s="3581" t="s">
        <v>3138</v>
      </c>
      <c r="C124" s="3225" t="s">
        <v>3139</v>
      </c>
      <c r="D124" s="3205" t="s">
        <v>3140</v>
      </c>
      <c r="E124" s="3226">
        <v>0.1</v>
      </c>
      <c r="F124" s="3225">
        <v>15</v>
      </c>
    </row>
    <row r="125" spans="1:6" s="800" customFormat="1" ht="24">
      <c r="A125" s="3225">
        <v>53</v>
      </c>
      <c r="B125" s="3581"/>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81" t="s">
        <v>3146</v>
      </c>
      <c r="C127" s="3225" t="s">
        <v>3147</v>
      </c>
      <c r="D127" s="3205" t="s">
        <v>3148</v>
      </c>
      <c r="E127" s="3226">
        <v>0.1</v>
      </c>
      <c r="F127" s="3225">
        <v>15</v>
      </c>
    </row>
    <row r="128" spans="1:6" ht="13.5">
      <c r="A128" s="3225">
        <v>56</v>
      </c>
      <c r="B128" s="3581"/>
      <c r="C128" s="3225" t="s">
        <v>3149</v>
      </c>
      <c r="D128" s="3205" t="s">
        <v>3150</v>
      </c>
      <c r="E128" s="3226">
        <v>0.1</v>
      </c>
      <c r="F128" s="3225">
        <v>15</v>
      </c>
    </row>
    <row r="129" spans="1:6" ht="24">
      <c r="A129" s="3225">
        <v>57</v>
      </c>
      <c r="B129" s="3581"/>
      <c r="C129" s="3225" t="s">
        <v>3151</v>
      </c>
      <c r="D129" s="3205" t="s">
        <v>3152</v>
      </c>
      <c r="E129" s="3226">
        <v>0.1</v>
      </c>
      <c r="F129" s="3225">
        <v>15</v>
      </c>
    </row>
    <row r="130" spans="1:6" ht="24">
      <c r="A130" s="3225">
        <v>58</v>
      </c>
      <c r="B130" s="3581" t="s">
        <v>3153</v>
      </c>
      <c r="C130" s="3225" t="s">
        <v>3154</v>
      </c>
      <c r="D130" s="3205" t="s">
        <v>3155</v>
      </c>
      <c r="E130" s="3226">
        <v>0.1</v>
      </c>
      <c r="F130" s="3225">
        <v>15</v>
      </c>
    </row>
    <row r="131" spans="1:6" ht="24">
      <c r="A131" s="3225">
        <v>59</v>
      </c>
      <c r="B131" s="3581"/>
      <c r="C131" s="3225" t="s">
        <v>3156</v>
      </c>
      <c r="D131" s="3205" t="s">
        <v>3157</v>
      </c>
      <c r="E131" s="3226">
        <v>0.1</v>
      </c>
      <c r="F131" s="3225">
        <v>15</v>
      </c>
    </row>
    <row r="132" spans="1:6" ht="24">
      <c r="A132" s="3225">
        <v>60</v>
      </c>
      <c r="B132" s="3576" t="s">
        <v>3158</v>
      </c>
      <c r="C132" s="3225" t="s">
        <v>3159</v>
      </c>
      <c r="D132" s="3205" t="s">
        <v>3160</v>
      </c>
      <c r="E132" s="3226">
        <v>0.1</v>
      </c>
      <c r="F132" s="3225">
        <v>15</v>
      </c>
    </row>
    <row r="133" spans="1:6" ht="24">
      <c r="A133" s="3225">
        <v>61</v>
      </c>
      <c r="B133" s="3580"/>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81" t="s">
        <v>3166</v>
      </c>
      <c r="C135" s="3225" t="s">
        <v>3167</v>
      </c>
      <c r="D135" s="3205" t="s">
        <v>3168</v>
      </c>
      <c r="E135" s="3226">
        <v>0.1</v>
      </c>
      <c r="F135" s="3225">
        <v>15</v>
      </c>
    </row>
    <row r="136" spans="1:6" ht="13.5">
      <c r="A136" s="3225">
        <v>64</v>
      </c>
      <c r="B136" s="3581"/>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7" t="s">
        <v>877</v>
      </c>
      <c r="C1" s="3587"/>
      <c r="D1" s="3587"/>
      <c r="E1" s="3587"/>
      <c r="F1" s="3587"/>
      <c r="G1" s="3583" t="s">
        <v>878</v>
      </c>
      <c r="H1" s="3583"/>
      <c r="I1" s="3583"/>
      <c r="J1" s="3583"/>
      <c r="K1" s="3583"/>
      <c r="L1" s="3583"/>
      <c r="N1" s="3583" t="s">
        <v>879</v>
      </c>
      <c r="O1" s="3583"/>
      <c r="P1" s="3583"/>
      <c r="Q1" s="3583"/>
      <c r="S1" s="3583" t="s">
        <v>880</v>
      </c>
      <c r="T1" s="3583"/>
      <c r="U1" s="3583"/>
      <c r="V1" s="3583"/>
      <c r="X1" s="3582" t="s">
        <v>881</v>
      </c>
      <c r="Y1" s="3583"/>
      <c r="Z1" s="3583"/>
      <c r="AA1" s="3583"/>
      <c r="AB1" s="3583"/>
      <c r="AD1" s="3582" t="s">
        <v>882</v>
      </c>
      <c r="AE1" s="3583"/>
      <c r="AF1" s="3583"/>
      <c r="AG1" s="3583"/>
      <c r="AH1" s="358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8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35749</v>
      </c>
      <c r="C2" s="2" t="s">
        <v>133</v>
      </c>
      <c r="D2" s="205"/>
      <c r="E2" s="205"/>
      <c r="F2" s="205"/>
      <c r="G2" s="205"/>
    </row>
    <row r="3" spans="1:7" s="206" customFormat="1" ht="18" customHeight="1" thickBot="1">
      <c r="A3" s="209" t="s">
        <v>85</v>
      </c>
      <c r="B3" s="210">
        <f ca="1">ROUND(B2*10000/'数据-汇总表'!E3,0)</f>
        <v>18569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290</v>
      </c>
      <c r="F9" s="227"/>
      <c r="G9" s="232"/>
    </row>
    <row r="10" spans="1:7" s="220" customFormat="1" ht="13.5" customHeight="1">
      <c r="A10" s="867" t="s">
        <v>620</v>
      </c>
      <c r="B10" s="230" t="s">
        <v>94</v>
      </c>
      <c r="C10" s="231">
        <f>ROUND(D10*E10/10000,0)</f>
        <v>558</v>
      </c>
      <c r="D10" s="934">
        <f>'数据-汇总表'!E6</f>
        <v>19251.75</v>
      </c>
      <c r="E10" s="231">
        <f>'数据-取费表'!B28</f>
        <v>290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385</v>
      </c>
      <c r="D19" s="938">
        <f>'数据-汇总表'!E3</f>
        <v>19251.75</v>
      </c>
      <c r="E19" s="217">
        <f>'数据-取费表'!B31</f>
        <v>200</v>
      </c>
      <c r="F19" s="237"/>
      <c r="G19" s="1" t="s">
        <v>861</v>
      </c>
    </row>
    <row r="20" spans="1:7" s="220" customFormat="1" ht="13.5" customHeight="1">
      <c r="A20" s="865" t="s">
        <v>844</v>
      </c>
      <c r="B20" s="216" t="s">
        <v>104</v>
      </c>
      <c r="C20" s="238">
        <f>ROUND((C5+C19)*F20,0)</f>
        <v>420</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891</v>
      </c>
      <c r="D22" s="241">
        <f ca="1">C26</f>
        <v>4.0000000000000002E-4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866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16</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4283</v>
      </c>
      <c r="D27" s="241">
        <f>C29</f>
        <v>4.0000000000000001E-3</v>
      </c>
      <c r="E27" s="242" t="s">
        <v>126</v>
      </c>
      <c r="F27" s="252">
        <f>'数据-取费表'!Q16</f>
        <v>0.2</v>
      </c>
      <c r="G27" s="253" t="s">
        <v>856</v>
      </c>
    </row>
    <row r="28" spans="1:7" s="220" customFormat="1" ht="13.5" customHeight="1">
      <c r="A28" s="868" t="s">
        <v>613</v>
      </c>
      <c r="B28" s="254" t="s">
        <v>849</v>
      </c>
      <c r="C28" s="255">
        <f>ROUND((C5+C19+C20)*F27*'数据-取费表'!B21/'数据-取费表'!B20,0)</f>
        <v>4283</v>
      </c>
      <c r="D28" s="241"/>
      <c r="E28" s="242"/>
      <c r="F28" s="252"/>
      <c r="G28" s="253"/>
    </row>
    <row r="29" spans="1:7" s="220" customFormat="1" ht="13.5" customHeight="1">
      <c r="A29" s="868" t="s">
        <v>611</v>
      </c>
      <c r="B29" s="254" t="s">
        <v>850</v>
      </c>
      <c r="C29" s="244">
        <f>ROUND(C21*F27*'数据-取费表'!B21/'数据-取费表'!B20,4)</f>
        <v>4.0000000000000001E-3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8" t="s">
        <v>615</v>
      </c>
      <c r="B35" s="221" t="s">
        <v>60</v>
      </c>
      <c r="C35" s="226">
        <f>ROUND(C34*F35,0)</f>
        <v>173</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8" t="s">
        <v>617</v>
      </c>
      <c r="B37" s="221" t="s">
        <v>118</v>
      </c>
      <c r="C37" s="255">
        <f>ROUND(E37*D37*F34/10000,0)</f>
        <v>289</v>
      </c>
      <c r="D37" s="223">
        <f>'数据-汇总表'!E3</f>
        <v>19251.75</v>
      </c>
      <c r="E37" s="255">
        <f>'数据-取费表'!B35</f>
        <v>150</v>
      </c>
      <c r="F37" s="265"/>
      <c r="G37" s="267" t="s">
        <v>119</v>
      </c>
    </row>
    <row r="38" spans="1:7" ht="13.5" customHeight="1">
      <c r="A38" s="868" t="s">
        <v>618</v>
      </c>
      <c r="B38" s="221" t="s">
        <v>63</v>
      </c>
      <c r="C38" s="226">
        <f>ROUND(C34*F38,0)</f>
        <v>87</v>
      </c>
      <c r="D38" s="226"/>
      <c r="E38" s="226"/>
      <c r="F38" s="265">
        <f>'数据-取费表'!B36</f>
        <v>1.4999999999999999E-2</v>
      </c>
      <c r="G38" s="225" t="s">
        <v>117</v>
      </c>
    </row>
    <row r="39" spans="1:7" s="220" customFormat="1" ht="13.5" customHeight="1">
      <c r="A39" s="865" t="s">
        <v>602</v>
      </c>
      <c r="B39" s="216" t="s">
        <v>104</v>
      </c>
      <c r="C39" s="238">
        <f>ROUND(C33*F20,0)</f>
        <v>127</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136</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133</v>
      </c>
      <c r="D42" s="244"/>
      <c r="E42" s="244"/>
      <c r="F42" s="245"/>
      <c r="G42" s="3439" t="s">
        <v>121</v>
      </c>
    </row>
    <row r="43" spans="1:7" ht="13.5" customHeight="1">
      <c r="A43" s="868" t="s">
        <v>611</v>
      </c>
      <c r="B43" s="221" t="s">
        <v>851</v>
      </c>
      <c r="C43" s="244">
        <f ca="1">ROUND(IF('数据-取费表'!B22&lt;=1,C39*F22*'数据-取费表'!B21/2,C39*(POWER((1+F22),'数据-取费表'!B21/2)-1)),0)</f>
        <v>3</v>
      </c>
      <c r="D43" s="244"/>
      <c r="E43" s="244"/>
      <c r="F43" s="245"/>
      <c r="G43" s="3440"/>
    </row>
    <row r="44" spans="1:7" ht="13.5" customHeight="1">
      <c r="A44" s="868" t="s">
        <v>612</v>
      </c>
      <c r="B44" s="221" t="s">
        <v>853</v>
      </c>
      <c r="C44" s="244">
        <f ca="1">ROUND(IF('数据-取费表'!B22&lt;=1,C40*F22*'数据-取费表'!B21/2,C40*(POWER((1+F22),'数据-取费表'!B21/2)-1)),4)</f>
        <v>4.0000000000000002E-4</v>
      </c>
      <c r="D44" s="244"/>
      <c r="E44" s="244"/>
      <c r="F44" s="245"/>
      <c r="G44" s="3441"/>
    </row>
    <row r="45" spans="1:7" s="220" customFormat="1" ht="13.5" customHeight="1">
      <c r="A45" s="865" t="s">
        <v>605</v>
      </c>
      <c r="B45" s="250" t="s">
        <v>112</v>
      </c>
      <c r="C45" s="251">
        <f>C46</f>
        <v>1290</v>
      </c>
      <c r="D45" s="241">
        <f>C47</f>
        <v>4.0000000000000001E-3</v>
      </c>
      <c r="E45" s="242" t="s">
        <v>129</v>
      </c>
      <c r="F45" s="252"/>
      <c r="G45" s="253" t="s">
        <v>859</v>
      </c>
    </row>
    <row r="46" spans="1:7" s="220" customFormat="1" ht="13.5" customHeight="1">
      <c r="A46" s="868" t="s">
        <v>613</v>
      </c>
      <c r="B46" s="254" t="s">
        <v>852</v>
      </c>
      <c r="C46" s="255">
        <f>ROUND((C33+C39)*F27,0)</f>
        <v>1290</v>
      </c>
      <c r="D46" s="269"/>
      <c r="E46" s="242"/>
      <c r="F46" s="252"/>
      <c r="G46" s="253"/>
    </row>
    <row r="47" spans="1:7" s="220" customFormat="1" ht="13.5" customHeight="1">
      <c r="A47" s="868" t="s">
        <v>611</v>
      </c>
      <c r="B47" s="254" t="s">
        <v>854</v>
      </c>
      <c r="C47" s="244">
        <f>ROUND(C40*F27,4)</f>
        <v>4.0000000000000001E-3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8542</v>
      </c>
      <c r="D49" s="238"/>
      <c r="E49" s="238"/>
      <c r="F49" s="270"/>
      <c r="G49" s="240" t="s">
        <v>860</v>
      </c>
    </row>
    <row r="50" spans="1:7" s="264" customFormat="1" ht="24">
      <c r="A50" s="865" t="s">
        <v>608</v>
      </c>
      <c r="B50" s="216" t="s">
        <v>124</v>
      </c>
      <c r="C50" s="238"/>
      <c r="D50" s="238"/>
      <c r="E50" s="238"/>
      <c r="F50" s="270">
        <f>IF('数据-取费表'!B24=0,'数据-取费表'!N16,1)</f>
        <v>0.81</v>
      </c>
      <c r="G50" s="253" t="s">
        <v>125</v>
      </c>
    </row>
    <row r="51" spans="1:7" ht="16.5" customHeight="1">
      <c r="A51" s="865" t="s">
        <v>609</v>
      </c>
      <c r="B51" s="216" t="s">
        <v>132</v>
      </c>
      <c r="C51" s="238">
        <f ca="1">ROUND(C49*F50,0)</f>
        <v>6919</v>
      </c>
      <c r="D51" s="238"/>
      <c r="E51" s="238"/>
      <c r="F51" s="270"/>
      <c r="G51" s="240" t="s">
        <v>64</v>
      </c>
    </row>
    <row r="52" spans="1:7" s="214" customFormat="1" ht="16.5" thickBot="1">
      <c r="A52" s="271" t="s">
        <v>65</v>
      </c>
      <c r="B52" s="272"/>
      <c r="C52" s="273">
        <f ca="1">C31+C51</f>
        <v>35749</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628"/>
      <c r="B4" s="3254" t="s">
        <v>1354</v>
      </c>
      <c r="C4" s="3254"/>
      <c r="D4" s="3254"/>
      <c r="E4" s="1628"/>
    </row>
    <row r="5" spans="1:5" ht="16.5" thickTop="1">
      <c r="A5" s="1626"/>
      <c r="B5" s="3252" t="s">
        <v>1346</v>
      </c>
      <c r="C5" s="1629" t="s">
        <v>1347</v>
      </c>
      <c r="D5" s="939">
        <f ca="1">结果表!H101</f>
        <v>28832</v>
      </c>
      <c r="E5" s="1626"/>
    </row>
    <row r="6" spans="1:5" ht="15.75">
      <c r="A6" s="1626"/>
      <c r="B6" s="3252"/>
      <c r="C6" s="1629" t="s">
        <v>1348</v>
      </c>
      <c r="D6" s="939" t="str">
        <f ca="1">NUMBERSTRING(INT(D5*10000),2)&amp;"元整"</f>
        <v>贰亿捌仟捌佰叁拾贰万元整</v>
      </c>
      <c r="E6" s="1626"/>
    </row>
    <row r="7" spans="1:5" ht="15.75">
      <c r="A7" s="1626"/>
      <c r="B7" s="3257"/>
      <c r="C7" s="1630" t="s">
        <v>1349</v>
      </c>
      <c r="D7" s="940">
        <f ca="1">结果表!H102</f>
        <v>14976</v>
      </c>
      <c r="E7" s="1626"/>
    </row>
    <row r="8" spans="1:5" ht="15.75">
      <c r="A8" s="1626"/>
      <c r="B8" s="3258" t="str">
        <f>结果表!E103</f>
        <v>2.估价师知悉的法定优先受偿款</v>
      </c>
      <c r="C8" s="1631" t="s">
        <v>1350</v>
      </c>
      <c r="D8" s="940">
        <f>结果表!H103</f>
        <v>0</v>
      </c>
      <c r="E8" s="1626"/>
    </row>
    <row r="9" spans="1:5" ht="15.75">
      <c r="A9" s="1626"/>
      <c r="B9" s="3260"/>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1" t="str">
        <f>结果表!E107</f>
        <v>3.房地产抵押价值</v>
      </c>
      <c r="C13" s="1634" t="s">
        <v>1347</v>
      </c>
      <c r="D13" s="942">
        <f ca="1">结果表!H107</f>
        <v>28832</v>
      </c>
      <c r="E13" s="1626"/>
    </row>
    <row r="14" spans="1:5" ht="15.75">
      <c r="A14" s="1626"/>
      <c r="B14" s="3252"/>
      <c r="C14" s="1629" t="s">
        <v>1348</v>
      </c>
      <c r="D14" s="939" t="str">
        <f ca="1">NUMBERSTRING(INT(D13*10000),2)&amp;"元整"</f>
        <v>贰亿捌仟捌佰叁拾贰万元整</v>
      </c>
      <c r="E14" s="1626"/>
    </row>
    <row r="15" spans="1:5" ht="15">
      <c r="A15" s="1626"/>
      <c r="B15" s="3257"/>
      <c r="C15" s="1630" t="s">
        <v>1358</v>
      </c>
      <c r="D15" s="948">
        <f ca="1">结果表!H108</f>
        <v>14976</v>
      </c>
      <c r="E15" s="1626"/>
    </row>
    <row r="16" spans="1:5" ht="15">
      <c r="A16" s="1626"/>
      <c r="B16" s="3258" t="str">
        <f>结果表!E109</f>
        <v>——</v>
      </c>
      <c r="C16" s="1634" t="s">
        <v>1359</v>
      </c>
      <c r="D16" s="1635" t="str">
        <f>结果表!H109</f>
        <v>——</v>
      </c>
      <c r="E16" s="1626"/>
    </row>
    <row r="17" spans="1:5" ht="15.75">
      <c r="A17" s="1626"/>
      <c r="B17" s="3259"/>
      <c r="C17" s="1629" t="s">
        <v>1360</v>
      </c>
      <c r="D17" s="939" t="e">
        <f>NUMBERSTRING(INT(D16*10000),2)&amp;"元整"</f>
        <v>#VALUE!</v>
      </c>
      <c r="E17" s="1626"/>
    </row>
    <row r="18" spans="1:5" ht="15">
      <c r="A18" s="1626"/>
      <c r="B18" s="3260"/>
      <c r="C18" s="1630" t="s">
        <v>1349</v>
      </c>
      <c r="D18" s="948" t="str">
        <f>结果表!H110</f>
        <v>——</v>
      </c>
      <c r="E18" s="1626"/>
    </row>
    <row r="19" spans="1:5" ht="15.75">
      <c r="A19" s="1626"/>
      <c r="B19" s="3251" t="str">
        <f>结果表!E111</f>
        <v>——</v>
      </c>
      <c r="C19" s="1634" t="s">
        <v>1347</v>
      </c>
      <c r="D19" s="940" t="str">
        <f>结果表!H111</f>
        <v>——</v>
      </c>
      <c r="E19" s="1626"/>
    </row>
    <row r="20" spans="1:5" ht="15.75">
      <c r="A20" s="1626"/>
      <c r="B20" s="3252"/>
      <c r="C20" s="1629" t="s">
        <v>1360</v>
      </c>
      <c r="D20" s="939" t="e">
        <f>NUMBERSTRING(INT(D19*10000),2)&amp;"元整"</f>
        <v>#VALUE!</v>
      </c>
      <c r="E20" s="1626"/>
    </row>
    <row r="21" spans="1:5" ht="15.75" thickBot="1">
      <c r="A21" s="1626"/>
      <c r="B21" s="3253"/>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3" t="s">
        <v>156</v>
      </c>
      <c r="B1" s="3593"/>
      <c r="C1" s="3593"/>
      <c r="D1" s="3593"/>
      <c r="E1" s="3593"/>
      <c r="F1" s="359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4" t="s">
        <v>169</v>
      </c>
      <c r="B2" s="3594"/>
      <c r="C2" s="3594"/>
      <c r="D2" s="3594"/>
      <c r="E2" s="3594"/>
      <c r="F2" s="359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5"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6"/>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3" t="s">
        <v>658</v>
      </c>
      <c r="B1" s="3593"/>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1"/>
  <sheetViews>
    <sheetView workbookViewId="0">
      <selection activeCell="I8" sqref="I8"/>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44767</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44701</v>
      </c>
      <c r="D13" s="3002">
        <v>3.7</v>
      </c>
      <c r="E13" s="3002">
        <f>D13</f>
        <v>3.7</v>
      </c>
      <c r="F13" s="3002">
        <f>D13</f>
        <v>3.7</v>
      </c>
      <c r="G13" s="3002">
        <f>D13</f>
        <v>3.7</v>
      </c>
      <c r="H13" s="3002">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44581</v>
      </c>
      <c r="D14" s="2997">
        <v>3.7</v>
      </c>
      <c r="E14" s="2997">
        <f>D14</f>
        <v>3.7</v>
      </c>
      <c r="F14" s="2997">
        <f>D14</f>
        <v>3.7</v>
      </c>
      <c r="G14" s="2997">
        <f>D14</f>
        <v>3.7</v>
      </c>
      <c r="H14" s="2997">
        <v>4.5999999999999996</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44550</v>
      </c>
      <c r="D15" s="2997">
        <v>3.8</v>
      </c>
      <c r="E15" s="2997">
        <f>D15</f>
        <v>3.8</v>
      </c>
      <c r="F15" s="2997">
        <f>D15</f>
        <v>3.8</v>
      </c>
      <c r="G15" s="2997">
        <f>D15</f>
        <v>3.8</v>
      </c>
      <c r="H15" s="2997">
        <v>4.6500000000000004</v>
      </c>
      <c r="I15" s="2997"/>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43941</v>
      </c>
      <c r="D16" s="2997">
        <v>3.85</v>
      </c>
      <c r="E16" s="2997">
        <v>3.85</v>
      </c>
      <c r="F16" s="2997">
        <v>3.85</v>
      </c>
      <c r="G16" s="2997">
        <v>3.85</v>
      </c>
      <c r="H16" s="2997">
        <v>4.6500000000000004</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43881</v>
      </c>
      <c r="D17" s="2997">
        <v>4.05</v>
      </c>
      <c r="E17" s="2997">
        <v>4.05</v>
      </c>
      <c r="F17" s="2997">
        <v>4.05</v>
      </c>
      <c r="G17" s="2997">
        <v>4.05</v>
      </c>
      <c r="H17" s="2997">
        <v>4.75</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43728</v>
      </c>
      <c r="D19" s="2997">
        <v>4.2</v>
      </c>
      <c r="E19" s="2997">
        <v>4.2</v>
      </c>
      <c r="F19" s="2997">
        <v>4.2</v>
      </c>
      <c r="G19" s="2997">
        <v>4.2</v>
      </c>
      <c r="H19" s="2997">
        <v>4.8499999999999996</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t="s">
        <v>2814</v>
      </c>
      <c r="C20" s="2999">
        <v>43697</v>
      </c>
      <c r="D20" s="3000">
        <v>4.25</v>
      </c>
      <c r="E20" s="3000">
        <v>4.25</v>
      </c>
      <c r="F20" s="3000">
        <v>4.25</v>
      </c>
      <c r="G20" s="3000">
        <v>4.25</v>
      </c>
      <c r="H20" s="3000">
        <v>4.8499999999999996</v>
      </c>
      <c r="I20" s="3000"/>
      <c r="J20" s="3000"/>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3"/>
      <c r="B21" s="3004"/>
      <c r="C21" s="3005">
        <v>42301</v>
      </c>
      <c r="D21" s="3006">
        <v>4.3499999999999996</v>
      </c>
      <c r="E21" s="3006">
        <v>4.3499999999999996</v>
      </c>
      <c r="F21" s="3006">
        <v>4.75</v>
      </c>
      <c r="G21" s="3006">
        <v>4.75</v>
      </c>
      <c r="H21" s="3006">
        <v>4.9000000000000004</v>
      </c>
      <c r="I21" s="3006"/>
      <c r="J21" s="3006"/>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
    <tabColor rgb="FF92D050"/>
  </sheetPr>
  <dimension ref="A1:AK83"/>
  <sheetViews>
    <sheetView view="pageBreakPreview" zoomScale="70" zoomScaleNormal="70" zoomScaleSheetLayoutView="70" workbookViewId="0">
      <selection activeCell="F44" sqref="F4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1102</v>
      </c>
      <c r="D1" s="1496" t="s">
        <v>70</v>
      </c>
      <c r="E1" s="1497" t="s">
        <v>1111</v>
      </c>
      <c r="F1" s="1173">
        <f ca="1">J53</f>
        <v>20.71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22186</v>
      </c>
      <c r="C2" s="1521" t="s">
        <v>1240</v>
      </c>
      <c r="D2" s="1521"/>
      <c r="E2" s="1522"/>
      <c r="F2" s="1523"/>
      <c r="G2" s="2884"/>
      <c r="H2" s="2873"/>
      <c r="I2" s="2873"/>
      <c r="J2" s="2873"/>
      <c r="K2" s="2874"/>
      <c r="L2" s="2873"/>
      <c r="M2" s="2873"/>
    </row>
    <row r="3" spans="1:37" ht="18" customHeight="1" thickBot="1">
      <c r="A3" s="1524" t="s">
        <v>1241</v>
      </c>
      <c r="B3" s="1525">
        <f ca="1">IF(ISERROR(B2*10000/F43),0,ROUND(B2*10000/F43,0))</f>
        <v>11524</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1918</v>
      </c>
      <c r="D5" s="1498" t="s">
        <v>1126</v>
      </c>
      <c r="E5" s="1183"/>
      <c r="F5" s="1184"/>
      <c r="G5" s="1518"/>
      <c r="H5" s="305">
        <v>1</v>
      </c>
      <c r="I5" s="306" t="s">
        <v>1125</v>
      </c>
      <c r="J5" s="1182">
        <f ca="1">J6+J10+J12</f>
        <v>0</v>
      </c>
      <c r="K5" s="1498" t="s">
        <v>1126</v>
      </c>
      <c r="L5" s="1183"/>
      <c r="M5" s="1184"/>
    </row>
    <row r="6" spans="1:37" ht="18" customHeight="1">
      <c r="A6" s="1181" t="s">
        <v>822</v>
      </c>
      <c r="B6" s="3442" t="s">
        <v>1127</v>
      </c>
      <c r="C6" s="1186">
        <f ca="1">ROUND(F6*F8*F7*(1-F9)/10000,0)</f>
        <v>1916</v>
      </c>
      <c r="D6" s="160" t="s">
        <v>2608</v>
      </c>
      <c r="E6" s="308" t="s">
        <v>1129</v>
      </c>
      <c r="F6" s="309">
        <f ca="1">INDIRECT("'数据-取费表'!u"&amp;$G$1)</f>
        <v>3.03</v>
      </c>
      <c r="G6" s="1518"/>
      <c r="H6" s="1181" t="s">
        <v>822</v>
      </c>
      <c r="I6" s="3442" t="s">
        <v>1127</v>
      </c>
      <c r="J6" s="307">
        <f ca="1">ROUND(M6*M8*M7*(1-M9)/10000,0)</f>
        <v>0</v>
      </c>
      <c r="K6" s="160" t="s">
        <v>2607</v>
      </c>
      <c r="L6" s="308" t="s">
        <v>1129</v>
      </c>
      <c r="M6" s="309">
        <f ca="1">INDIRECT("'数据-取费表'!z"&amp;$G$1)</f>
        <v>0</v>
      </c>
    </row>
    <row r="7" spans="1:37" ht="18" customHeight="1">
      <c r="A7" s="1185"/>
      <c r="B7" s="3443"/>
      <c r="C7" s="1187"/>
      <c r="D7" s="313"/>
      <c r="E7" s="1188" t="s">
        <v>1130</v>
      </c>
      <c r="F7" s="309">
        <f ca="1">IF(INDIRECT("'数据-取费表'!ah"&amp;$G$1)="",INDIRECT("'数据-取费表'!k"&amp;$G$1),INDIRECT("'数据-取费表'!ah"&amp;$G$1))</f>
        <v>19251.75</v>
      </c>
      <c r="G7" s="1518"/>
      <c r="H7" s="310"/>
      <c r="I7" s="3443"/>
      <c r="J7" s="312"/>
      <c r="K7" s="313"/>
      <c r="L7" s="308" t="s">
        <v>1130</v>
      </c>
      <c r="M7" s="309">
        <f ca="1">F7</f>
        <v>19251.75</v>
      </c>
    </row>
    <row r="8" spans="1:37" ht="18" customHeight="1">
      <c r="A8" s="310"/>
      <c r="B8" s="3443"/>
      <c r="C8" s="312"/>
      <c r="D8" s="313"/>
      <c r="E8" s="308" t="s">
        <v>1131</v>
      </c>
      <c r="F8" s="309">
        <f ca="1">INDIRECT("'数据-取费表'!ai"&amp;$G$1)</f>
        <v>365</v>
      </c>
      <c r="G8" s="1518"/>
      <c r="H8" s="310"/>
      <c r="I8" s="3443"/>
      <c r="J8" s="312"/>
      <c r="K8" s="313"/>
      <c r="L8" s="308" t="s">
        <v>1131</v>
      </c>
      <c r="M8" s="309">
        <f ca="1">INDIRECT("'数据-取费表'!ai"&amp;$G$1)</f>
        <v>365</v>
      </c>
    </row>
    <row r="9" spans="1:37" ht="18" customHeight="1">
      <c r="A9" s="310"/>
      <c r="B9" s="3444"/>
      <c r="C9" s="312"/>
      <c r="D9" s="313"/>
      <c r="E9" s="308" t="s">
        <v>1132</v>
      </c>
      <c r="F9" s="318">
        <f ca="1">INDIRECT("'数据-取费表'!w"&amp;$G$1)</f>
        <v>0.1</v>
      </c>
      <c r="G9" s="1518"/>
      <c r="H9" s="310"/>
      <c r="I9" s="3444"/>
      <c r="J9" s="312"/>
      <c r="K9" s="313"/>
      <c r="L9" s="319" t="s">
        <v>1132</v>
      </c>
      <c r="M9" s="320">
        <f ca="1">INDIRECT("'数据-取费表'!ab"&amp;$G$1)</f>
        <v>0</v>
      </c>
    </row>
    <row r="10" spans="1:37" ht="18" customHeight="1">
      <c r="A10" s="1181" t="s">
        <v>826</v>
      </c>
      <c r="B10" s="1499" t="s">
        <v>1133</v>
      </c>
      <c r="C10" s="322">
        <f ca="1">ROUND(IF(F10="押一",C6/12*F11,IF(F10="押二",C6/12*2*F11,IF(F10="押三",C6/12*3*F11,C11*F11))),0)</f>
        <v>2</v>
      </c>
      <c r="D10" s="1500" t="s">
        <v>2616</v>
      </c>
      <c r="E10" s="319" t="s">
        <v>1134</v>
      </c>
      <c r="F10" s="1228" t="s">
        <v>3244</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6919</v>
      </c>
      <c r="D13" s="1193" t="s">
        <v>1139</v>
      </c>
      <c r="E13" s="1193" t="s">
        <v>1140</v>
      </c>
      <c r="F13" s="1194">
        <f ca="1">INDIRECT("'数据-取费表'!y"&amp;$G$1)</f>
        <v>0.81</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5776</v>
      </c>
      <c r="D14" s="1479" t="s">
        <v>1142</v>
      </c>
      <c r="E14" s="1476"/>
      <c r="F14" s="325"/>
      <c r="G14" s="1518"/>
      <c r="H14" s="1093" t="s">
        <v>822</v>
      </c>
      <c r="I14" s="308" t="s">
        <v>1143</v>
      </c>
      <c r="J14" s="24">
        <f ca="1">C29</f>
        <v>8542</v>
      </c>
      <c r="K14" s="15"/>
      <c r="L14" s="896"/>
      <c r="M14" s="897"/>
    </row>
    <row r="15" spans="1:37" s="1531" customFormat="1" ht="18" customHeight="1" thickBot="1">
      <c r="A15" s="1093" t="s">
        <v>823</v>
      </c>
      <c r="B15" s="308" t="s">
        <v>1144</v>
      </c>
      <c r="C15" s="24">
        <f ca="1">ROUND(C14*F15,0)</f>
        <v>173</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157</v>
      </c>
      <c r="K16" s="1199" t="s">
        <v>1149</v>
      </c>
      <c r="L16" s="1200"/>
      <c r="M16" s="1184"/>
    </row>
    <row r="17" spans="1:37" s="1531" customFormat="1" ht="18" customHeight="1">
      <c r="A17" s="1093" t="s">
        <v>1114</v>
      </c>
      <c r="B17" s="308" t="s">
        <v>1150</v>
      </c>
      <c r="C17" s="24">
        <f ca="1">ROUND(F17*(F43+INDIRECT("'数据-取费表'!S"&amp;$G$1))/10000,0)</f>
        <v>289</v>
      </c>
      <c r="D17" s="308" t="s">
        <v>1151</v>
      </c>
      <c r="E17" s="308" t="s">
        <v>1152</v>
      </c>
      <c r="F17" s="26">
        <f>'数据-取费表'!B35</f>
        <v>150</v>
      </c>
      <c r="G17" s="1530"/>
      <c r="H17" s="1093" t="s">
        <v>822</v>
      </c>
      <c r="I17" s="308" t="s">
        <v>1153</v>
      </c>
      <c r="J17" s="2484">
        <f ca="1">ROUND(IF(AND(项目基本情况!B11="自然人",项目基本情况!B10="北京市"),J6*M17/(1+'数据-取费表'!C42),J18+J19+J20),0)</f>
        <v>72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87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6325</v>
      </c>
      <c r="D19" s="136" t="s">
        <v>1160</v>
      </c>
      <c r="E19" s="1494"/>
      <c r="F19" s="26"/>
      <c r="G19" s="1518"/>
      <c r="H19" s="1093" t="s">
        <v>823</v>
      </c>
      <c r="I19" s="308" t="s">
        <v>1161</v>
      </c>
      <c r="J19" s="24">
        <f ca="1">IF(K19="按租金收入计税",ROUND(J6*M19/(1+'数据-取费表'!C42),2),ROUND(C29*M19*0.7,2))</f>
        <v>71.75</v>
      </c>
      <c r="K19" s="1504" t="s">
        <v>1162</v>
      </c>
      <c r="L19" s="308" t="s">
        <v>1146</v>
      </c>
      <c r="M19" s="328">
        <f>IF(K19="按租金收入计税",'数据-取费表'!B51,'数据-取费表'!B50)</f>
        <v>1.2E-2</v>
      </c>
    </row>
    <row r="20" spans="1:37" s="1531" customFormat="1" ht="18" customHeight="1">
      <c r="A20" s="1093" t="s">
        <v>826</v>
      </c>
      <c r="B20" s="308" t="s">
        <v>1163</v>
      </c>
      <c r="C20" s="24">
        <f ca="1">ROUND(C19*F20,0)</f>
        <v>127</v>
      </c>
      <c r="D20" s="329" t="s">
        <v>1164</v>
      </c>
      <c r="E20" s="308" t="s">
        <v>1146</v>
      </c>
      <c r="F20" s="328">
        <f>'数据-取费表'!B37</f>
        <v>0.02</v>
      </c>
      <c r="G20" s="1530"/>
      <c r="H20" s="1093" t="s">
        <v>1113</v>
      </c>
      <c r="I20" s="160" t="s">
        <v>1165</v>
      </c>
      <c r="J20" s="25">
        <f ca="1">ROUND(M20*M21/10000,2)</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85.4</v>
      </c>
      <c r="K22" s="1478" t="s">
        <v>1174</v>
      </c>
      <c r="L22" s="308" t="s">
        <v>1146</v>
      </c>
      <c r="M22" s="334">
        <f ca="1">INDIRECT("'数据-取费表'!Ak"&amp;$G$1)</f>
        <v>0.01</v>
      </c>
    </row>
    <row r="23" spans="1:37" s="1531" customFormat="1" ht="18" customHeight="1">
      <c r="A23" s="1093"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-157</v>
      </c>
      <c r="K25" s="1207" t="s">
        <v>1188</v>
      </c>
      <c r="L25" s="1208"/>
      <c r="M25" s="1209"/>
    </row>
    <row r="26" spans="1:37">
      <c r="A26" s="1093" t="s">
        <v>821</v>
      </c>
      <c r="B26" s="308" t="s">
        <v>1189</v>
      </c>
      <c r="C26" s="24">
        <f ca="1">ROUND((C19+C20)*F26,0)</f>
        <v>1290</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3"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8542</v>
      </c>
      <c r="D29" s="1204"/>
      <c r="E29" s="1202"/>
      <c r="F29" s="1205"/>
      <c r="G29" s="1530"/>
      <c r="H29" s="340" t="s">
        <v>820</v>
      </c>
      <c r="I29" s="341" t="s">
        <v>1203</v>
      </c>
      <c r="J29" s="342">
        <f ca="1">ROUND(J26/(1+F40)^F41,0)</f>
        <v>0</v>
      </c>
      <c r="K29" s="343" t="s">
        <v>1204</v>
      </c>
      <c r="L29" s="344"/>
      <c r="M29" s="345">
        <f ca="1">INDIRECT("'数据-取费表'!k"&amp;$G$1)</f>
        <v>19251.75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433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321</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102.19</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218.97</v>
      </c>
      <c r="D33" s="1504" t="s">
        <v>3247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85.4</v>
      </c>
      <c r="D36" s="1478" t="s">
        <v>1206</v>
      </c>
      <c r="E36" s="308" t="s">
        <v>1146</v>
      </c>
      <c r="F36" s="334">
        <f ca="1">INDIRECT("'数据-取费表'!Ak"&amp;$G$1)</f>
        <v>0.01</v>
      </c>
      <c r="G36" s="1518"/>
      <c r="H36" s="2878"/>
      <c r="I36" s="1532"/>
      <c r="J36" s="1533"/>
      <c r="K36" s="2719"/>
      <c r="L36" s="2878"/>
      <c r="M36" s="2878"/>
    </row>
    <row r="37" spans="1:18" ht="18" customHeight="1">
      <c r="A37" s="1093" t="s">
        <v>862</v>
      </c>
      <c r="B37" s="308" t="s">
        <v>1177</v>
      </c>
      <c r="C37" s="24">
        <f ca="1">ROUND(C13*F37,1)</f>
        <v>6.9</v>
      </c>
      <c r="D37" s="1478" t="s">
        <v>1178</v>
      </c>
      <c r="E37" s="308" t="s">
        <v>1179</v>
      </c>
      <c r="F37" s="336">
        <f ca="1">INDIRECT("'数据-取费表'!Al"&amp;$G$1)</f>
        <v>1E-3</v>
      </c>
      <c r="G37" s="1518"/>
      <c r="H37" s="2878"/>
      <c r="I37" s="1532"/>
      <c r="J37" s="1533"/>
      <c r="K37" s="2719"/>
      <c r="L37" s="2878"/>
      <c r="M37" s="2878"/>
    </row>
    <row r="38" spans="1:18" ht="18" customHeight="1" thickBot="1">
      <c r="A38" s="1201" t="s">
        <v>1117</v>
      </c>
      <c r="B38" s="1202" t="s">
        <v>1163</v>
      </c>
      <c r="C38" s="1203">
        <f ca="1">ROUND(C5*F38,1)</f>
        <v>19.2</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6">
        <f ca="1">C5-C30</f>
        <v>1485</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22186</v>
      </c>
      <c r="D40" s="330" t="s">
        <v>1193</v>
      </c>
      <c r="E40" s="308" t="s">
        <v>1194</v>
      </c>
      <c r="F40" s="318">
        <f ca="1">INDIRECT("'数据-取费表'!I"&amp;$G$1)</f>
        <v>0.06</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20.71</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11524</v>
      </c>
      <c r="D43" s="343" t="s">
        <v>1212</v>
      </c>
      <c r="E43" s="344" t="s">
        <v>1213</v>
      </c>
      <c r="F43" s="345">
        <f ca="1">INDIRECT("'数据-取费表'!k"&amp;$G$1)</f>
        <v>19251.75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-31647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3245</v>
      </c>
      <c r="K47" s="1550" t="s">
        <v>1251</v>
      </c>
      <c r="L47" s="1551">
        <f ca="1">INDIRECT("'数据-取费表'!d"&amp;$G$1)</f>
        <v>40</v>
      </c>
      <c r="M47" s="1514" t="str">
        <f>IF(ISNUMBER(FIND("住宅",C1)),"住宅","非住宅")</f>
        <v>非住宅</v>
      </c>
      <c r="O47" s="1552" t="s">
        <v>827</v>
      </c>
      <c r="P47" s="1553" t="s">
        <v>1252</v>
      </c>
      <c r="Q47" s="1554">
        <f ca="1">C40+J29</f>
        <v>22186</v>
      </c>
      <c r="R47" s="1554" t="s">
        <v>1253</v>
      </c>
    </row>
    <row r="48" spans="1:18" s="1518" customFormat="1" ht="28.5" thickBot="1">
      <c r="A48" s="1222" t="s">
        <v>863</v>
      </c>
      <c r="B48" s="306" t="s">
        <v>1125</v>
      </c>
      <c r="C48" s="1493">
        <f ca="1">C49+C53+C55</f>
        <v>0</v>
      </c>
      <c r="D48" s="1224"/>
      <c r="E48" s="1225"/>
      <c r="F48" s="1073"/>
      <c r="G48" s="730"/>
      <c r="H48" s="731"/>
      <c r="I48" s="1555" t="s">
        <v>1254</v>
      </c>
      <c r="J48" s="1556" t="s">
        <v>3246</v>
      </c>
      <c r="K48" s="1557" t="s">
        <v>1255</v>
      </c>
      <c r="L48" s="1558">
        <f ca="1">INDIRECT("'数据-取费表'!f"&amp;$G$1)</f>
        <v>20.71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2007</v>
      </c>
      <c r="K49" s="1557" t="s">
        <v>1259</v>
      </c>
      <c r="L49" s="1561"/>
      <c r="O49" s="1562" t="s">
        <v>829</v>
      </c>
      <c r="P49" s="1553" t="s">
        <v>1260</v>
      </c>
      <c r="Q49" s="1554">
        <f ca="1">C29</f>
        <v>8542</v>
      </c>
      <c r="R49" s="1554" t="s">
        <v>1253</v>
      </c>
    </row>
    <row r="50" spans="1:18" s="1518" customFormat="1" ht="13.5" thickBot="1">
      <c r="A50" s="1087"/>
      <c r="B50" s="1090"/>
      <c r="C50" s="1230"/>
      <c r="D50" s="1064"/>
      <c r="E50" s="1167" t="s">
        <v>1130</v>
      </c>
      <c r="F50" s="1168">
        <f ca="1">F7</f>
        <v>19251.75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45</v>
      </c>
      <c r="K51" s="1568" t="s">
        <v>1265</v>
      </c>
      <c r="L51" s="1569">
        <f ca="1">ROUND(-PV(INDIRECT("'数据-取费表'!h"&amp;$G$1),J51,(C39-C13*C76),0),0)</f>
        <v>15986</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f>'数据-取费表'!I6+0.02</f>
        <v>0.08</v>
      </c>
      <c r="K52" s="1571" t="s">
        <v>1268</v>
      </c>
      <c r="L52" s="1572"/>
      <c r="O52" s="1562" t="s">
        <v>832</v>
      </c>
      <c r="P52" s="1553" t="s">
        <v>1269</v>
      </c>
      <c r="Q52" s="1554">
        <f ca="1">J53</f>
        <v>20.71</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20.71</v>
      </c>
      <c r="K53" s="3445" t="s">
        <v>1272</v>
      </c>
      <c r="L53" s="3446"/>
      <c r="O53" s="1552" t="s">
        <v>833</v>
      </c>
      <c r="P53" s="1553" t="s">
        <v>1273</v>
      </c>
      <c r="Q53" s="1554">
        <f ca="1">Q47+Q48</f>
        <v>22186</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6919</v>
      </c>
      <c r="D56" s="1581"/>
      <c r="E56" s="1582"/>
      <c r="F56" s="1574"/>
      <c r="I56" s="1583" t="s">
        <v>1278</v>
      </c>
      <c r="J56" s="1584" t="s">
        <v>3236</v>
      </c>
      <c r="K56" s="1555" t="s">
        <v>1279</v>
      </c>
      <c r="L56" s="1558" t="str">
        <f ca="1">IF(L48&lt;J51,"——",L48-J53)</f>
        <v>——</v>
      </c>
      <c r="O56" s="1552" t="s">
        <v>827</v>
      </c>
      <c r="P56" s="1553" t="s">
        <v>1252</v>
      </c>
      <c r="Q56" s="1554">
        <f ca="1">C40+J29</f>
        <v>22186</v>
      </c>
      <c r="R56" s="1554" t="s">
        <v>1253</v>
      </c>
    </row>
    <row r="57" spans="1:18" s="1518" customFormat="1" ht="24.75" thickBot="1">
      <c r="A57" s="1585"/>
      <c r="B57" s="1061" t="s">
        <v>1202</v>
      </c>
      <c r="C57" s="244">
        <f ca="1">C29</f>
        <v>8542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810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718</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717.53</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20</v>
      </c>
      <c r="I62" s="1596" t="s">
        <v>1294</v>
      </c>
      <c r="J62" s="1597" t="s">
        <v>1295</v>
      </c>
      <c r="K62" s="1597" t="s">
        <v>1296</v>
      </c>
      <c r="L62" s="1597" t="s">
        <v>1297</v>
      </c>
      <c r="M62" s="1598" t="s">
        <v>1298</v>
      </c>
      <c r="O62" s="1552" t="s">
        <v>833</v>
      </c>
      <c r="P62" s="1553" t="s">
        <v>1299</v>
      </c>
      <c r="Q62" s="1554">
        <f ca="1">Q56+Q57</f>
        <v>22186</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85.4</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6.9</v>
      </c>
      <c r="D65" s="1075" t="s">
        <v>1178</v>
      </c>
      <c r="E65" s="1061" t="s">
        <v>1179</v>
      </c>
      <c r="F65" s="336">
        <f t="shared" ca="1" si="0"/>
        <v>1E-3</v>
      </c>
      <c r="I65" s="1596" t="s">
        <v>1303</v>
      </c>
      <c r="J65" s="1597">
        <v>40</v>
      </c>
      <c r="K65" s="1597">
        <v>30</v>
      </c>
      <c r="L65" s="1597">
        <v>50</v>
      </c>
      <c r="M65" s="1599">
        <v>0.02</v>
      </c>
      <c r="O65" s="1552" t="s">
        <v>827</v>
      </c>
      <c r="P65" s="1553" t="s">
        <v>1304</v>
      </c>
      <c r="Q65" s="1554">
        <f ca="1">C40+J29</f>
        <v>22186</v>
      </c>
      <c r="R65" s="1554" t="s">
        <v>1253</v>
      </c>
    </row>
    <row r="66" spans="1:18" s="1518" customFormat="1" ht="16.5" thickBot="1">
      <c r="A66" s="1093" t="s">
        <v>1228</v>
      </c>
      <c r="B66" s="1061" t="s">
        <v>1163</v>
      </c>
      <c r="C66" s="24">
        <f ca="1">ROUND(C48*F66,1)</f>
        <v>0</v>
      </c>
      <c r="D66" s="1075" t="s">
        <v>1229</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-810</v>
      </c>
      <c r="D67" s="1074" t="s">
        <v>1188</v>
      </c>
      <c r="E67" s="1079"/>
      <c r="F67" s="1080"/>
      <c r="O67" s="1562" t="s">
        <v>829</v>
      </c>
      <c r="P67" s="1553" t="s">
        <v>1286</v>
      </c>
      <c r="Q67" s="1600">
        <f ca="1">L51</f>
        <v>15986</v>
      </c>
      <c r="R67" s="1554" t="s">
        <v>1306</v>
      </c>
    </row>
    <row r="68" spans="1:18" s="1518" customFormat="1" ht="16.5" thickBot="1">
      <c r="A68" s="1058" t="s">
        <v>819</v>
      </c>
      <c r="B68" s="1059" t="s">
        <v>1209</v>
      </c>
      <c r="C68" s="307">
        <f ca="1">ROUND(C67*(1-((1+F70)/(1+F68))^F69)/(F68-F70),0)</f>
        <v>-9461</v>
      </c>
      <c r="D68" s="1076" t="s">
        <v>1193</v>
      </c>
      <c r="E68" s="1061" t="s">
        <v>1194</v>
      </c>
      <c r="F68" s="318">
        <f ca="1">F40</f>
        <v>0.06</v>
      </c>
      <c r="O68" s="1562" t="s">
        <v>830</v>
      </c>
      <c r="P68" s="1601" t="s">
        <v>1307</v>
      </c>
      <c r="Q68" s="1554">
        <f ca="1">ROUND(Q69-Q70*Q71,0)</f>
        <v>966</v>
      </c>
      <c r="R68" s="1554" t="s">
        <v>838</v>
      </c>
    </row>
    <row r="69" spans="1:18" s="1518" customFormat="1" ht="13.5" thickBot="1">
      <c r="A69" s="1062"/>
      <c r="B69" s="1063"/>
      <c r="C69" s="312"/>
      <c r="D69" s="1081" t="s">
        <v>1197</v>
      </c>
      <c r="E69" s="1061" t="s">
        <v>1198</v>
      </c>
      <c r="F69" s="339">
        <f ca="1">F41</f>
        <v>20.71</v>
      </c>
      <c r="O69" s="1562" t="s">
        <v>835</v>
      </c>
      <c r="P69" s="1601" t="s">
        <v>1308</v>
      </c>
      <c r="Q69" s="1554">
        <f ca="1">C39</f>
        <v>1485</v>
      </c>
      <c r="R69" s="1554" t="s">
        <v>1253</v>
      </c>
    </row>
    <row r="70" spans="1:18" s="1518" customFormat="1" ht="13.5" thickBot="1">
      <c r="A70" s="1065"/>
      <c r="B70" s="1066"/>
      <c r="C70" s="316"/>
      <c r="D70" s="1077"/>
      <c r="E70" s="1061" t="s">
        <v>1201</v>
      </c>
      <c r="F70" s="1165"/>
      <c r="O70" s="1562" t="s">
        <v>836</v>
      </c>
      <c r="P70" s="1601" t="s">
        <v>1309</v>
      </c>
      <c r="Q70" s="1554">
        <f ca="1">C13</f>
        <v>6919</v>
      </c>
      <c r="R70" s="1554" t="s">
        <v>1253</v>
      </c>
    </row>
    <row r="71" spans="1:18" s="1518" customFormat="1" ht="13.5" thickBot="1">
      <c r="A71" s="1082" t="s">
        <v>820</v>
      </c>
      <c r="B71" s="1083" t="s">
        <v>1211</v>
      </c>
      <c r="C71" s="342">
        <f ca="1">ROUND(C68*10000/F71,0)</f>
        <v>-4914</v>
      </c>
      <c r="D71" s="1084" t="s">
        <v>1212</v>
      </c>
      <c r="E71" s="1085" t="s">
        <v>1213</v>
      </c>
      <c r="F71" s="345">
        <f ca="1">F43</f>
        <v>19251.75</v>
      </c>
      <c r="O71" s="1562" t="s">
        <v>837</v>
      </c>
      <c r="P71" s="1601" t="s">
        <v>1310</v>
      </c>
      <c r="Q71" s="1565">
        <f ca="1">C76</f>
        <v>7.4999999999999997E-2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519</v>
      </c>
      <c r="D75" s="1518"/>
      <c r="E75" s="1518"/>
      <c r="F75" s="1518"/>
      <c r="K75" s="1536"/>
      <c r="L75" s="1518"/>
      <c r="O75" s="1552" t="s">
        <v>833</v>
      </c>
      <c r="P75" s="1553" t="s">
        <v>1273</v>
      </c>
      <c r="Q75" s="1554">
        <f ca="1">Q65+Q66</f>
        <v>22186</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0.65100000000000002</v>
      </c>
    </row>
    <row r="80" spans="1:18">
      <c r="B80" s="346" t="s">
        <v>1235</v>
      </c>
      <c r="C80" s="280">
        <f ca="1">ROUND(C75/C39,3)</f>
        <v>0.34899999999999998</v>
      </c>
    </row>
    <row r="81" spans="2:3">
      <c r="B81" s="276" t="s">
        <v>1236</v>
      </c>
      <c r="C81" s="244"/>
    </row>
    <row r="82" spans="2:3">
      <c r="B82" s="279" t="s">
        <v>1237</v>
      </c>
      <c r="C82" s="281">
        <f ca="1">1-C83</f>
        <v>0.68799999999999994</v>
      </c>
    </row>
    <row r="83" spans="2:3">
      <c r="B83" s="279" t="s">
        <v>1238</v>
      </c>
      <c r="C83" s="280">
        <f ca="1">ROUND(C13/C40,3)</f>
        <v>0.312</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99"/>
  <sheetViews>
    <sheetView workbookViewId="0">
      <selection activeCell="M9" sqref="M9"/>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0" t="s">
        <v>3225</v>
      </c>
      <c r="F1" s="3230" t="s">
        <v>3226</v>
      </c>
      <c r="G1" s="3230" t="s">
        <v>3228</v>
      </c>
      <c r="H1" s="3230" t="s">
        <v>3227</v>
      </c>
    </row>
    <row r="2" spans="1:14">
      <c r="A2" s="3230" t="s">
        <v>3219</v>
      </c>
      <c r="E2" s="3233" t="s">
        <v>3179</v>
      </c>
      <c r="F2">
        <f>1493.22-0.32</f>
        <v>1492.9</v>
      </c>
      <c r="G2">
        <v>186.51</v>
      </c>
      <c r="H2">
        <f>F2-G2</f>
        <v>1306.3900000000001</v>
      </c>
      <c r="L2" s="3230" t="s">
        <v>3240</v>
      </c>
      <c r="M2" s="3230" t="s">
        <v>3241</v>
      </c>
      <c r="N2" s="3230" t="s">
        <v>3242</v>
      </c>
    </row>
    <row r="3" spans="1:14">
      <c r="E3" s="3233" t="s">
        <v>3179</v>
      </c>
      <c r="F3">
        <v>1180.07</v>
      </c>
      <c r="H3">
        <f t="shared" ref="H3:H8" si="0">F3-G3</f>
        <v>1180.07</v>
      </c>
      <c r="K3" s="3230" t="s">
        <v>3229</v>
      </c>
      <c r="L3">
        <f>F15+G26+G49+G78+F91</f>
        <v>2085.8500000000004</v>
      </c>
      <c r="M3">
        <v>5</v>
      </c>
      <c r="N3">
        <v>1</v>
      </c>
    </row>
    <row r="4" spans="1:14">
      <c r="E4" s="3233" t="s">
        <v>3183</v>
      </c>
      <c r="F4">
        <v>2019.72</v>
      </c>
      <c r="H4">
        <f t="shared" si="0"/>
        <v>2019.72</v>
      </c>
      <c r="K4" s="3230" t="s">
        <v>3230</v>
      </c>
      <c r="L4">
        <f>H2+H3+G34+G53+G84+F92</f>
        <v>3418.6</v>
      </c>
      <c r="M4">
        <f>$M$3*N4</f>
        <v>3.5</v>
      </c>
      <c r="N4">
        <v>0.7</v>
      </c>
    </row>
    <row r="5" spans="1:14">
      <c r="E5" s="3233" t="s">
        <v>3185</v>
      </c>
      <c r="F5">
        <v>3779.78</v>
      </c>
      <c r="H5">
        <f t="shared" si="0"/>
        <v>3779.78</v>
      </c>
      <c r="K5" s="3230" t="s">
        <v>3231</v>
      </c>
      <c r="L5">
        <f>H4+G40+G57+G88+F93</f>
        <v>2686.54</v>
      </c>
      <c r="M5">
        <f t="shared" ref="M5:M9" si="1">$M$3*N5</f>
        <v>3</v>
      </c>
      <c r="N5">
        <v>0.6</v>
      </c>
    </row>
    <row r="6" spans="1:14">
      <c r="E6" s="3233" t="s">
        <v>3187</v>
      </c>
      <c r="F6">
        <v>4021.72</v>
      </c>
      <c r="G6">
        <v>2016.3</v>
      </c>
      <c r="H6">
        <f t="shared" si="0"/>
        <v>2005.4199999999998</v>
      </c>
      <c r="K6" s="3230" t="s">
        <v>3232</v>
      </c>
      <c r="L6">
        <f>H5</f>
        <v>3779.78</v>
      </c>
      <c r="M6">
        <f t="shared" si="1"/>
        <v>2.5</v>
      </c>
      <c r="N6">
        <v>0.5</v>
      </c>
    </row>
    <row r="7" spans="1:14">
      <c r="E7" s="3233" t="s">
        <v>3189</v>
      </c>
      <c r="F7">
        <v>3903.14</v>
      </c>
      <c r="H7">
        <f t="shared" si="0"/>
        <v>3903.14</v>
      </c>
      <c r="K7" s="3230" t="s">
        <v>3233</v>
      </c>
      <c r="L7">
        <f>H6+F16</f>
        <v>2534.54</v>
      </c>
      <c r="M7">
        <f t="shared" si="1"/>
        <v>2.5</v>
      </c>
      <c r="N7">
        <v>0.5</v>
      </c>
    </row>
    <row r="8" spans="1:14">
      <c r="F8">
        <f>SUM(F2:F7)</f>
        <v>16397.330000000002</v>
      </c>
      <c r="G8">
        <f>SUM(G2:G7)</f>
        <v>2202.81</v>
      </c>
      <c r="H8">
        <f>F8-G8</f>
        <v>14194.520000000002</v>
      </c>
      <c r="K8" s="3230" t="s">
        <v>3234</v>
      </c>
      <c r="L8">
        <f>H7+F17</f>
        <v>4432.26</v>
      </c>
      <c r="M8">
        <f t="shared" si="1"/>
        <v>2.5</v>
      </c>
      <c r="N8">
        <v>0.5</v>
      </c>
    </row>
    <row r="9" spans="1:14">
      <c r="K9" s="3230" t="s">
        <v>3235</v>
      </c>
      <c r="L9">
        <f>G66</f>
        <v>314.17999999999995</v>
      </c>
      <c r="M9">
        <f t="shared" si="1"/>
        <v>3</v>
      </c>
      <c r="N9">
        <v>0.6</v>
      </c>
    </row>
    <row r="10" spans="1:14">
      <c r="L10">
        <f>SUM(L3:L9)</f>
        <v>19251.75</v>
      </c>
      <c r="M10">
        <f>ROUND((L3*M3+L4*M4+L5*M5+L6*M6+L7*M7+L8*M8+L9*M9)/L10,2)</f>
        <v>3.03</v>
      </c>
    </row>
    <row r="15" spans="1:14">
      <c r="A15" s="3230" t="s">
        <v>3220</v>
      </c>
      <c r="E15" s="3230" t="s">
        <v>3197</v>
      </c>
      <c r="F15" s="3234">
        <f>'[2]数据-基础表'!I14-[2]分层面积!F15-[2]分层面积!F16</f>
        <v>956.93999999999994</v>
      </c>
    </row>
    <row r="16" spans="1:14">
      <c r="E16" s="3230" t="s">
        <v>3198</v>
      </c>
      <c r="F16">
        <v>529.12</v>
      </c>
    </row>
    <row r="17" spans="1:7">
      <c r="E17" s="3230" t="s">
        <v>3200</v>
      </c>
      <c r="F17">
        <v>529.12</v>
      </c>
    </row>
    <row r="18" spans="1:7">
      <c r="F18">
        <f>SUM(F15:F17)</f>
        <v>2015.1799999999998</v>
      </c>
    </row>
    <row r="19" spans="1:7">
      <c r="A19" t="str">
        <f>[2]抵押物清单!H8</f>
        <v>渝（2018）南岸区不动产权第000035435</v>
      </c>
      <c r="E19" s="3230" t="s">
        <v>3202</v>
      </c>
      <c r="F19" s="3230" t="s">
        <v>3195</v>
      </c>
      <c r="G19">
        <v>57.8</v>
      </c>
    </row>
    <row r="20" spans="1:7">
      <c r="F20" s="3230" t="s">
        <v>3196</v>
      </c>
      <c r="G20">
        <v>57.91</v>
      </c>
    </row>
    <row r="21" spans="1:7">
      <c r="F21" s="3230" t="s">
        <v>3184</v>
      </c>
      <c r="G21">
        <v>48.07</v>
      </c>
    </row>
    <row r="22" spans="1:7">
      <c r="F22" s="3230" t="s">
        <v>3186</v>
      </c>
      <c r="G22">
        <v>47.68</v>
      </c>
    </row>
    <row r="23" spans="1:7">
      <c r="F23" s="3230" t="s">
        <v>3188</v>
      </c>
      <c r="G23">
        <v>52.45</v>
      </c>
    </row>
    <row r="24" spans="1:7">
      <c r="F24" s="3230" t="s">
        <v>3203</v>
      </c>
      <c r="G24">
        <v>52.41</v>
      </c>
    </row>
    <row r="25" spans="1:7">
      <c r="F25" s="3230" t="s">
        <v>3204</v>
      </c>
      <c r="G25">
        <v>46.12</v>
      </c>
    </row>
    <row r="26" spans="1:7">
      <c r="F26" s="3231" t="s">
        <v>3207</v>
      </c>
      <c r="G26" s="3231">
        <f>SUM(G19:G25)</f>
        <v>362.44000000000005</v>
      </c>
    </row>
    <row r="27" spans="1:7">
      <c r="E27" s="3230" t="s">
        <v>3209</v>
      </c>
      <c r="F27" s="3230" t="s">
        <v>3206</v>
      </c>
      <c r="G27">
        <v>43.32</v>
      </c>
    </row>
    <row r="28" spans="1:7">
      <c r="F28" s="3230" t="s">
        <v>3208</v>
      </c>
      <c r="G28">
        <v>65.61</v>
      </c>
    </row>
    <row r="29" spans="1:7">
      <c r="F29" s="3230" t="s">
        <v>3184</v>
      </c>
      <c r="G29">
        <v>18.7</v>
      </c>
    </row>
    <row r="30" spans="1:7">
      <c r="F30" s="3230" t="s">
        <v>3186</v>
      </c>
      <c r="G30">
        <v>67.36</v>
      </c>
    </row>
    <row r="31" spans="1:7">
      <c r="F31" s="3230" t="s">
        <v>3188</v>
      </c>
      <c r="G31">
        <v>50.6</v>
      </c>
    </row>
    <row r="32" spans="1:7">
      <c r="F32" s="3230" t="s">
        <v>3203</v>
      </c>
      <c r="G32">
        <v>50.04</v>
      </c>
    </row>
    <row r="33" spans="1:7">
      <c r="F33" s="3230" t="s">
        <v>3204</v>
      </c>
      <c r="G33">
        <v>39.729999999999997</v>
      </c>
    </row>
    <row r="34" spans="1:7">
      <c r="F34" s="3231" t="s">
        <v>3207</v>
      </c>
      <c r="G34" s="3231">
        <f>SUM(G27:G33)</f>
        <v>335.36</v>
      </c>
    </row>
    <row r="35" spans="1:7">
      <c r="E35" s="3230" t="s">
        <v>3213</v>
      </c>
      <c r="F35" s="3230" t="s">
        <v>3206</v>
      </c>
      <c r="G35">
        <v>47.83</v>
      </c>
    </row>
    <row r="36" spans="1:7">
      <c r="F36" s="3230" t="s">
        <v>3208</v>
      </c>
      <c r="G36">
        <v>35.659999999999997</v>
      </c>
    </row>
    <row r="37" spans="1:7">
      <c r="F37" s="3230" t="s">
        <v>3184</v>
      </c>
      <c r="G37">
        <v>52.63</v>
      </c>
    </row>
    <row r="38" spans="1:7">
      <c r="F38" s="3230" t="s">
        <v>3186</v>
      </c>
      <c r="G38">
        <v>35.700000000000003</v>
      </c>
    </row>
    <row r="39" spans="1:7">
      <c r="E39">
        <v>19</v>
      </c>
      <c r="F39" s="3230" t="s">
        <v>3188</v>
      </c>
      <c r="G39">
        <v>24.51</v>
      </c>
    </row>
    <row r="40" spans="1:7">
      <c r="F40" s="3231" t="s">
        <v>3207</v>
      </c>
      <c r="G40" s="3231">
        <f>SUM(G35:G39)</f>
        <v>196.32999999999998</v>
      </c>
    </row>
    <row r="41" spans="1:7">
      <c r="F41" s="3231" t="s">
        <v>3215</v>
      </c>
      <c r="G41" s="3231">
        <f>G26+G34+G40</f>
        <v>894.13000000000011</v>
      </c>
    </row>
    <row r="44" spans="1:7">
      <c r="A44" t="str">
        <f>[2]抵押物清单!H9</f>
        <v>渝（2018）南岸区不动产权第000035455</v>
      </c>
      <c r="E44" s="3230" t="s">
        <v>3180</v>
      </c>
      <c r="F44" s="3230" t="s">
        <v>3181</v>
      </c>
      <c r="G44">
        <v>20.46</v>
      </c>
    </row>
    <row r="45" spans="1:7">
      <c r="F45" s="3230" t="s">
        <v>3182</v>
      </c>
      <c r="G45">
        <v>100.49</v>
      </c>
    </row>
    <row r="46" spans="1:7">
      <c r="F46" s="3230" t="s">
        <v>3184</v>
      </c>
      <c r="G46">
        <v>48.17</v>
      </c>
    </row>
    <row r="47" spans="1:7">
      <c r="F47" s="3230" t="s">
        <v>3186</v>
      </c>
      <c r="G47">
        <v>60.2</v>
      </c>
    </row>
    <row r="48" spans="1:7">
      <c r="F48" s="3230" t="s">
        <v>3188</v>
      </c>
      <c r="G48">
        <v>59.64</v>
      </c>
    </row>
    <row r="49" spans="1:7">
      <c r="F49" s="3231" t="s">
        <v>3190</v>
      </c>
      <c r="G49" s="3231">
        <f>SUM(G44:G48)</f>
        <v>288.95999999999998</v>
      </c>
    </row>
    <row r="50" spans="1:7">
      <c r="E50" s="3230" t="s">
        <v>3191</v>
      </c>
      <c r="F50" s="3230" t="s">
        <v>3181</v>
      </c>
      <c r="G50">
        <v>76.97</v>
      </c>
    </row>
    <row r="51" spans="1:7">
      <c r="F51" s="3230" t="s">
        <v>3192</v>
      </c>
      <c r="G51">
        <v>61.98</v>
      </c>
    </row>
    <row r="52" spans="1:7">
      <c r="F52" s="3230" t="s">
        <v>3193</v>
      </c>
      <c r="G52">
        <v>66.709999999999994</v>
      </c>
    </row>
    <row r="53" spans="1:7">
      <c r="F53" s="3231" t="s">
        <v>3190</v>
      </c>
      <c r="G53" s="3231">
        <f>SUM(G50:G52)</f>
        <v>205.65999999999997</v>
      </c>
    </row>
    <row r="54" spans="1:7">
      <c r="E54" s="3230" t="s">
        <v>3194</v>
      </c>
      <c r="F54" s="3230" t="s">
        <v>3195</v>
      </c>
      <c r="G54">
        <v>77.88</v>
      </c>
    </row>
    <row r="55" spans="1:7">
      <c r="F55" s="3230" t="s">
        <v>3196</v>
      </c>
      <c r="G55">
        <v>63.32</v>
      </c>
    </row>
    <row r="56" spans="1:7">
      <c r="E56">
        <v>11</v>
      </c>
      <c r="F56" s="3230" t="s">
        <v>3193</v>
      </c>
      <c r="G56">
        <v>60.73</v>
      </c>
    </row>
    <row r="57" spans="1:7">
      <c r="F57" s="3231" t="s">
        <v>3190</v>
      </c>
      <c r="G57" s="3231">
        <f>SUM(G54:G56)</f>
        <v>201.92999999999998</v>
      </c>
    </row>
    <row r="58" spans="1:7">
      <c r="F58" s="3231" t="s">
        <v>3199</v>
      </c>
      <c r="G58" s="3231">
        <f>G49+G53+G57</f>
        <v>696.55</v>
      </c>
    </row>
    <row r="59" spans="1:7">
      <c r="A59" t="str">
        <f>[2]抵押物清单!H10</f>
        <v>渝（2018）南岸区不动产权第000035469</v>
      </c>
      <c r="E59" s="3230" t="s">
        <v>3201</v>
      </c>
      <c r="F59" s="3230" t="s">
        <v>3195</v>
      </c>
      <c r="G59">
        <v>52.08</v>
      </c>
    </row>
    <row r="60" spans="1:7">
      <c r="F60" s="3230" t="s">
        <v>3196</v>
      </c>
      <c r="G60">
        <v>44.9</v>
      </c>
    </row>
    <row r="61" spans="1:7">
      <c r="F61" s="3230" t="s">
        <v>3184</v>
      </c>
      <c r="G61">
        <v>86.49</v>
      </c>
    </row>
    <row r="62" spans="1:7">
      <c r="F62" s="3230" t="s">
        <v>3186</v>
      </c>
      <c r="G62">
        <v>41.27</v>
      </c>
    </row>
    <row r="63" spans="1:7">
      <c r="F63" s="3230" t="s">
        <v>3188</v>
      </c>
      <c r="G63">
        <v>21.53</v>
      </c>
    </row>
    <row r="64" spans="1:7">
      <c r="F64" s="3230" t="s">
        <v>3203</v>
      </c>
      <c r="G64">
        <v>39.659999999999997</v>
      </c>
    </row>
    <row r="65" spans="5:7">
      <c r="F65" s="3230" t="s">
        <v>3204</v>
      </c>
      <c r="G65">
        <v>28.25</v>
      </c>
    </row>
    <row r="66" spans="5:7">
      <c r="F66" s="3231" t="s">
        <v>3190</v>
      </c>
      <c r="G66" s="3231">
        <f>SUM(G59:G65)</f>
        <v>314.17999999999995</v>
      </c>
    </row>
    <row r="67" spans="5:7">
      <c r="E67" s="3230" t="s">
        <v>3205</v>
      </c>
      <c r="F67" s="3230" t="s">
        <v>3206</v>
      </c>
      <c r="G67">
        <v>20.16</v>
      </c>
    </row>
    <row r="68" spans="5:7">
      <c r="F68" s="3230" t="s">
        <v>3208</v>
      </c>
      <c r="G68">
        <v>48.04</v>
      </c>
    </row>
    <row r="69" spans="5:7">
      <c r="F69" s="3230" t="s">
        <v>3184</v>
      </c>
      <c r="G69">
        <v>44.77</v>
      </c>
    </row>
    <row r="70" spans="5:7">
      <c r="F70" s="3230" t="s">
        <v>3186</v>
      </c>
      <c r="G70">
        <v>27.81</v>
      </c>
    </row>
    <row r="71" spans="5:7">
      <c r="F71" s="3230" t="s">
        <v>3188</v>
      </c>
      <c r="G71">
        <v>20.64</v>
      </c>
    </row>
    <row r="72" spans="5:7">
      <c r="F72" s="3230" t="s">
        <v>3203</v>
      </c>
      <c r="G72">
        <v>26.37</v>
      </c>
    </row>
    <row r="73" spans="5:7">
      <c r="F73" s="3230" t="s">
        <v>3204</v>
      </c>
      <c r="G73">
        <v>20.03</v>
      </c>
    </row>
    <row r="74" spans="5:7">
      <c r="F74" s="3230" t="s">
        <v>3210</v>
      </c>
      <c r="G74">
        <v>22.58</v>
      </c>
    </row>
    <row r="75" spans="5:7">
      <c r="F75" s="3230" t="s">
        <v>3211</v>
      </c>
      <c r="G75">
        <v>22.63</v>
      </c>
    </row>
    <row r="76" spans="5:7">
      <c r="F76" s="3230" t="s">
        <v>3212</v>
      </c>
      <c r="G76">
        <v>22.59</v>
      </c>
    </row>
    <row r="77" spans="5:7">
      <c r="F77" s="3230" t="s">
        <v>3214</v>
      </c>
      <c r="G77">
        <v>24.83</v>
      </c>
    </row>
    <row r="78" spans="5:7">
      <c r="F78" s="3231" t="s">
        <v>3207</v>
      </c>
      <c r="G78" s="3231">
        <f>SUM(G67:G77)</f>
        <v>300.45</v>
      </c>
    </row>
    <row r="79" spans="5:7">
      <c r="E79" s="3230" t="s">
        <v>3209</v>
      </c>
      <c r="F79" s="3230" t="s">
        <v>3206</v>
      </c>
      <c r="G79">
        <v>26.35</v>
      </c>
    </row>
    <row r="80" spans="5:7">
      <c r="F80" s="3230" t="s">
        <v>3208</v>
      </c>
      <c r="G80">
        <v>61.55</v>
      </c>
    </row>
    <row r="81" spans="1:7">
      <c r="F81" s="3230" t="s">
        <v>3184</v>
      </c>
      <c r="G81">
        <v>57.4</v>
      </c>
    </row>
    <row r="82" spans="1:7">
      <c r="F82" s="3230" t="s">
        <v>3186</v>
      </c>
      <c r="G82">
        <v>41.84</v>
      </c>
    </row>
    <row r="83" spans="1:7">
      <c r="F83" s="3230" t="s">
        <v>3188</v>
      </c>
      <c r="G83">
        <v>26.92</v>
      </c>
    </row>
    <row r="84" spans="1:7">
      <c r="F84" s="3231" t="s">
        <v>3207</v>
      </c>
      <c r="G84" s="3231">
        <f>SUM(G79:G83)</f>
        <v>214.06</v>
      </c>
    </row>
    <row r="85" spans="1:7">
      <c r="E85" s="3230" t="s">
        <v>3213</v>
      </c>
      <c r="F85" s="3230" t="s">
        <v>3206</v>
      </c>
      <c r="G85">
        <v>15.56</v>
      </c>
    </row>
    <row r="86" spans="1:7">
      <c r="F86" s="3230" t="s">
        <v>3196</v>
      </c>
      <c r="G86">
        <v>26.25</v>
      </c>
    </row>
    <row r="87" spans="1:7">
      <c r="E87">
        <v>26</v>
      </c>
      <c r="F87" s="3230" t="s">
        <v>3193</v>
      </c>
      <c r="G87">
        <v>49.69</v>
      </c>
    </row>
    <row r="88" spans="1:7">
      <c r="F88" s="3231" t="s">
        <v>3190</v>
      </c>
      <c r="G88" s="3231">
        <f>SUM(G85:G87)</f>
        <v>91.5</v>
      </c>
    </row>
    <row r="89" spans="1:7">
      <c r="F89" s="3231" t="s">
        <v>3199</v>
      </c>
      <c r="G89" s="3231">
        <f>G66+G78+G84+G88</f>
        <v>920.18999999999983</v>
      </c>
    </row>
    <row r="91" spans="1:7">
      <c r="A91" s="3230" t="s">
        <v>3274</v>
      </c>
      <c r="E91" s="3230" t="s">
        <v>3221</v>
      </c>
      <c r="F91">
        <f>531.18/3</f>
        <v>177.05999999999997</v>
      </c>
    </row>
    <row r="92" spans="1:7">
      <c r="E92" s="3230" t="s">
        <v>3222</v>
      </c>
      <c r="F92">
        <f>F91</f>
        <v>177.05999999999997</v>
      </c>
    </row>
    <row r="93" spans="1:7">
      <c r="E93" s="3230" t="s">
        <v>3223</v>
      </c>
      <c r="F93">
        <f>F91</f>
        <v>177.05999999999997</v>
      </c>
    </row>
    <row r="94" spans="1:7">
      <c r="E94" s="3230" t="s">
        <v>3224</v>
      </c>
      <c r="F94">
        <f>SUM(F91:F93)</f>
        <v>531.17999999999995</v>
      </c>
    </row>
    <row r="99" spans="6:6">
      <c r="F99" s="3230"/>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39:F142"/>
  <sheetViews>
    <sheetView topLeftCell="A115" workbookViewId="0">
      <selection activeCell="I151" sqref="I151"/>
    </sheetView>
  </sheetViews>
  <sheetFormatPr defaultRowHeight="13.5"/>
  <sheetData>
    <row r="139" spans="2:6">
      <c r="B139" s="3230" t="s">
        <v>3250</v>
      </c>
      <c r="C139" s="3230" t="s">
        <v>3251</v>
      </c>
      <c r="D139" s="3230" t="s">
        <v>3252</v>
      </c>
      <c r="E139" s="3230" t="s">
        <v>3253</v>
      </c>
    </row>
    <row r="140" spans="2:6">
      <c r="B140" s="3230" t="s">
        <v>3254</v>
      </c>
      <c r="C140">
        <v>26400</v>
      </c>
      <c r="D140">
        <v>122</v>
      </c>
      <c r="E140">
        <v>2017</v>
      </c>
      <c r="F140">
        <f>ROUND(1-(2022-E140)/60,2)</f>
        <v>0.92</v>
      </c>
    </row>
    <row r="141" spans="2:6">
      <c r="B141" s="3230" t="s">
        <v>3255</v>
      </c>
      <c r="C141">
        <v>30200</v>
      </c>
      <c r="D141">
        <v>116</v>
      </c>
      <c r="E141">
        <v>2021</v>
      </c>
      <c r="F141">
        <f t="shared" ref="F141:F142" si="0">ROUND(1-(2022-E141)/60,2)</f>
        <v>0.98</v>
      </c>
    </row>
    <row r="142" spans="2:6">
      <c r="B142" s="3230"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K19"/>
  <sheetViews>
    <sheetView workbookViewId="0">
      <selection activeCell="D29" sqref="D29"/>
    </sheetView>
  </sheetViews>
  <sheetFormatPr defaultRowHeight="12"/>
  <cols>
    <col min="1" max="1" width="9" style="3245"/>
    <col min="2" max="2" width="34.875" style="3245" bestFit="1" customWidth="1"/>
    <col min="3" max="3" width="8.25" style="3245" customWidth="1"/>
    <col min="4" max="16384" width="9" style="3245"/>
  </cols>
  <sheetData>
    <row r="2" spans="2:11">
      <c r="C2" s="3597" t="s">
        <v>3271</v>
      </c>
      <c r="D2" s="3597"/>
      <c r="E2" s="3597"/>
      <c r="F2" s="3597"/>
      <c r="G2" s="3597"/>
      <c r="H2" s="3597"/>
      <c r="I2" s="3597"/>
      <c r="J2" s="3597"/>
    </row>
    <row r="3" spans="2:11">
      <c r="B3" s="3246"/>
      <c r="C3" s="3247" t="s">
        <v>3270</v>
      </c>
      <c r="D3" s="3246" t="s">
        <v>3266</v>
      </c>
      <c r="E3" s="3246" t="s">
        <v>3221</v>
      </c>
      <c r="F3" s="3246" t="s">
        <v>3222</v>
      </c>
      <c r="G3" s="3246" t="s">
        <v>3223</v>
      </c>
      <c r="H3" s="3246" t="s">
        <v>3267</v>
      </c>
      <c r="I3" s="3246" t="s">
        <v>3268</v>
      </c>
      <c r="J3" s="3246" t="s">
        <v>3269</v>
      </c>
    </row>
    <row r="4" spans="2:11">
      <c r="B4" s="3246" t="str">
        <f>面积清单!A2</f>
        <v>渝（2019）南岸区不动产权第000484904号</v>
      </c>
      <c r="C4" s="3247">
        <f>面积清单!H8</f>
        <v>14194.520000000002</v>
      </c>
      <c r="D4" s="3246"/>
      <c r="E4" s="3246"/>
      <c r="F4" s="3246">
        <f>面积清单!H2+面积清单!H3</f>
        <v>2486.46</v>
      </c>
      <c r="G4" s="3246">
        <f>面积清单!H4</f>
        <v>2019.72</v>
      </c>
      <c r="H4" s="3246">
        <f>面积清单!H5</f>
        <v>3779.78</v>
      </c>
      <c r="I4" s="3246">
        <f>面积清单!H6</f>
        <v>2005.4199999999998</v>
      </c>
      <c r="J4" s="3246">
        <f>面积清单!H7</f>
        <v>3903.14</v>
      </c>
    </row>
    <row r="5" spans="2:11">
      <c r="B5" s="3246" t="str">
        <f>面积清单!A15</f>
        <v>渝（2019）南岸区不动产权第000217687号</v>
      </c>
      <c r="C5" s="3247">
        <f>面积清单!F18</f>
        <v>2015.1799999999998</v>
      </c>
      <c r="D5" s="3246"/>
      <c r="E5" s="3246">
        <f>面积清单!F15</f>
        <v>956.93999999999994</v>
      </c>
      <c r="F5" s="3246"/>
      <c r="G5" s="3246"/>
      <c r="H5" s="3246"/>
      <c r="I5" s="3246">
        <f>面积清单!F16</f>
        <v>529.12</v>
      </c>
      <c r="J5" s="3246">
        <f>面积清单!F17</f>
        <v>529.12</v>
      </c>
    </row>
    <row r="6" spans="2:11">
      <c r="B6" s="3246" t="str">
        <f>面积清单!A19</f>
        <v>渝（2018）南岸区不动产权第000035435</v>
      </c>
      <c r="C6" s="3247">
        <f>面积清单!G41</f>
        <v>894.13000000000011</v>
      </c>
      <c r="D6" s="3246"/>
      <c r="E6" s="3246">
        <f>面积清单!G26</f>
        <v>362.44000000000005</v>
      </c>
      <c r="F6" s="3246">
        <f>面积清单!G34</f>
        <v>335.36</v>
      </c>
      <c r="G6" s="3246">
        <f>面积清单!G40</f>
        <v>196.32999999999998</v>
      </c>
      <c r="H6" s="3246"/>
      <c r="I6" s="3246"/>
      <c r="J6" s="3246"/>
    </row>
    <row r="7" spans="2:11">
      <c r="B7" s="3246" t="str">
        <f>面积清单!A44</f>
        <v>渝（2018）南岸区不动产权第000035455</v>
      </c>
      <c r="C7" s="3247">
        <f>面积清单!G58</f>
        <v>696.55</v>
      </c>
      <c r="D7" s="3246"/>
      <c r="E7" s="3246">
        <f>面积清单!G49</f>
        <v>288.95999999999998</v>
      </c>
      <c r="F7" s="3246">
        <f>面积清单!G53</f>
        <v>205.65999999999997</v>
      </c>
      <c r="G7" s="3246">
        <f>面积清单!G57</f>
        <v>201.92999999999998</v>
      </c>
      <c r="H7" s="3246"/>
      <c r="I7" s="3246"/>
      <c r="J7" s="3246"/>
    </row>
    <row r="8" spans="2:11">
      <c r="B8" s="3246" t="str">
        <f>面积清单!A59</f>
        <v>渝（2018）南岸区不动产权第000035469</v>
      </c>
      <c r="C8" s="3247">
        <f>面积清单!G89</f>
        <v>920.18999999999983</v>
      </c>
      <c r="D8" s="3246">
        <f>面积清单!G66</f>
        <v>314.17999999999995</v>
      </c>
      <c r="E8" s="3246">
        <f>面积清单!G78</f>
        <v>300.45</v>
      </c>
      <c r="F8" s="3246">
        <f>面积清单!G84</f>
        <v>214.06</v>
      </c>
      <c r="G8" s="3246">
        <f>面积清单!G88</f>
        <v>91.5</v>
      </c>
      <c r="H8" s="3246"/>
      <c r="I8" s="3246"/>
      <c r="J8" s="3246"/>
    </row>
    <row r="9" spans="2:11">
      <c r="B9" s="3246" t="str">
        <f>面积清单!A91</f>
        <v>渝（2018）南岸区不动产权第000035500号</v>
      </c>
      <c r="C9" s="3247">
        <f>面积清单!F94</f>
        <v>531.17999999999995</v>
      </c>
      <c r="D9" s="3246"/>
      <c r="E9" s="3246">
        <f>面积清单!F91</f>
        <v>177.05999999999997</v>
      </c>
      <c r="F9" s="3246">
        <f>面积清单!F92</f>
        <v>177.05999999999997</v>
      </c>
      <c r="G9" s="3246">
        <f>面积清单!F93</f>
        <v>177.05999999999997</v>
      </c>
      <c r="H9" s="3246"/>
      <c r="I9" s="3246"/>
      <c r="J9" s="3246"/>
    </row>
    <row r="10" spans="2:11">
      <c r="B10" s="3247" t="s">
        <v>3270</v>
      </c>
      <c r="C10" s="3247">
        <f>SUM(C4:C9)</f>
        <v>19251.75</v>
      </c>
      <c r="D10" s="3247">
        <f t="shared" ref="D10:J10" si="0">SUM(D4:D9)</f>
        <v>314.17999999999995</v>
      </c>
      <c r="E10" s="3247">
        <f t="shared" si="0"/>
        <v>2085.8500000000004</v>
      </c>
      <c r="F10" s="3247">
        <f t="shared" si="0"/>
        <v>3418.6</v>
      </c>
      <c r="G10" s="3247">
        <f t="shared" si="0"/>
        <v>2686.54</v>
      </c>
      <c r="H10" s="3247">
        <f t="shared" si="0"/>
        <v>3779.78</v>
      </c>
      <c r="I10" s="3247">
        <f t="shared" si="0"/>
        <v>2534.54</v>
      </c>
      <c r="J10" s="3247">
        <f t="shared" si="0"/>
        <v>4432.26</v>
      </c>
    </row>
    <row r="11" spans="2:11">
      <c r="B11" s="3247" t="s">
        <v>3272</v>
      </c>
      <c r="C11" s="3248">
        <f>SUM(D11:J11)</f>
        <v>1</v>
      </c>
      <c r="D11" s="3248">
        <f>ROUND(典型户型修正!S30/典型户型修正!$S$22,4)</f>
        <v>1.6199999999999999E-2</v>
      </c>
      <c r="E11" s="3248">
        <f>ROUND(典型户型修正!S24/典型户型修正!$S$22,4)</f>
        <v>0.17899999999999999</v>
      </c>
      <c r="F11" s="3248">
        <f>ROUND(典型户型修正!S25/典型户型修正!$S$22,4)</f>
        <v>0.2054</v>
      </c>
      <c r="G11" s="3248">
        <f>ROUND(典型户型修正!S26/典型户型修正!$S$22,4)</f>
        <v>0.13830000000000001</v>
      </c>
      <c r="H11" s="3248">
        <f>ROUND(典型户型修正!S27/典型户型修正!$S$22,4)</f>
        <v>0.16220000000000001</v>
      </c>
      <c r="I11" s="3248">
        <f>ROUND(典型户型修正!S28/典型户型修正!$S$22,4)</f>
        <v>0.1087</v>
      </c>
      <c r="J11" s="3248">
        <f>ROUND(典型户型修正!S29/典型户型修正!$S$22,4)</f>
        <v>0.19020000000000001</v>
      </c>
      <c r="K11" s="3245" t="s">
        <v>3275</v>
      </c>
    </row>
    <row r="12" spans="2:11">
      <c r="B12" s="3247" t="s">
        <v>3273</v>
      </c>
      <c r="C12" s="3249">
        <f ca="1">SUM(D12:J12)</f>
        <v>28832</v>
      </c>
      <c r="D12" s="3247">
        <f ca="1">ROUND(结果表!$G$19*分证价值!D11,0)</f>
        <v>467</v>
      </c>
      <c r="E12" s="3247">
        <f ca="1">ROUND(结果表!$G$19*分证价值!E11,0)</f>
        <v>5161</v>
      </c>
      <c r="F12" s="3247">
        <f ca="1">ROUND(结果表!$G$19*分证价值!F11,0)</f>
        <v>5922</v>
      </c>
      <c r="G12" s="3247">
        <f ca="1">ROUND(结果表!$G$19*分证价值!G11,0)</f>
        <v>3987</v>
      </c>
      <c r="H12" s="3247">
        <f ca="1">ROUND(结果表!$G$19*分证价值!H11,0)</f>
        <v>4677</v>
      </c>
      <c r="I12" s="3247">
        <f ca="1">ROUND(结果表!$G$19*分证价值!I11,0)</f>
        <v>3134</v>
      </c>
      <c r="J12" s="3247">
        <f ca="1">ROUND(结果表!$G$19*分证价值!J11,0)</f>
        <v>5484</v>
      </c>
      <c r="K12" s="3245">
        <f ca="1">ROUND(C12/C10*10000,0)</f>
        <v>14976</v>
      </c>
    </row>
    <row r="13" spans="2:11">
      <c r="B13" s="3246" t="str">
        <f>B4</f>
        <v>渝（2019）南岸区不动产权第000484904号</v>
      </c>
      <c r="C13" s="3249">
        <f ca="1">SUM(D13:J13)</f>
        <v>19290</v>
      </c>
      <c r="D13" s="3246">
        <f ca="1">ROUND(D4/$D$10*$D$12,0)</f>
        <v>0</v>
      </c>
      <c r="E13" s="3246">
        <f ca="1">ROUND(E4/$E$10*$E$12,0)</f>
        <v>0</v>
      </c>
      <c r="F13" s="3246">
        <f ca="1">ROUND(F4/$F$10*$F$12,0)</f>
        <v>4307</v>
      </c>
      <c r="G13" s="3246">
        <f ca="1">ROUND(G4/$G$10*$G$12,0)</f>
        <v>2997</v>
      </c>
      <c r="H13" s="3246">
        <f ca="1">ROUND(H4/$H$10*$H$12,0)</f>
        <v>4677</v>
      </c>
      <c r="I13" s="3246">
        <f ca="1">ROUND(I4/$I$10*$I$12,0)</f>
        <v>2480</v>
      </c>
      <c r="J13" s="3246">
        <f ca="1">ROUND(J4/$J$10*$J$12,0)</f>
        <v>4829</v>
      </c>
      <c r="K13" s="3245">
        <f ca="1">ROUND(C13/C4*10000,0)</f>
        <v>13590</v>
      </c>
    </row>
    <row r="14" spans="2:11">
      <c r="B14" s="3246" t="str">
        <f t="shared" ref="B14:B18" si="1">B5</f>
        <v>渝（2019）南岸区不动产权第000217687号</v>
      </c>
      <c r="C14" s="3249">
        <f t="shared" ref="C14:C18" ca="1" si="2">SUM(D14:J14)</f>
        <v>3677</v>
      </c>
      <c r="D14" s="3246">
        <f t="shared" ref="D14:D17" ca="1" si="3">ROUND(D5/$D$10*$D$12,0)</f>
        <v>0</v>
      </c>
      <c r="E14" s="3246">
        <f t="shared" ref="E14:E17" ca="1" si="4">ROUND(E5/$E$10*$E$12,0)</f>
        <v>2368</v>
      </c>
      <c r="F14" s="3246">
        <f t="shared" ref="F14:F17" ca="1" si="5">ROUND(F5/$F$10*$F$12,0)</f>
        <v>0</v>
      </c>
      <c r="G14" s="3246">
        <f t="shared" ref="G14:G17" ca="1" si="6">ROUND(G5/$G$10*$G$12,0)</f>
        <v>0</v>
      </c>
      <c r="H14" s="3246">
        <f t="shared" ref="H14:H17" ca="1" si="7">ROUND(H5/$H$10*$H$12,0)</f>
        <v>0</v>
      </c>
      <c r="I14" s="3246">
        <f t="shared" ref="I14:I17" ca="1" si="8">ROUND(I5/$I$10*$I$12,0)</f>
        <v>654</v>
      </c>
      <c r="J14" s="3246">
        <f t="shared" ref="J14:J17" ca="1" si="9">ROUND(J5/$J$10*$J$12,0)</f>
        <v>655</v>
      </c>
      <c r="K14" s="3245">
        <f t="shared" ref="K14:K18" ca="1" si="10">ROUND(C14/C5*10000,0)</f>
        <v>18247</v>
      </c>
    </row>
    <row r="15" spans="2:11">
      <c r="B15" s="3246" t="str">
        <f t="shared" si="1"/>
        <v>渝（2018）南岸区不动产权第000035435</v>
      </c>
      <c r="C15" s="3249">
        <f t="shared" ca="1" si="2"/>
        <v>1769</v>
      </c>
      <c r="D15" s="3246">
        <f t="shared" ca="1" si="3"/>
        <v>0</v>
      </c>
      <c r="E15" s="3246">
        <f t="shared" ca="1" si="4"/>
        <v>897</v>
      </c>
      <c r="F15" s="3246">
        <f t="shared" ca="1" si="5"/>
        <v>581</v>
      </c>
      <c r="G15" s="3246">
        <f t="shared" ca="1" si="6"/>
        <v>291</v>
      </c>
      <c r="H15" s="3246">
        <f t="shared" ca="1" si="7"/>
        <v>0</v>
      </c>
      <c r="I15" s="3246">
        <f t="shared" ca="1" si="8"/>
        <v>0</v>
      </c>
      <c r="J15" s="3246">
        <f t="shared" ca="1" si="9"/>
        <v>0</v>
      </c>
      <c r="K15" s="3245">
        <f t="shared" ca="1" si="10"/>
        <v>19785</v>
      </c>
    </row>
    <row r="16" spans="2:11">
      <c r="B16" s="3246" t="str">
        <f t="shared" si="1"/>
        <v>渝（2018）南岸区不动产权第000035455</v>
      </c>
      <c r="C16" s="3249">
        <f t="shared" ca="1" si="2"/>
        <v>1371</v>
      </c>
      <c r="D16" s="3246">
        <f t="shared" ca="1" si="3"/>
        <v>0</v>
      </c>
      <c r="E16" s="3246">
        <f t="shared" ca="1" si="4"/>
        <v>715</v>
      </c>
      <c r="F16" s="3246">
        <f t="shared" ca="1" si="5"/>
        <v>356</v>
      </c>
      <c r="G16" s="3246">
        <f t="shared" ca="1" si="6"/>
        <v>300</v>
      </c>
      <c r="H16" s="3246">
        <f t="shared" ca="1" si="7"/>
        <v>0</v>
      </c>
      <c r="I16" s="3246">
        <f t="shared" ca="1" si="8"/>
        <v>0</v>
      </c>
      <c r="J16" s="3246">
        <f t="shared" ca="1" si="9"/>
        <v>0</v>
      </c>
      <c r="K16" s="3245">
        <f t="shared" ca="1" si="10"/>
        <v>19683</v>
      </c>
    </row>
    <row r="17" spans="2:11">
      <c r="B17" s="3246" t="str">
        <f t="shared" si="1"/>
        <v>渝（2018）南岸区不动产权第000035469</v>
      </c>
      <c r="C17" s="3249">
        <f t="shared" ca="1" si="2"/>
        <v>1717</v>
      </c>
      <c r="D17" s="3246">
        <f t="shared" ca="1" si="3"/>
        <v>467</v>
      </c>
      <c r="E17" s="3246">
        <f t="shared" ca="1" si="4"/>
        <v>743</v>
      </c>
      <c r="F17" s="3246">
        <f t="shared" ca="1" si="5"/>
        <v>371</v>
      </c>
      <c r="G17" s="3246">
        <f t="shared" ca="1" si="6"/>
        <v>136</v>
      </c>
      <c r="H17" s="3246">
        <f t="shared" ca="1" si="7"/>
        <v>0</v>
      </c>
      <c r="I17" s="3246">
        <f t="shared" ca="1" si="8"/>
        <v>0</v>
      </c>
      <c r="J17" s="3246">
        <f t="shared" ca="1" si="9"/>
        <v>0</v>
      </c>
      <c r="K17" s="3245">
        <f t="shared" ca="1" si="10"/>
        <v>18659</v>
      </c>
    </row>
    <row r="18" spans="2:11">
      <c r="B18" s="3246" t="str">
        <f t="shared" si="1"/>
        <v>渝（2018）南岸区不动产权第000035500号</v>
      </c>
      <c r="C18" s="3249">
        <f t="shared" ca="1" si="2"/>
        <v>1008</v>
      </c>
      <c r="D18" s="3246">
        <f ca="1">D12-SUM(D13:D17)</f>
        <v>0</v>
      </c>
      <c r="E18" s="3246">
        <f ca="1">E12-SUM(E13:E17)</f>
        <v>438</v>
      </c>
      <c r="F18" s="3246">
        <f t="shared" ref="F18:J18" ca="1" si="11">F12-SUM(F13:F17)</f>
        <v>307</v>
      </c>
      <c r="G18" s="3246">
        <f t="shared" ca="1" si="11"/>
        <v>263</v>
      </c>
      <c r="H18" s="3246">
        <f t="shared" ca="1" si="11"/>
        <v>0</v>
      </c>
      <c r="I18" s="3246">
        <f t="shared" ca="1" si="11"/>
        <v>0</v>
      </c>
      <c r="J18" s="3246">
        <f t="shared" ca="1" si="11"/>
        <v>0</v>
      </c>
      <c r="K18" s="3245">
        <f t="shared" ca="1" si="10"/>
        <v>18977</v>
      </c>
    </row>
    <row r="19" spans="2:11">
      <c r="B19" s="3247" t="s">
        <v>3276</v>
      </c>
      <c r="C19" s="3247"/>
      <c r="D19" s="3247">
        <f ca="1">SUM(D13:D18)</f>
        <v>467</v>
      </c>
      <c r="E19" s="3247">
        <f t="shared" ref="E19:J19" ca="1" si="12">SUM(E13:E18)</f>
        <v>5161</v>
      </c>
      <c r="F19" s="3247">
        <f t="shared" ca="1" si="12"/>
        <v>5922</v>
      </c>
      <c r="G19" s="3247">
        <f t="shared" ca="1" si="12"/>
        <v>3987</v>
      </c>
      <c r="H19" s="3247">
        <f t="shared" ca="1" si="12"/>
        <v>4677</v>
      </c>
      <c r="I19" s="3247">
        <f t="shared" ca="1" si="12"/>
        <v>3134</v>
      </c>
      <c r="J19" s="3247">
        <f t="shared" ca="1" si="12"/>
        <v>5484</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943" t="s">
        <v>1362</v>
      </c>
      <c r="E3" s="943" t="s">
        <v>1368</v>
      </c>
      <c r="F3" s="943" t="s">
        <v>1362</v>
      </c>
      <c r="G3" s="943" t="s">
        <v>1363</v>
      </c>
      <c r="H3" s="943" t="s">
        <v>1362</v>
      </c>
      <c r="I3" s="943" t="s">
        <v>1363</v>
      </c>
    </row>
    <row r="4" spans="1:9" ht="15">
      <c r="A4" s="1640" t="str">
        <f>项目基本情况!S2</f>
        <v>房地产</v>
      </c>
      <c r="B4" s="943">
        <f>项目基本情况!C17</f>
        <v>19251.75</v>
      </c>
      <c r="C4" s="943">
        <f>项目基本情况!C18</f>
        <v>0</v>
      </c>
      <c r="D4" s="943" t="e">
        <f ca="1">结果表!D118</f>
        <v>#REF!</v>
      </c>
      <c r="E4" s="943" t="e">
        <f ca="1">结果表!E118</f>
        <v>#REF!</v>
      </c>
      <c r="F4" s="943" t="e">
        <f ca="1">结果表!F118</f>
        <v>#REF!</v>
      </c>
      <c r="G4" s="943" t="e">
        <f ca="1">结果表!G118</f>
        <v>#REF!</v>
      </c>
      <c r="H4" s="943">
        <f ca="1">结果表!H118</f>
        <v>28832</v>
      </c>
      <c r="I4" s="943">
        <f ca="1">结果表!I118</f>
        <v>14976</v>
      </c>
    </row>
    <row r="5" spans="1:9" ht="30" customHeight="1">
      <c r="A5" s="3263" t="s">
        <v>1364</v>
      </c>
      <c r="B5" s="3263"/>
      <c r="C5" s="3263"/>
      <c r="D5" s="3264" t="e">
        <f ca="1">结果表!D119</f>
        <v>#REF!</v>
      </c>
      <c r="E5" s="3264"/>
      <c r="F5" s="3264" t="e">
        <f ca="1">结果表!F119</f>
        <v>#REF!</v>
      </c>
      <c r="G5" s="3264"/>
      <c r="H5" s="3264" t="str">
        <f ca="1">结果表!H119</f>
        <v>贰亿捌仟捌佰叁拾贰万元整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1364</v>
      </c>
      <c r="B7" s="3263"/>
      <c r="C7" s="3263"/>
      <c r="D7" s="3266" t="str">
        <f>结果表!D121</f>
        <v>零元整</v>
      </c>
      <c r="E7" s="3267"/>
      <c r="F7" s="3267"/>
      <c r="G7" s="3267"/>
      <c r="H7" s="3267"/>
      <c r="I7" s="3268"/>
    </row>
    <row r="8" spans="1:9" ht="15.75">
      <c r="A8" s="3265" t="str">
        <f>结果表!A122</f>
        <v>房地产抵押价值</v>
      </c>
      <c r="B8" s="3265"/>
      <c r="C8" s="3265"/>
      <c r="D8" s="3265">
        <f ca="1">结果表!D122</f>
        <v>28832</v>
      </c>
      <c r="E8" s="3265"/>
      <c r="F8" s="3265"/>
      <c r="G8" s="3265"/>
      <c r="H8" s="3265"/>
      <c r="I8" s="3265"/>
    </row>
    <row r="9" spans="1:9" ht="15">
      <c r="A9" s="3263" t="s">
        <v>1364</v>
      </c>
      <c r="B9" s="3263"/>
      <c r="C9" s="3263"/>
      <c r="D9" s="3264" t="str">
        <f ca="1">结果表!D123</f>
        <v>贰亿捌仟捌佰叁拾贰万元整</v>
      </c>
      <c r="E9" s="3264"/>
      <c r="F9" s="3264"/>
      <c r="G9" s="3264"/>
      <c r="H9" s="3264"/>
      <c r="I9" s="3264"/>
    </row>
    <row r="10" spans="1:9" ht="15.75">
      <c r="A10" s="3265" t="str">
        <f>结果表!A124</f>
        <v/>
      </c>
      <c r="B10" s="3265"/>
      <c r="C10" s="3265"/>
      <c r="D10" s="3265" t="str">
        <f>结果表!D124</f>
        <v>——</v>
      </c>
      <c r="E10" s="3265"/>
      <c r="F10" s="3265"/>
      <c r="G10" s="3265"/>
      <c r="H10" s="3265"/>
      <c r="I10" s="3265"/>
    </row>
    <row r="11" spans="1:9" ht="15">
      <c r="A11" s="3263" t="s">
        <v>1364</v>
      </c>
      <c r="B11" s="3263"/>
      <c r="C11" s="3263"/>
      <c r="D11" s="3264" t="e">
        <f>结果表!D125</f>
        <v>#VALUE!</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75" thickBot="1">
      <c r="A13" s="3269" t="s">
        <v>1364</v>
      </c>
      <c r="B13" s="3269"/>
      <c r="C13" s="3269"/>
      <c r="D13" s="3270" t="e">
        <f>结果表!D127</f>
        <v>#VALUE!</v>
      </c>
      <c r="E13" s="3270"/>
      <c r="F13" s="3270"/>
      <c r="G13" s="3270"/>
      <c r="H13" s="3270"/>
      <c r="I13" s="3270"/>
    </row>
    <row r="14" spans="1:9" ht="15" thickTop="1">
      <c r="A14" s="3271" t="s">
        <v>1369</v>
      </c>
      <c r="B14" s="3271"/>
      <c r="C14" s="3271"/>
      <c r="D14" s="3271"/>
      <c r="E14" s="3271"/>
      <c r="F14" s="3271"/>
      <c r="G14" s="3271"/>
      <c r="H14" s="3271"/>
      <c r="I14" s="327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2" t="s">
        <v>1386</v>
      </c>
      <c r="B1" s="3272"/>
      <c r="C1" s="3272"/>
      <c r="D1" s="3272"/>
    </row>
    <row r="2" spans="1:4" ht="18">
      <c r="A2" s="3273" t="s">
        <v>1370</v>
      </c>
      <c r="B2" s="3273"/>
      <c r="C2" s="3273"/>
      <c r="D2" s="3273"/>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73" t="s">
        <v>1376</v>
      </c>
      <c r="B6" s="3273"/>
      <c r="C6" s="3273"/>
      <c r="D6" s="3273"/>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4" t="s">
        <v>1379</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8" t="s">
        <v>1380</v>
      </c>
      <c r="B16" s="3278"/>
      <c r="C16" s="3278"/>
      <c r="D16" s="3278"/>
    </row>
    <row r="17" spans="1:4" ht="144" customHeight="1">
      <c r="A17" s="3278" t="s">
        <v>1381</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6" t="s">
        <v>1393</v>
      </c>
      <c r="B15" s="3281" t="s">
        <v>136</v>
      </c>
      <c r="C15" s="3282"/>
    </row>
    <row r="16" spans="1:7" ht="13.5">
      <c r="A16" s="3287"/>
      <c r="B16" s="3281" t="s">
        <v>69</v>
      </c>
      <c r="C16" s="3282"/>
    </row>
    <row r="17" spans="1:3" ht="13.5">
      <c r="A17" s="3287"/>
      <c r="B17" s="3284" t="s">
        <v>1394</v>
      </c>
      <c r="C17" s="1667" t="s">
        <v>1393</v>
      </c>
    </row>
    <row r="18" spans="1:3" ht="13.5">
      <c r="A18" s="3287"/>
      <c r="B18" s="3284"/>
      <c r="C18" s="1667" t="s">
        <v>1395</v>
      </c>
    </row>
    <row r="19" spans="1:3" ht="13.5">
      <c r="A19" s="3287"/>
      <c r="B19" s="3284"/>
      <c r="C19" s="1667" t="s">
        <v>1396</v>
      </c>
    </row>
    <row r="20" spans="1:3" ht="13.5">
      <c r="A20" s="3288"/>
      <c r="B20" s="3283" t="s">
        <v>1397</v>
      </c>
      <c r="C20" s="3282"/>
    </row>
    <row r="21" spans="1:3" ht="13.5">
      <c r="A21" s="1668" t="s">
        <v>1398</v>
      </c>
      <c r="B21" s="1669"/>
      <c r="C21" s="1670"/>
    </row>
    <row r="22" spans="1:3" ht="13.5">
      <c r="A22" s="3285" t="s">
        <v>1399</v>
      </c>
      <c r="B22" s="3283" t="s">
        <v>1400</v>
      </c>
      <c r="C22" s="3282"/>
    </row>
    <row r="23" spans="1:3" ht="13.5">
      <c r="A23" s="3285"/>
      <c r="B23" s="3283" t="s">
        <v>1401</v>
      </c>
      <c r="C23" s="3282"/>
    </row>
    <row r="24" spans="1:3" ht="13.5">
      <c r="A24" s="3285"/>
      <c r="B24" s="3283" t="s">
        <v>1402</v>
      </c>
      <c r="C24" s="3282"/>
    </row>
    <row r="25" spans="1:3" ht="13.5">
      <c r="A25" s="3285"/>
      <c r="B25" s="3284" t="s">
        <v>1403</v>
      </c>
      <c r="C25" s="1667" t="s">
        <v>1404</v>
      </c>
    </row>
    <row r="26" spans="1:3" ht="13.5">
      <c r="A26" s="3285"/>
      <c r="B26" s="3284"/>
      <c r="C26" s="1667" t="s">
        <v>1405</v>
      </c>
    </row>
    <row r="27" spans="1:3" ht="13.5">
      <c r="A27" s="3285"/>
      <c r="B27" s="3284"/>
      <c r="C27" s="1667" t="s">
        <v>1406</v>
      </c>
    </row>
    <row r="28" spans="1:3" ht="13.5">
      <c r="A28" s="3285"/>
      <c r="B28" s="3284"/>
      <c r="C28" s="1667" t="s">
        <v>1407</v>
      </c>
    </row>
    <row r="29" spans="1:3" ht="13.5">
      <c r="A29" s="3285"/>
      <c r="B29" s="3284"/>
      <c r="C29" s="1667" t="s">
        <v>1408</v>
      </c>
    </row>
    <row r="30" spans="1:3" ht="13.5">
      <c r="A30" s="3285"/>
      <c r="B30" s="3284"/>
      <c r="C30" s="1667" t="s">
        <v>1409</v>
      </c>
    </row>
    <row r="31" spans="1:3" ht="13.5">
      <c r="A31" s="3285"/>
      <c r="B31" s="3284"/>
      <c r="C31" s="1667" t="s">
        <v>1410</v>
      </c>
    </row>
    <row r="32" spans="1:3" ht="13.5">
      <c r="A32" s="3285"/>
      <c r="B32" s="3284"/>
      <c r="C32" s="1667" t="s">
        <v>1411</v>
      </c>
    </row>
    <row r="33" spans="1:3" ht="13.5">
      <c r="A33" s="3285"/>
      <c r="B33" s="328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44769</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9" t="s">
        <v>2660</v>
      </c>
      <c r="B17" s="3289"/>
      <c r="C17" s="3289"/>
      <c r="D17" s="3289"/>
      <c r="E17" s="3289"/>
      <c r="F17" s="3289"/>
      <c r="G17" s="3289"/>
      <c r="H17" s="3289"/>
    </row>
    <row r="18" spans="1:8" ht="24" customHeight="1">
      <c r="A18" s="3290" t="s">
        <v>2661</v>
      </c>
      <c r="B18" s="3290"/>
      <c r="C18" s="3290"/>
      <c r="D18" s="2516"/>
      <c r="E18" s="3291" t="s">
        <v>2662</v>
      </c>
      <c r="F18" s="3290"/>
      <c r="G18" s="3290"/>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2022-07-27T02:04:59Z</dcterms:modified>
</cp:coreProperties>
</file>