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340" windowHeight="10710" tabRatio="875" firstSheet="20"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6号规划指标" sheetId="69" r:id="rId13"/>
    <sheet name="数据-汇总表" sheetId="6" r:id="rId14"/>
    <sheet name="数据-取费表" sheetId="1" r:id="rId15"/>
    <sheet name="估价对象房地状况" sheetId="20" r:id="rId16"/>
    <sheet name="系统读取表" sheetId="66" r:id="rId17"/>
    <sheet name="结果表" sheetId="9" r:id="rId18"/>
    <sheet name="净值" sheetId="75"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r:id="rId34"/>
    <sheet name="不动产比较法-商业" sheetId="33" r:id="rId35"/>
    <sheet name="不动产比较法-办公" sheetId="34" state="hidden" r:id="rId36"/>
    <sheet name="不动产比较法-工业" sheetId="37" state="hidden" r:id="rId37"/>
    <sheet name="典型户型修正" sheetId="31" r:id="rId38"/>
    <sheet name="不动产比较法-公寓" sheetId="73" r:id="rId39"/>
    <sheet name="不动产比较法-车位" sheetId="35" state="hidden" r:id="rId40"/>
    <sheet name="不动产比较法-仓储" sheetId="36" state="hidden" r:id="rId41"/>
    <sheet name="存贷款利率" sheetId="65" state="hidden" r:id="rId42"/>
    <sheet name="不动产收益法" sheetId="15" r:id="rId43"/>
    <sheet name="土地案例" sheetId="70" r:id="rId44"/>
    <sheet name="住宅案例" sheetId="71" r:id="rId45"/>
    <sheet name="商业案例" sheetId="72" r:id="rId46"/>
    <sheet name="Sheet4" sheetId="74"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8"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5">'不动产比较法-办公'!$A$1:$K$55,'不动产比较法-办公'!$A$58:$M$132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6">'不动产比较法-工业'!$A$1:$K$48,'不动产比较法-工业'!$A$51:$M$113</definedName>
    <definedName name="_xlnm.Print_Area" localSheetId="38">'不动产比较法-公寓'!$A$57:$M$131</definedName>
    <definedName name="_xlnm.Print_Area" localSheetId="34">'不动产比较法-商业'!$A$1:$K$54,'不动产比较法-商业'!$A$57:$M$131</definedName>
    <definedName name="_xlnm.Print_Area" localSheetId="33">'不动产比较法-住宅'!$A$57:$M$131</definedName>
    <definedName name="_xlnm.Print_Area" localSheetId="42">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8">'不动产比较法-公寓'!$B$88:$M$88</definedName>
    <definedName name="住宅朝向">'不动产比较法-住宅'!$B$88:$M$88</definedName>
    <definedName name="住宅房型" localSheetId="38">'不动产比较法-公寓'!$B$118:$M$118</definedName>
    <definedName name="住宅房型">'不动产比较法-住宅'!$B$118:$M$118</definedName>
    <definedName name="住宅公共部分装修" localSheetId="38">'不动产比较法-公寓'!$B$109:$M$109</definedName>
    <definedName name="住宅公共部分装修">'不动产比较法-住宅'!$B$109:$M$109</definedName>
    <definedName name="住宅基础设施水平" localSheetId="38">'不动产比较法-公寓'!$B$116:$M$116</definedName>
    <definedName name="住宅基础设施水平">'不动产比较法-住宅'!$B$116:$M$116</definedName>
    <definedName name="住宅建筑结构" localSheetId="38">'不动产比较法-公寓'!$B$105:$M$105</definedName>
    <definedName name="住宅建筑结构">'不动产比较法-住宅'!$B$105:$M$105</definedName>
    <definedName name="住宅建筑类型" localSheetId="38">'不动产比较法-公寓'!$B$100:$M$100</definedName>
    <definedName name="住宅建筑类型">'不动产比较法-住宅'!$B$100:$M$100</definedName>
    <definedName name="住宅建筑品质" localSheetId="38">'不动产比较法-公寓'!$B$107:$M$107</definedName>
    <definedName name="住宅建筑品质">'不动产比较法-住宅'!$B$107:$M$107</definedName>
    <definedName name="住宅交易情况" localSheetId="38">'不动产比较法-公寓'!$A$61:$M$61</definedName>
    <definedName name="住宅交易情况">'不动产比较法-住宅'!$A$61:$M$61</definedName>
    <definedName name="住宅楼层" localSheetId="38">'不动产比较法-公寓'!$B$86:$M$86</definedName>
    <definedName name="住宅楼层">'不动产比较法-住宅'!$B$86:$M$86</definedName>
    <definedName name="住宅内部装修" localSheetId="38">'不动产比较法-公寓'!$B$122:$M$122</definedName>
    <definedName name="住宅内部装修">'不动产比较法-住宅'!$B$122:$M$122</definedName>
    <definedName name="住宅物业管理" localSheetId="38">'不动产比较法-公寓'!$B$114:$M$114</definedName>
    <definedName name="住宅物业管理">'不动产比较法-住宅'!$B$114:$M$114</definedName>
    <definedName name="住宅用途" localSheetId="38">'不动产比较法-公寓'!$B$63:$M$63</definedName>
    <definedName name="住宅用途">'不动产比较法-住宅'!$B$63:$M$63</definedName>
    <definedName name="住宅主力户型面积" localSheetId="38">'不动产比较法-公寓'!$B$120:$M$120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5" i="21" l="1"/>
  <c r="G5" i="21"/>
  <c r="E5" i="21"/>
  <c r="G15" i="66" l="1"/>
  <c r="F14" i="75"/>
  <c r="F8" i="75"/>
  <c r="F9" i="75"/>
  <c r="G20" i="75"/>
  <c r="F20" i="75"/>
  <c r="G19" i="75"/>
  <c r="F19" i="75"/>
  <c r="F16" i="75"/>
  <c r="G16" i="75"/>
  <c r="F17" i="75"/>
  <c r="G17" i="75"/>
  <c r="F18" i="75"/>
  <c r="G18" i="75"/>
  <c r="G15" i="75"/>
  <c r="F15" i="75"/>
  <c r="H11" i="75"/>
  <c r="F13" i="75"/>
  <c r="G13" i="75"/>
  <c r="F11" i="75"/>
  <c r="G11" i="75"/>
  <c r="F12" i="75"/>
  <c r="G12" i="75"/>
  <c r="G10" i="75"/>
  <c r="F10" i="75"/>
  <c r="B15" i="66" l="1"/>
  <c r="C15" i="66"/>
  <c r="L14" i="1"/>
  <c r="L9" i="1"/>
  <c r="L8" i="1"/>
  <c r="L7" i="1"/>
  <c r="Q21" i="1"/>
  <c r="Q20" i="1"/>
  <c r="Q19" i="1"/>
  <c r="I40" i="39" l="1"/>
  <c r="E40" i="39"/>
  <c r="I9" i="39"/>
  <c r="E9" i="39"/>
  <c r="I7" i="39"/>
  <c r="E7" i="39"/>
  <c r="E24" i="69" l="1"/>
  <c r="I7" i="73" l="1"/>
  <c r="G7" i="73"/>
  <c r="I7" i="33"/>
  <c r="G7" i="33"/>
  <c r="I7" i="21"/>
  <c r="G7" i="21"/>
  <c r="I47" i="73" l="1"/>
  <c r="G47" i="73"/>
  <c r="E47" i="73"/>
  <c r="I33" i="73"/>
  <c r="G33" i="73"/>
  <c r="E33" i="73"/>
  <c r="I5" i="73"/>
  <c r="G5" i="73"/>
  <c r="E5" i="73"/>
  <c r="C145" i="73"/>
  <c r="K139" i="73" s="1"/>
  <c r="J142" i="73"/>
  <c r="J140" i="73"/>
  <c r="B130" i="73"/>
  <c r="H46" i="73" s="1"/>
  <c r="AB46" i="73" s="1"/>
  <c r="B128" i="73"/>
  <c r="B126" i="73"/>
  <c r="D125" i="73"/>
  <c r="E125" i="73" s="1"/>
  <c r="F125" i="73" s="1"/>
  <c r="G125" i="73" s="1"/>
  <c r="D123" i="73"/>
  <c r="E123" i="73" s="1"/>
  <c r="F123" i="73" s="1"/>
  <c r="F42" i="73" s="1"/>
  <c r="AA42"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F89" i="73"/>
  <c r="G89" i="73" s="1"/>
  <c r="H89" i="73" s="1"/>
  <c r="I89" i="73" s="1"/>
  <c r="J89" i="73" s="1"/>
  <c r="K89" i="73" s="1"/>
  <c r="L89" i="73" s="1"/>
  <c r="M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P49" i="73"/>
  <c r="P48" i="73"/>
  <c r="K48" i="73"/>
  <c r="P47" i="73"/>
  <c r="T47" i="73"/>
  <c r="Q46" i="73"/>
  <c r="Z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Q37" i="73"/>
  <c r="Z37" i="73" s="1"/>
  <c r="W36" i="73"/>
  <c r="Q36" i="73"/>
  <c r="Z36" i="73" s="1"/>
  <c r="J36" i="73"/>
  <c r="AC36" i="73" s="1"/>
  <c r="H36" i="73"/>
  <c r="AB36" i="73" s="1"/>
  <c r="F36" i="73"/>
  <c r="AA36" i="73" s="1"/>
  <c r="Q35" i="73"/>
  <c r="Z35" i="73" s="1"/>
  <c r="J35" i="73"/>
  <c r="AC35" i="73" s="1"/>
  <c r="H35" i="73"/>
  <c r="U35" i="73" s="1"/>
  <c r="F35" i="73"/>
  <c r="AA35" i="73" s="1"/>
  <c r="Q34" i="73"/>
  <c r="Z34" i="73" s="1"/>
  <c r="J34" i="73"/>
  <c r="AC34" i="73" s="1"/>
  <c r="H34" i="73"/>
  <c r="U34" i="73" s="1"/>
  <c r="F34" i="73"/>
  <c r="AA34" i="73" s="1"/>
  <c r="Q33" i="73"/>
  <c r="Z33" i="73" s="1"/>
  <c r="Q32" i="73"/>
  <c r="Z32" i="73" s="1"/>
  <c r="J32" i="73"/>
  <c r="W32" i="73" s="1"/>
  <c r="H32" i="73"/>
  <c r="U32" i="73" s="1"/>
  <c r="F32" i="73"/>
  <c r="AA32" i="73" s="1"/>
  <c r="Q31" i="73"/>
  <c r="Z31" i="73" s="1"/>
  <c r="J31" i="73"/>
  <c r="W31" i="73" s="1"/>
  <c r="H31" i="73"/>
  <c r="U31" i="73" s="1"/>
  <c r="F31" i="73"/>
  <c r="AA31" i="73" s="1"/>
  <c r="Q30" i="73"/>
  <c r="Z30" i="73" s="1"/>
  <c r="J30" i="73"/>
  <c r="AC30" i="73" s="1"/>
  <c r="H30" i="73"/>
  <c r="AB30" i="73" s="1"/>
  <c r="F30" i="73"/>
  <c r="S30" i="73" s="1"/>
  <c r="Q29" i="73"/>
  <c r="Z29" i="73" s="1"/>
  <c r="J29" i="73"/>
  <c r="W29" i="73" s="1"/>
  <c r="H29" i="73"/>
  <c r="AB29" i="73" s="1"/>
  <c r="F29" i="73"/>
  <c r="S29" i="73" s="1"/>
  <c r="Q28" i="73"/>
  <c r="Z28" i="73" s="1"/>
  <c r="J28" i="73"/>
  <c r="W28" i="73" s="1"/>
  <c r="H28" i="73"/>
  <c r="AB28" i="73" s="1"/>
  <c r="F28" i="73"/>
  <c r="AA28" i="73" s="1"/>
  <c r="Q27" i="73"/>
  <c r="Z27" i="73" s="1"/>
  <c r="J27" i="73"/>
  <c r="W27" i="73" s="1"/>
  <c r="H27" i="73"/>
  <c r="AB27" i="73" s="1"/>
  <c r="F27" i="73"/>
  <c r="S27" i="73" s="1"/>
  <c r="Q26" i="73"/>
  <c r="Z26" i="73" s="1"/>
  <c r="J26" i="73"/>
  <c r="AC26" i="73" s="1"/>
  <c r="H26" i="73"/>
  <c r="U26" i="73" s="1"/>
  <c r="F26" i="73"/>
  <c r="S26" i="73" s="1"/>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U8" i="73" s="1"/>
  <c r="F8" i="73"/>
  <c r="AA8" i="73" s="1"/>
  <c r="I33" i="33"/>
  <c r="G33" i="33"/>
  <c r="E33" i="33"/>
  <c r="I5" i="33"/>
  <c r="G5" i="33"/>
  <c r="E5" i="33"/>
  <c r="I47" i="21"/>
  <c r="G47" i="21"/>
  <c r="E47" i="21"/>
  <c r="I33" i="21"/>
  <c r="G33" i="21"/>
  <c r="E33" i="21"/>
  <c r="I11" i="21"/>
  <c r="G11" i="21"/>
  <c r="E11" i="21"/>
  <c r="AC31" i="73" l="1"/>
  <c r="J46" i="73"/>
  <c r="AC46" i="73" s="1"/>
  <c r="K145" i="73"/>
  <c r="R47" i="73"/>
  <c r="E50" i="73"/>
  <c r="AB8" i="73"/>
  <c r="U28" i="73"/>
  <c r="K143" i="73"/>
  <c r="S8" i="73"/>
  <c r="AC25" i="73"/>
  <c r="AC28" i="73"/>
  <c r="K141" i="73"/>
  <c r="AA26" i="73"/>
  <c r="AA29" i="73"/>
  <c r="AB35" i="73"/>
  <c r="W40" i="73"/>
  <c r="I54" i="73"/>
  <c r="J54" i="73" s="1"/>
  <c r="AB32"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G40" i="39"/>
  <c r="G9" i="39"/>
  <c r="G7" i="39"/>
  <c r="AB42" i="73" l="1"/>
  <c r="U42" i="73"/>
  <c r="AA23" i="73"/>
  <c r="S23" i="73"/>
  <c r="AA19" i="73"/>
  <c r="S19" i="73"/>
  <c r="AC19" i="73"/>
  <c r="W19" i="73"/>
  <c r="AC42" i="73"/>
  <c r="W42" i="73"/>
  <c r="AB19" i="73"/>
  <c r="U19" i="73"/>
  <c r="AC37" i="73"/>
  <c r="W37" i="73"/>
  <c r="AA37" i="73"/>
  <c r="S37" i="73"/>
  <c r="AB37" i="73"/>
  <c r="U37" i="73"/>
  <c r="F21" i="6"/>
  <c r="AN13" i="3"/>
  <c r="AL13" i="3"/>
  <c r="AH13" i="3"/>
  <c r="AD13" i="3"/>
  <c r="O13" i="3"/>
  <c r="G22" i="6" s="1"/>
  <c r="M13" i="3"/>
  <c r="F20" i="6" s="1"/>
  <c r="B24" i="31" s="1"/>
  <c r="B25" i="31" s="1"/>
  <c r="K13" i="3"/>
  <c r="I13" i="3"/>
  <c r="F19" i="6" s="1"/>
  <c r="A3" i="3"/>
  <c r="C40" i="39" s="1"/>
  <c r="E28"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s="1"/>
  <c r="AG25" i="59"/>
  <c r="AH25" i="59"/>
  <c r="AD25" i="59"/>
  <c r="Q25" i="59"/>
  <c r="P25" i="59"/>
  <c r="E25" i="59" s="1"/>
  <c r="E24" i="59" s="1"/>
  <c r="E23" i="59" s="1"/>
  <c r="E22" i="59" s="1"/>
  <c r="E21" i="59" s="1"/>
  <c r="E20" i="59" s="1"/>
  <c r="E19" i="59" s="1"/>
  <c r="E18" i="59" s="1"/>
  <c r="O25" i="59"/>
  <c r="N25" i="59"/>
  <c r="N26" i="59"/>
  <c r="Q26" i="59"/>
  <c r="P26" i="59"/>
  <c r="O26"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L76" i="9" s="1"/>
  <c r="B22" i="31"/>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Y12" i="46"/>
  <c r="AA9" i="46"/>
  <c r="AA10" i="46" s="1"/>
  <c r="AB9" i="46"/>
  <c r="AB10" i="46" s="1"/>
  <c r="AC9" i="46"/>
  <c r="AC10" i="46" s="1"/>
  <c r="AD9" i="46"/>
  <c r="AD10" i="46" s="1"/>
  <c r="AE9" i="46"/>
  <c r="AF9" i="46"/>
  <c r="AF10" i="46" s="1"/>
  <c r="AG9" i="46"/>
  <c r="AG10" i="46" s="1"/>
  <c r="AH9" i="46"/>
  <c r="AH10" i="46" s="1"/>
  <c r="AI9" i="46"/>
  <c r="AI10" i="46" s="1"/>
  <c r="AJ9" i="46"/>
  <c r="AJ10" i="46" s="1"/>
  <c r="Z9" i="46"/>
  <c r="Z10" i="46" s="1"/>
  <c r="AE10" i="46"/>
  <c r="Y10" i="46"/>
  <c r="Z12" i="46"/>
  <c r="AE12" i="46"/>
  <c r="B73" i="63"/>
  <c r="A21" i="64"/>
  <c r="B75" i="63" s="1"/>
  <c r="A27" i="64"/>
  <c r="A15" i="64"/>
  <c r="A14" i="64"/>
  <c r="A11" i="64"/>
  <c r="A3" i="64"/>
  <c r="A45" i="9"/>
  <c r="A46" i="9" s="1"/>
  <c r="K41" i="9" s="1"/>
  <c r="A44" i="9"/>
  <c r="K39" i="9" s="1"/>
  <c r="C57" i="10"/>
  <c r="C56" i="10"/>
  <c r="C55" i="10"/>
  <c r="C54" i="10"/>
  <c r="A26" i="64" s="1"/>
  <c r="B44" i="63"/>
  <c r="B40" i="63"/>
  <c r="B30" i="63"/>
  <c r="B27" i="63"/>
  <c r="B25" i="63"/>
  <c r="A11" i="51"/>
  <c r="B10" i="63" s="1"/>
  <c r="A26" i="51"/>
  <c r="B19" i="63" s="1"/>
  <c r="B58"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c r="B40" i="50"/>
  <c r="B3" i="63" s="1"/>
  <c r="I19" i="46"/>
  <c r="Q29" i="59"/>
  <c r="F29" i="59" s="1"/>
  <c r="P29" i="59"/>
  <c r="E29" i="59" s="1"/>
  <c r="O29" i="59"/>
  <c r="N29" i="59"/>
  <c r="D90" i="59"/>
  <c r="F89" i="59"/>
  <c r="F88" i="59" s="1"/>
  <c r="F87" i="59" s="1"/>
  <c r="E89" i="59"/>
  <c r="E88" i="59" s="1"/>
  <c r="E87" i="59" s="1"/>
  <c r="C89" i="59"/>
  <c r="C88" i="59" s="1"/>
  <c r="B89" i="59"/>
  <c r="B88" i="59" s="1"/>
  <c r="B87" i="59" s="1"/>
  <c r="D86" i="59"/>
  <c r="F85" i="59"/>
  <c r="F84" i="59" s="1"/>
  <c r="F83" i="59" s="1"/>
  <c r="E85" i="59"/>
  <c r="E84" i="59"/>
  <c r="E83" i="59" s="1"/>
  <c r="C85" i="59"/>
  <c r="C84" i="59" s="1"/>
  <c r="B85" i="59"/>
  <c r="B84" i="59" s="1"/>
  <c r="B83" i="59" s="1"/>
  <c r="D82" i="59"/>
  <c r="Q81" i="59"/>
  <c r="P81" i="59"/>
  <c r="O81" i="59"/>
  <c r="N81" i="59"/>
  <c r="F81" i="59"/>
  <c r="V81" i="59" s="1"/>
  <c r="E81" i="59"/>
  <c r="U81" i="59" s="1"/>
  <c r="C81" i="59"/>
  <c r="T81" i="59"/>
  <c r="B81" i="59"/>
  <c r="S81" i="59" s="1"/>
  <c r="Q80" i="59"/>
  <c r="P80" i="59"/>
  <c r="O80" i="59"/>
  <c r="N80" i="59"/>
  <c r="Q79" i="59"/>
  <c r="P79" i="59"/>
  <c r="O79" i="59"/>
  <c r="N79" i="59"/>
  <c r="Q78" i="59"/>
  <c r="P78" i="59"/>
  <c r="O78" i="59"/>
  <c r="N78" i="59"/>
  <c r="D78" i="59"/>
  <c r="Q77" i="59"/>
  <c r="P77" i="59"/>
  <c r="O77" i="59"/>
  <c r="N77" i="59"/>
  <c r="F77" i="59"/>
  <c r="V77" i="59" s="1"/>
  <c r="E77" i="59"/>
  <c r="U77" i="59"/>
  <c r="C77" i="59"/>
  <c r="B77" i="59"/>
  <c r="S77" i="59" s="1"/>
  <c r="Q76" i="59"/>
  <c r="P76" i="59"/>
  <c r="O76" i="59"/>
  <c r="N76"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P69" i="59" s="1"/>
  <c r="C69" i="59"/>
  <c r="B69" i="59"/>
  <c r="F68" i="59"/>
  <c r="F67" i="59" s="1"/>
  <c r="D66" i="59"/>
  <c r="Q65" i="59"/>
  <c r="P65" i="59"/>
  <c r="O65" i="59"/>
  <c r="N65" i="59"/>
  <c r="Q64" i="59"/>
  <c r="P64" i="59"/>
  <c r="O64" i="59"/>
  <c r="N64" i="59"/>
  <c r="Q63" i="59"/>
  <c r="P63" i="59"/>
  <c r="O63" i="59"/>
  <c r="N63" i="59"/>
  <c r="B64" i="59" s="1"/>
  <c r="B65" i="59" s="1"/>
  <c r="S65" i="59" s="1"/>
  <c r="Q62" i="59"/>
  <c r="F63" i="59" s="1"/>
  <c r="F64" i="59" s="1"/>
  <c r="F65" i="59" s="1"/>
  <c r="V65" i="59" s="1"/>
  <c r="P62" i="59"/>
  <c r="E63" i="59"/>
  <c r="O62" i="59"/>
  <c r="C63" i="59" s="1"/>
  <c r="N62" i="59"/>
  <c r="B63" i="59" s="1"/>
  <c r="D62" i="59"/>
  <c r="Q61" i="59"/>
  <c r="P61" i="59"/>
  <c r="O61" i="59"/>
  <c r="N61" i="59"/>
  <c r="Q60" i="59"/>
  <c r="P60" i="59"/>
  <c r="O60" i="59"/>
  <c r="N60" i="59"/>
  <c r="Q59" i="59"/>
  <c r="P59" i="59"/>
  <c r="O59" i="59"/>
  <c r="N59" i="59"/>
  <c r="Q58" i="59"/>
  <c r="F59" i="59" s="1"/>
  <c r="F60" i="59" s="1"/>
  <c r="P58" i="59"/>
  <c r="E59" i="59" s="1"/>
  <c r="E60" i="59" s="1"/>
  <c r="E61" i="59"/>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B52" i="59" s="1"/>
  <c r="B53" i="59" s="1"/>
  <c r="S53" i="59" s="1"/>
  <c r="Q50" i="59"/>
  <c r="F51" i="59" s="1"/>
  <c r="F52" i="59" s="1"/>
  <c r="F53" i="59" s="1"/>
  <c r="V53" i="59" s="1"/>
  <c r="P50" i="59"/>
  <c r="E51" i="59"/>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Y40" i="59" s="1"/>
  <c r="Z40" i="59" s="1"/>
  <c r="N40" i="59"/>
  <c r="X40" i="59" s="1"/>
  <c r="Q39" i="59"/>
  <c r="P39" i="59"/>
  <c r="O39" i="59"/>
  <c r="N39" i="59"/>
  <c r="Q38" i="59"/>
  <c r="P38" i="59"/>
  <c r="E39" i="59" s="1"/>
  <c r="E40" i="59" s="1"/>
  <c r="E41" i="59" s="1"/>
  <c r="U41" i="59" s="1"/>
  <c r="O38" i="59"/>
  <c r="N38" i="59"/>
  <c r="B39" i="59"/>
  <c r="D38" i="59"/>
  <c r="Q37" i="59"/>
  <c r="P37" i="59"/>
  <c r="O37" i="59"/>
  <c r="N37" i="59"/>
  <c r="X37" i="59" s="1"/>
  <c r="Q36" i="59"/>
  <c r="P36" i="59"/>
  <c r="O36" i="59"/>
  <c r="N36" i="59"/>
  <c r="X36" i="59" s="1"/>
  <c r="Q35" i="59"/>
  <c r="P35" i="59"/>
  <c r="O35" i="59"/>
  <c r="N35" i="59"/>
  <c r="X35" i="59" s="1"/>
  <c r="Q34" i="59"/>
  <c r="F35" i="59" s="1"/>
  <c r="F36" i="59" s="1"/>
  <c r="F37" i="59" s="1"/>
  <c r="V37" i="59" s="1"/>
  <c r="P34" i="59"/>
  <c r="E35" i="59" s="1"/>
  <c r="E36" i="59" s="1"/>
  <c r="E37" i="59" s="1"/>
  <c r="U37" i="59" s="1"/>
  <c r="O34" i="59"/>
  <c r="C35" i="59" s="1"/>
  <c r="N34" i="59"/>
  <c r="D34" i="59"/>
  <c r="Q33" i="59"/>
  <c r="P33" i="59"/>
  <c r="O33" i="59"/>
  <c r="N33" i="59"/>
  <c r="Q32" i="59"/>
  <c r="AB32" i="59" s="1"/>
  <c r="P32" i="59"/>
  <c r="O32" i="59"/>
  <c r="N32" i="59"/>
  <c r="Q31" i="59"/>
  <c r="P31" i="59"/>
  <c r="O31" i="59"/>
  <c r="N31" i="59"/>
  <c r="Q30" i="59"/>
  <c r="F31" i="59" s="1"/>
  <c r="F32" i="59" s="1"/>
  <c r="F33" i="59" s="1"/>
  <c r="V33" i="59" s="1"/>
  <c r="P30" i="59"/>
  <c r="E31" i="59" s="1"/>
  <c r="E32" i="59" s="1"/>
  <c r="E33" i="59" s="1"/>
  <c r="U33" i="59" s="1"/>
  <c r="O30" i="59"/>
  <c r="N30" i="59"/>
  <c r="B31" i="59"/>
  <c r="D30" i="59"/>
  <c r="AA40" i="59"/>
  <c r="F61" i="59"/>
  <c r="V61" i="59" s="1"/>
  <c r="C44" i="59"/>
  <c r="C45" i="59" s="1"/>
  <c r="D43" i="59"/>
  <c r="D55" i="59"/>
  <c r="T69" i="59"/>
  <c r="O69" i="59"/>
  <c r="D69" i="59"/>
  <c r="C68" i="59"/>
  <c r="D68" i="59" s="1"/>
  <c r="Q69" i="59"/>
  <c r="E72" i="59"/>
  <c r="E71" i="59" s="1"/>
  <c r="E76" i="59"/>
  <c r="E75" i="59" s="1"/>
  <c r="C80" i="59"/>
  <c r="C79" i="59" s="1"/>
  <c r="D79" i="59" s="1"/>
  <c r="E80" i="59"/>
  <c r="E79" i="59" s="1"/>
  <c r="D81" i="59"/>
  <c r="U16" i="4"/>
  <c r="S16" i="4"/>
  <c r="Q16" i="4"/>
  <c r="O16" i="4"/>
  <c r="M16" i="4"/>
  <c r="K16" i="4"/>
  <c r="D80" i="59"/>
  <c r="C67" i="59"/>
  <c r="D67" i="59" s="1"/>
  <c r="O68"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B85" i="46" s="1"/>
  <c r="C22" i="20"/>
  <c r="S21" i="37"/>
  <c r="C27" i="40"/>
  <c r="H18" i="35"/>
  <c r="J18" i="35"/>
  <c r="H21" i="37"/>
  <c r="J21" i="37"/>
  <c r="E84" i="34"/>
  <c r="F84" i="34" s="1"/>
  <c r="G84" i="34" s="1"/>
  <c r="J21" i="34"/>
  <c r="H21" i="34"/>
  <c r="F21" i="33"/>
  <c r="S21" i="33" s="1"/>
  <c r="H21" i="33"/>
  <c r="J21" i="33"/>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c r="L99" i="46"/>
  <c r="L100" i="46" s="1"/>
  <c r="M99" i="46"/>
  <c r="M108" i="46" s="1"/>
  <c r="N99" i="46"/>
  <c r="N108" i="46" s="1"/>
  <c r="C99" i="46"/>
  <c r="C108" i="46" s="1"/>
  <c r="K58" i="46"/>
  <c r="J58" i="46" s="1"/>
  <c r="D58" i="46"/>
  <c r="K50" i="46"/>
  <c r="D83" i="46"/>
  <c r="D77" i="46"/>
  <c r="B83" i="46"/>
  <c r="B82" i="46"/>
  <c r="B71" i="46"/>
  <c r="B60" i="46"/>
  <c r="B49" i="46"/>
  <c r="M87" i="46"/>
  <c r="N87" i="46"/>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s="1"/>
  <c r="C64" i="39" s="1"/>
  <c r="H63" i="39"/>
  <c r="I63" i="39" s="1"/>
  <c r="C63" i="39" s="1"/>
  <c r="H61" i="39"/>
  <c r="I61" i="39"/>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AP8"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D3" i="33" s="1"/>
  <c r="E21" i="6"/>
  <c r="D3" i="73"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221" i="31"/>
  <c r="S478" i="31"/>
  <c r="S46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F41" i="21"/>
  <c r="S41" i="21" s="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C23" i="37"/>
  <c r="C19" i="37"/>
  <c r="C17" i="37"/>
  <c r="C15" i="37"/>
  <c r="B112" i="37"/>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F75" i="37" s="1"/>
  <c r="D73" i="37"/>
  <c r="E73" i="37" s="1"/>
  <c r="F73" i="37" s="1"/>
  <c r="G73" i="37" s="1"/>
  <c r="D71" i="37"/>
  <c r="E71" i="37" s="1"/>
  <c r="F71" i="37"/>
  <c r="G71" i="37"/>
  <c r="F15" i="37"/>
  <c r="AA15" i="37" s="1"/>
  <c r="B68" i="37"/>
  <c r="H14" i="37"/>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c r="H29" i="37"/>
  <c r="U29" i="37"/>
  <c r="Q28" i="37"/>
  <c r="Z28" i="37"/>
  <c r="Q27" i="37"/>
  <c r="Z27" i="37"/>
  <c r="Q26" i="37"/>
  <c r="Z26" i="37"/>
  <c r="F26" i="37"/>
  <c r="AA26" i="37" s="1"/>
  <c r="Q25" i="37"/>
  <c r="Z25" i="37" s="1"/>
  <c r="Q23" i="37"/>
  <c r="Z23" i="37"/>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J25" i="36" s="1"/>
  <c r="W25" i="36" s="1"/>
  <c r="B73" i="36"/>
  <c r="J24" i="36" s="1"/>
  <c r="W24" i="36"/>
  <c r="B71" i="36"/>
  <c r="H23" i="36" s="1"/>
  <c r="D70" i="36"/>
  <c r="H22" i="36"/>
  <c r="AB22" i="36"/>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AB23" i="36"/>
  <c r="Q22" i="36"/>
  <c r="Z22" i="36" s="1"/>
  <c r="J22" i="36"/>
  <c r="AC22" i="36" s="1"/>
  <c r="Q20" i="36"/>
  <c r="Z20" i="36"/>
  <c r="Q16" i="36"/>
  <c r="Z16" i="36" s="1"/>
  <c r="Q14" i="36"/>
  <c r="Z14" i="36"/>
  <c r="Q13" i="36"/>
  <c r="Z13" i="36" s="1"/>
  <c r="Q12" i="36"/>
  <c r="Z12" i="36"/>
  <c r="H12" i="36"/>
  <c r="U12" i="36" s="1"/>
  <c r="Q11" i="36"/>
  <c r="Z11" i="36" s="1"/>
  <c r="Q10" i="36"/>
  <c r="Z10" i="36" s="1"/>
  <c r="F10" i="36"/>
  <c r="AA10" i="36"/>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J34" i="35" s="1"/>
  <c r="AC34" i="35" s="1"/>
  <c r="B77" i="35"/>
  <c r="B75" i="35"/>
  <c r="J24" i="35"/>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F14" i="33" s="1"/>
  <c r="AA14" i="33" s="1"/>
  <c r="B72" i="33"/>
  <c r="B70" i="33"/>
  <c r="F12" i="33" s="1"/>
  <c r="S12" i="33" s="1"/>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s="1"/>
  <c r="F66" i="35" s="1"/>
  <c r="G66" i="35" s="1"/>
  <c r="D64" i="35"/>
  <c r="E64" i="35"/>
  <c r="F64" i="35" s="1"/>
  <c r="G64" i="35" s="1"/>
  <c r="F56" i="35"/>
  <c r="G56" i="35" s="1"/>
  <c r="H56" i="35" s="1"/>
  <c r="I56" i="35" s="1"/>
  <c r="C53" i="35"/>
  <c r="J9" i="35" s="1"/>
  <c r="W9" i="35" s="1"/>
  <c r="H9" i="35"/>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c r="J28" i="35"/>
  <c r="H28" i="35"/>
  <c r="F28" i="35"/>
  <c r="AA28" i="35"/>
  <c r="Q27" i="35"/>
  <c r="Z27" i="35" s="1"/>
  <c r="Q26" i="35"/>
  <c r="Z26" i="35"/>
  <c r="Q25" i="35"/>
  <c r="Z25" i="35" s="1"/>
  <c r="Q24" i="35"/>
  <c r="Z24" i="35"/>
  <c r="Q23" i="35"/>
  <c r="Z23" i="35" s="1"/>
  <c r="Q22" i="35"/>
  <c r="Z22" i="35" s="1"/>
  <c r="Q20" i="35"/>
  <c r="Z20" i="35" s="1"/>
  <c r="Q16" i="35"/>
  <c r="Z16" i="35" s="1"/>
  <c r="Q14" i="35"/>
  <c r="Z14" i="35"/>
  <c r="Q13" i="35"/>
  <c r="Z13" i="35" s="1"/>
  <c r="Q12" i="35"/>
  <c r="Z12" i="35"/>
  <c r="J12" i="35"/>
  <c r="W12" i="35" s="1"/>
  <c r="Q11" i="35"/>
  <c r="Z11" i="35" s="1"/>
  <c r="Q10" i="35"/>
  <c r="Z10" i="35"/>
  <c r="Q9" i="35"/>
  <c r="Z9" i="35" s="1"/>
  <c r="F9" i="35"/>
  <c r="AA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c r="Q43" i="34"/>
  <c r="Z43" i="34" s="1"/>
  <c r="F43" i="34"/>
  <c r="AA43" i="34"/>
  <c r="Q42" i="34"/>
  <c r="Z42" i="34" s="1"/>
  <c r="Q41" i="34"/>
  <c r="Z41" i="34" s="1"/>
  <c r="Q40" i="34"/>
  <c r="Z40" i="34" s="1"/>
  <c r="F40" i="34"/>
  <c r="S40" i="34" s="1"/>
  <c r="Q39" i="34"/>
  <c r="Z39" i="34" s="1"/>
  <c r="J39" i="34"/>
  <c r="AC39" i="34"/>
  <c r="H39" i="34"/>
  <c r="U39" i="34" s="1"/>
  <c r="F39" i="34"/>
  <c r="Q38" i="34"/>
  <c r="Z38" i="34" s="1"/>
  <c r="Q37" i="34"/>
  <c r="Z37" i="34" s="1"/>
  <c r="Q36" i="34"/>
  <c r="Z36" i="34"/>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Q11" i="34"/>
  <c r="Z11" i="34"/>
  <c r="Q10" i="34"/>
  <c r="Z10" i="34" s="1"/>
  <c r="F10" i="34"/>
  <c r="AA10" i="34" s="1"/>
  <c r="Q9" i="34"/>
  <c r="Z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c r="H40" i="33"/>
  <c r="AA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c r="Q13" i="33"/>
  <c r="Z13" i="33" s="1"/>
  <c r="Q12" i="33"/>
  <c r="Z12" i="33" s="1"/>
  <c r="J12" i="33"/>
  <c r="W12" i="33" s="1"/>
  <c r="H12" i="33"/>
  <c r="U12" i="33"/>
  <c r="Q11" i="33"/>
  <c r="Z11" i="33" s="1"/>
  <c r="Q10" i="33"/>
  <c r="Z10" i="33" s="1"/>
  <c r="Q9" i="33"/>
  <c r="Z9" i="33"/>
  <c r="J8" i="33"/>
  <c r="W8" i="33" s="1"/>
  <c r="H8" i="33"/>
  <c r="F8" i="33"/>
  <c r="AA8" i="33" s="1"/>
  <c r="C7" i="33"/>
  <c r="C58" i="33" s="1"/>
  <c r="D58" i="33" s="1"/>
  <c r="E58" i="33" s="1"/>
  <c r="F58" i="33" s="1"/>
  <c r="M102" i="21"/>
  <c r="D102" i="21"/>
  <c r="E102" i="21"/>
  <c r="F102" i="21"/>
  <c r="G102" i="21"/>
  <c r="H102" i="21"/>
  <c r="I102" i="21"/>
  <c r="J102" i="21"/>
  <c r="K102" i="21"/>
  <c r="L102" i="21"/>
  <c r="C102" i="21"/>
  <c r="C63" i="21"/>
  <c r="H9" i="21" s="1"/>
  <c r="AB9" i="21" s="1"/>
  <c r="G18" i="20"/>
  <c r="B87" i="46"/>
  <c r="C25" i="40"/>
  <c r="G16" i="20"/>
  <c r="B81" i="46" s="1"/>
  <c r="G15" i="20"/>
  <c r="B80" i="46"/>
  <c r="C24" i="20"/>
  <c r="B72" i="46" s="1"/>
  <c r="C21" i="20"/>
  <c r="B73" i="46" s="1"/>
  <c r="C20" i="20"/>
  <c r="B76" i="46" s="1"/>
  <c r="C18" i="20"/>
  <c r="B70" i="46"/>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B130" i="21"/>
  <c r="H46" i="21" s="1"/>
  <c r="AB46" i="21" s="1"/>
  <c r="B128" i="21"/>
  <c r="B126" i="21"/>
  <c r="B98" i="21"/>
  <c r="B96" i="21"/>
  <c r="H30" i="21" s="1"/>
  <c r="U30" i="21" s="1"/>
  <c r="B94" i="21"/>
  <c r="B92" i="21"/>
  <c r="F28" i="21" s="1"/>
  <c r="B90" i="21"/>
  <c r="J27" i="21" s="1"/>
  <c r="W27" i="21" s="1"/>
  <c r="B74" i="21"/>
  <c r="F14" i="21" s="1"/>
  <c r="AA14" i="21" s="1"/>
  <c r="B72" i="21"/>
  <c r="B70" i="21"/>
  <c r="H12" i="21" s="1"/>
  <c r="U12" i="21" s="1"/>
  <c r="F10" i="21"/>
  <c r="AA10" i="21" s="1"/>
  <c r="C7" i="21"/>
  <c r="C58" i="21" s="1"/>
  <c r="D58" i="21" s="1"/>
  <c r="E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N9" i="12" s="1"/>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c r="H38" i="21"/>
  <c r="AB38" i="21" s="1"/>
  <c r="H43" i="21"/>
  <c r="AB43" i="21" s="1"/>
  <c r="F32" i="21"/>
  <c r="F38" i="21"/>
  <c r="AA38" i="21" s="1"/>
  <c r="S38" i="21"/>
  <c r="F36" i="21"/>
  <c r="S36" i="21" s="1"/>
  <c r="F39" i="21"/>
  <c r="AA39" i="21"/>
  <c r="J40" i="21"/>
  <c r="H35" i="21"/>
  <c r="AB35" i="21"/>
  <c r="J8" i="21"/>
  <c r="J9" i="21"/>
  <c r="AC9" i="21" s="1"/>
  <c r="H8" i="21"/>
  <c r="H10" i="21"/>
  <c r="U10" i="21" s="1"/>
  <c r="H39" i="21"/>
  <c r="J34" i="21"/>
  <c r="AC34" i="21" s="1"/>
  <c r="H36" i="21"/>
  <c r="U36" i="21" s="1"/>
  <c r="F35" i="21"/>
  <c r="AA35" i="21" s="1"/>
  <c r="J10" i="21"/>
  <c r="AC10" i="21" s="1"/>
  <c r="H26" i="21"/>
  <c r="F19" i="21"/>
  <c r="AA19" i="21" s="1"/>
  <c r="H19" i="21"/>
  <c r="U19" i="21" s="1"/>
  <c r="J19" i="21"/>
  <c r="W19" i="21" s="1"/>
  <c r="J26" i="21"/>
  <c r="W26" i="21"/>
  <c r="F26" i="21"/>
  <c r="AA26" i="21" s="1"/>
  <c r="AB41" i="21"/>
  <c r="AA41" i="21"/>
  <c r="S10" i="39"/>
  <c r="U30" i="37"/>
  <c r="E103" i="37"/>
  <c r="F103" i="37" s="1"/>
  <c r="F39" i="37"/>
  <c r="S39" i="37"/>
  <c r="F29" i="36"/>
  <c r="AA29" i="36" s="1"/>
  <c r="F16" i="36"/>
  <c r="AA16" i="36"/>
  <c r="U22" i="36"/>
  <c r="W22" i="36"/>
  <c r="U26" i="36"/>
  <c r="J33" i="36"/>
  <c r="AC33" i="36" s="1"/>
  <c r="W33" i="36"/>
  <c r="U31" i="35"/>
  <c r="W24" i="35"/>
  <c r="S31" i="35"/>
  <c r="F36" i="34"/>
  <c r="S36" i="34" s="1"/>
  <c r="S34" i="34"/>
  <c r="W39" i="34"/>
  <c r="H39" i="33"/>
  <c r="AB39" i="33" s="1"/>
  <c r="F26" i="33"/>
  <c r="AA26" i="33" s="1"/>
  <c r="W38" i="33"/>
  <c r="S40" i="33"/>
  <c r="S8" i="21"/>
  <c r="H39" i="37"/>
  <c r="U39" i="37" s="1"/>
  <c r="AB39" i="37"/>
  <c r="AB27" i="35"/>
  <c r="W10" i="40"/>
  <c r="U11" i="40"/>
  <c r="U36" i="40"/>
  <c r="AB36" i="21"/>
  <c r="C29" i="39"/>
  <c r="C23" i="39"/>
  <c r="H32" i="33"/>
  <c r="AB32" i="33" s="1"/>
  <c r="F85" i="40"/>
  <c r="G85" i="40" s="1"/>
  <c r="AA12" i="33"/>
  <c r="J27" i="36"/>
  <c r="W27" i="36" s="1"/>
  <c r="J34" i="36"/>
  <c r="W34" i="36" s="1"/>
  <c r="J30" i="35"/>
  <c r="W30" i="35"/>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S10" i="36"/>
  <c r="H16" i="35"/>
  <c r="U16" i="35"/>
  <c r="H33" i="35"/>
  <c r="AB33" i="35" s="1"/>
  <c r="F35" i="37"/>
  <c r="E101" i="37"/>
  <c r="F101" i="37" s="1"/>
  <c r="G101" i="37" s="1"/>
  <c r="H101" i="37" s="1"/>
  <c r="I101" i="37" s="1"/>
  <c r="J101" i="37" s="1"/>
  <c r="K101" i="37" s="1"/>
  <c r="L101" i="37" s="1"/>
  <c r="M101" i="37" s="1"/>
  <c r="J34" i="37"/>
  <c r="W34" i="37" s="1"/>
  <c r="AA39" i="37"/>
  <c r="H43" i="34"/>
  <c r="U42" i="34"/>
  <c r="H36" i="34"/>
  <c r="U36" i="34" s="1"/>
  <c r="F37" i="34"/>
  <c r="S37" i="34" s="1"/>
  <c r="AA37" i="34"/>
  <c r="F33" i="34"/>
  <c r="S33" i="34" s="1"/>
  <c r="AA28" i="34"/>
  <c r="F19" i="34"/>
  <c r="AA19" i="34" s="1"/>
  <c r="J10" i="34"/>
  <c r="AC10" i="34" s="1"/>
  <c r="J28" i="34"/>
  <c r="W28" i="34"/>
  <c r="S38" i="33"/>
  <c r="E113" i="33"/>
  <c r="F113" i="33" s="1"/>
  <c r="G113" i="33" s="1"/>
  <c r="H113" i="33" s="1"/>
  <c r="I113" i="33" s="1"/>
  <c r="J113" i="33" s="1"/>
  <c r="K113" i="33" s="1"/>
  <c r="L113" i="33" s="1"/>
  <c r="M113" i="33" s="1"/>
  <c r="F36" i="33"/>
  <c r="S36" i="33"/>
  <c r="F19" i="33"/>
  <c r="S19" i="33" s="1"/>
  <c r="J19" i="33"/>
  <c r="AC19" i="33" s="1"/>
  <c r="W40" i="33"/>
  <c r="AB30" i="36"/>
  <c r="AC34" i="36"/>
  <c r="H29" i="35"/>
  <c r="U34" i="37"/>
  <c r="S34" i="37"/>
  <c r="AA34" i="37"/>
  <c r="AB42" i="34"/>
  <c r="AB40" i="34"/>
  <c r="W36" i="34"/>
  <c r="J19" i="34"/>
  <c r="AC19" i="34" s="1"/>
  <c r="H37" i="33"/>
  <c r="AB37" i="33" s="1"/>
  <c r="S37" i="33"/>
  <c r="W43" i="34"/>
  <c r="AC42" i="34"/>
  <c r="W42" i="34"/>
  <c r="S42" i="34"/>
  <c r="AC38" i="34"/>
  <c r="W38" i="34"/>
  <c r="AA38" i="34"/>
  <c r="S38" i="34"/>
  <c r="J37" i="33"/>
  <c r="W37" i="33" s="1"/>
  <c r="J44" i="34"/>
  <c r="AC44" i="34" s="1"/>
  <c r="F44" i="34"/>
  <c r="S44" i="34" s="1"/>
  <c r="J10" i="35"/>
  <c r="W10" i="35" s="1"/>
  <c r="AL5" i="3"/>
  <c r="BQ13" i="3"/>
  <c r="BL13" i="3" s="1"/>
  <c r="H14" i="21"/>
  <c r="H28" i="21"/>
  <c r="J28" i="21"/>
  <c r="AC28" i="21" s="1"/>
  <c r="F30" i="21"/>
  <c r="S30" i="21" s="1"/>
  <c r="J30" i="21"/>
  <c r="H44" i="21"/>
  <c r="U44" i="21" s="1"/>
  <c r="J46" i="21"/>
  <c r="W46" i="21"/>
  <c r="H26" i="33"/>
  <c r="U26" i="33" s="1"/>
  <c r="H28" i="33"/>
  <c r="U28"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AB13" i="21" s="1"/>
  <c r="J13" i="21"/>
  <c r="AC13" i="21" s="1"/>
  <c r="F13" i="21"/>
  <c r="AA13" i="21" s="1"/>
  <c r="H27" i="21"/>
  <c r="AB27" i="21" s="1"/>
  <c r="F27" i="21"/>
  <c r="AA27" i="21" s="1"/>
  <c r="J29" i="21"/>
  <c r="AC29" i="21" s="1"/>
  <c r="H29" i="21"/>
  <c r="U29" i="21" s="1"/>
  <c r="F29" i="21"/>
  <c r="S29" i="21" s="1"/>
  <c r="J31" i="21"/>
  <c r="AC31" i="21" s="1"/>
  <c r="H31" i="21"/>
  <c r="F31" i="21"/>
  <c r="S31" i="21" s="1"/>
  <c r="J45" i="21"/>
  <c r="W45" i="21" s="1"/>
  <c r="F45" i="21"/>
  <c r="S45" i="21" s="1"/>
  <c r="H45" i="21"/>
  <c r="U45" i="21" s="1"/>
  <c r="J27" i="33"/>
  <c r="AC27" i="33" s="1"/>
  <c r="F27" i="33"/>
  <c r="S27" i="33" s="1"/>
  <c r="F13" i="33"/>
  <c r="S13" i="33" s="1"/>
  <c r="W29" i="33"/>
  <c r="J31" i="33"/>
  <c r="AC31" i="33" s="1"/>
  <c r="H31" i="33"/>
  <c r="U31" i="33"/>
  <c r="S31" i="33"/>
  <c r="J45" i="33"/>
  <c r="W45" i="33" s="1"/>
  <c r="F45" i="33"/>
  <c r="S45" i="33" s="1"/>
  <c r="F11" i="35"/>
  <c r="S11" i="35" s="1"/>
  <c r="H28" i="36"/>
  <c r="H32" i="36"/>
  <c r="AB32" i="36" s="1"/>
  <c r="J32" i="36"/>
  <c r="J11" i="36"/>
  <c r="W11" i="36" s="1"/>
  <c r="H13" i="36"/>
  <c r="AB13" i="36"/>
  <c r="J13" i="36"/>
  <c r="F13" i="36"/>
  <c r="S13" i="36"/>
  <c r="E89" i="37"/>
  <c r="F89" i="37" s="1"/>
  <c r="G89" i="37" s="1"/>
  <c r="H89" i="37" s="1"/>
  <c r="I89" i="37" s="1"/>
  <c r="J89" i="37" s="1"/>
  <c r="K89" i="37" s="1"/>
  <c r="L89" i="37" s="1"/>
  <c r="M89" i="37" s="1"/>
  <c r="J29" i="37"/>
  <c r="W29" i="37" s="1"/>
  <c r="F29" i="37"/>
  <c r="AA29" i="37" s="1"/>
  <c r="F105" i="37"/>
  <c r="AB36" i="37"/>
  <c r="F107" i="37"/>
  <c r="G107" i="37" s="1"/>
  <c r="J37" i="37"/>
  <c r="AC37" i="37" s="1"/>
  <c r="H37" i="37"/>
  <c r="U37" i="37" s="1"/>
  <c r="H40" i="37"/>
  <c r="U40" i="37" s="1"/>
  <c r="J40" i="37"/>
  <c r="F40" i="37"/>
  <c r="AA40" i="37" s="1"/>
  <c r="H14" i="33"/>
  <c r="U14" i="33" s="1"/>
  <c r="J14" i="33"/>
  <c r="AC14" i="33" s="1"/>
  <c r="H30" i="33"/>
  <c r="F30" i="33"/>
  <c r="S30" i="33" s="1"/>
  <c r="J30" i="33"/>
  <c r="H44" i="33"/>
  <c r="U44" i="33" s="1"/>
  <c r="AC44" i="33"/>
  <c r="J46" i="33"/>
  <c r="AC46" i="33" s="1"/>
  <c r="F46" i="33"/>
  <c r="AA46" i="33" s="1"/>
  <c r="H46" i="33"/>
  <c r="AB46" i="33" s="1"/>
  <c r="H13" i="34"/>
  <c r="U13" i="34" s="1"/>
  <c r="J13" i="34"/>
  <c r="W13" i="34" s="1"/>
  <c r="F13" i="34"/>
  <c r="AA13" i="34" s="1"/>
  <c r="J29" i="34"/>
  <c r="AC29" i="34"/>
  <c r="F29" i="34"/>
  <c r="S29" i="34" s="1"/>
  <c r="H29" i="34"/>
  <c r="U29" i="34" s="1"/>
  <c r="J31" i="34"/>
  <c r="AC31" i="34" s="1"/>
  <c r="H31" i="34"/>
  <c r="AB31" i="34"/>
  <c r="F31" i="34"/>
  <c r="S31" i="34" s="1"/>
  <c r="H45" i="34"/>
  <c r="U45" i="34" s="1"/>
  <c r="J45" i="34"/>
  <c r="W45" i="34" s="1"/>
  <c r="F45" i="34"/>
  <c r="AA45" i="34"/>
  <c r="H47" i="34"/>
  <c r="U47" i="34" s="1"/>
  <c r="F47" i="34"/>
  <c r="AA47" i="34" s="1"/>
  <c r="J47" i="34"/>
  <c r="AC47" i="34" s="1"/>
  <c r="J13" i="35"/>
  <c r="AC13" i="35" s="1"/>
  <c r="J25" i="35"/>
  <c r="AC25" i="35"/>
  <c r="F25" i="35"/>
  <c r="AA25" i="35" s="1"/>
  <c r="H25" i="35"/>
  <c r="AB25" i="35"/>
  <c r="F35" i="35"/>
  <c r="S35" i="35" s="1"/>
  <c r="F25" i="36"/>
  <c r="AA25" i="36"/>
  <c r="H25" i="36"/>
  <c r="AB25" i="36" s="1"/>
  <c r="F13" i="37"/>
  <c r="S13" i="37" s="1"/>
  <c r="J13" i="37"/>
  <c r="AC13" i="37"/>
  <c r="F28" i="37"/>
  <c r="AA28" i="37" s="1"/>
  <c r="J28" i="37"/>
  <c r="AC28" i="37" s="1"/>
  <c r="H28" i="37"/>
  <c r="U28" i="37" s="1"/>
  <c r="H38" i="37"/>
  <c r="AB38" i="37" s="1"/>
  <c r="J38" i="37"/>
  <c r="AC38" i="37" s="1"/>
  <c r="F38" i="37"/>
  <c r="F14" i="37"/>
  <c r="AA14" i="37" s="1"/>
  <c r="F27" i="37"/>
  <c r="AA27" i="37"/>
  <c r="J14" i="37"/>
  <c r="J27" i="37"/>
  <c r="W27" i="37" s="1"/>
  <c r="J36" i="37"/>
  <c r="AC36" i="37" s="1"/>
  <c r="G105" i="37"/>
  <c r="U46" i="21"/>
  <c r="AB30" i="21"/>
  <c r="S28" i="21"/>
  <c r="AA28" i="21"/>
  <c r="U36" i="37"/>
  <c r="AB45" i="33"/>
  <c r="AB31" i="33"/>
  <c r="AA27" i="33"/>
  <c r="AB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c r="BA551" i="3"/>
  <c r="AZ551" i="3" s="1"/>
  <c r="BA545" i="3"/>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s="1"/>
  <c r="BQ542" i="3"/>
  <c r="BL542" i="3"/>
  <c r="BQ568" i="3"/>
  <c r="BQ566" i="3"/>
  <c r="BQ564" i="3"/>
  <c r="BL564" i="3" s="1"/>
  <c r="BQ562" i="3"/>
  <c r="BL562" i="3" s="1"/>
  <c r="BQ560" i="3"/>
  <c r="BL560" i="3" s="1"/>
  <c r="BQ558" i="3"/>
  <c r="BL558" i="3" s="1"/>
  <c r="AZ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c r="BQ532" i="3"/>
  <c r="BL532" i="3" s="1"/>
  <c r="BQ530" i="3"/>
  <c r="BQ528" i="3"/>
  <c r="BQ526" i="3"/>
  <c r="BL526" i="3" s="1"/>
  <c r="BQ524" i="3"/>
  <c r="BL524" i="3" s="1"/>
  <c r="AZ524" i="3" s="1"/>
  <c r="BQ522" i="3"/>
  <c r="BQ520" i="3"/>
  <c r="BL520" i="3" s="1"/>
  <c r="BQ518" i="3"/>
  <c r="BQ516" i="3"/>
  <c r="BL516" i="3" s="1"/>
  <c r="BQ514" i="3"/>
  <c r="BL514" i="3"/>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F23" i="37"/>
  <c r="S23" i="37" s="1"/>
  <c r="F79" i="37"/>
  <c r="G79" i="37" s="1"/>
  <c r="AB27" i="37"/>
  <c r="F39" i="33"/>
  <c r="E123" i="33"/>
  <c r="F42" i="33"/>
  <c r="AA42" i="33" s="1"/>
  <c r="H28" i="34"/>
  <c r="AB28" i="34" s="1"/>
  <c r="F22" i="36"/>
  <c r="S22" i="36"/>
  <c r="H35" i="34"/>
  <c r="U35" i="34" s="1"/>
  <c r="F41" i="34"/>
  <c r="S41" i="34" s="1"/>
  <c r="H41" i="34"/>
  <c r="U41" i="34" s="1"/>
  <c r="J41" i="34"/>
  <c r="AC41" i="34" s="1"/>
  <c r="F10" i="35"/>
  <c r="AA10" i="35" s="1"/>
  <c r="F24" i="35"/>
  <c r="AA24" i="35" s="1"/>
  <c r="H24" i="35"/>
  <c r="AB24" i="35" s="1"/>
  <c r="H23" i="37"/>
  <c r="AB23" i="37" s="1"/>
  <c r="J32" i="37"/>
  <c r="AC32" i="37" s="1"/>
  <c r="F36" i="37"/>
  <c r="S36" i="37"/>
  <c r="F37" i="37"/>
  <c r="AA37" i="37" s="1"/>
  <c r="F123" i="33"/>
  <c r="G123" i="33" s="1"/>
  <c r="H123" i="33" s="1"/>
  <c r="I123" i="33" s="1"/>
  <c r="J123" i="33" s="1"/>
  <c r="K123" i="33" s="1"/>
  <c r="L123" i="33" s="1"/>
  <c r="M123" i="33" s="1"/>
  <c r="H42" i="33"/>
  <c r="U42" i="33" s="1"/>
  <c r="J43" i="33"/>
  <c r="AC43" i="33" s="1"/>
  <c r="J23" i="37"/>
  <c r="AC23" i="37" s="1"/>
  <c r="F17" i="37"/>
  <c r="AA17" i="37" s="1"/>
  <c r="D3" i="21"/>
  <c r="AC12" i="35"/>
  <c r="W23" i="35"/>
  <c r="S27" i="37"/>
  <c r="AC8" i="37"/>
  <c r="AC36" i="34"/>
  <c r="AB8" i="34"/>
  <c r="AC37" i="33"/>
  <c r="AA13" i="33"/>
  <c r="AC45" i="33"/>
  <c r="AA36" i="21"/>
  <c r="F43" i="33"/>
  <c r="AA43" i="33" s="1"/>
  <c r="S10" i="35"/>
  <c r="AB44" i="33"/>
  <c r="H107" i="37"/>
  <c r="I107" i="37" s="1"/>
  <c r="J107" i="37" s="1"/>
  <c r="K107" i="37" s="1"/>
  <c r="L107" i="37" s="1"/>
  <c r="M107" i="37" s="1"/>
  <c r="H19" i="34"/>
  <c r="AB19" i="34" s="1"/>
  <c r="J10" i="37"/>
  <c r="W10" i="37" s="1"/>
  <c r="F36" i="35"/>
  <c r="S36" i="35" s="1"/>
  <c r="J9" i="37"/>
  <c r="W9" i="37" s="1"/>
  <c r="H9" i="37"/>
  <c r="U9" i="37"/>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89" i="40"/>
  <c r="F89" i="40" s="1"/>
  <c r="G89" i="40" s="1"/>
  <c r="F21" i="40"/>
  <c r="S21" i="40" s="1"/>
  <c r="J21" i="40"/>
  <c r="AC21" i="40" s="1"/>
  <c r="S27" i="31"/>
  <c r="G483" i="3"/>
  <c r="G515" i="3"/>
  <c r="G507" i="3"/>
  <c r="G501" i="3"/>
  <c r="BA15" i="3"/>
  <c r="BL17" i="3"/>
  <c r="AZ17" i="3" s="1"/>
  <c r="BL15" i="3"/>
  <c r="BA14" i="3"/>
  <c r="J57" i="39"/>
  <c r="H13" i="40"/>
  <c r="U13" i="40" s="1"/>
  <c r="H12" i="48"/>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AZ138" i="3"/>
  <c r="BL139" i="3"/>
  <c r="G140" i="3"/>
  <c r="BA142" i="3"/>
  <c r="BL143" i="3"/>
  <c r="G144" i="3"/>
  <c r="BA146" i="3"/>
  <c r="BL147" i="3"/>
  <c r="G148" i="3"/>
  <c r="BA150" i="3"/>
  <c r="BL151" i="3"/>
  <c r="BA153" i="3"/>
  <c r="BL154" i="3"/>
  <c r="G155" i="3"/>
  <c r="BA157" i="3"/>
  <c r="BL158" i="3"/>
  <c r="G159" i="3"/>
  <c r="BA161" i="3"/>
  <c r="BL162" i="3"/>
  <c r="G163" i="3"/>
  <c r="BA165" i="3"/>
  <c r="AZ165" i="3" s="1"/>
  <c r="BL166" i="3"/>
  <c r="G167" i="3"/>
  <c r="BA169" i="3"/>
  <c r="BL170" i="3"/>
  <c r="G171" i="3"/>
  <c r="BA173" i="3"/>
  <c r="BL174" i="3"/>
  <c r="G175" i="3"/>
  <c r="BA178" i="3"/>
  <c r="BL179" i="3"/>
  <c r="G180" i="3"/>
  <c r="G537" i="3"/>
  <c r="BL181" i="3"/>
  <c r="G182" i="3"/>
  <c r="BA184" i="3"/>
  <c r="BL185" i="3"/>
  <c r="AZ185" i="3" s="1"/>
  <c r="G186" i="3"/>
  <c r="BA188" i="3"/>
  <c r="BL189" i="3"/>
  <c r="G190" i="3"/>
  <c r="BA192" i="3"/>
  <c r="BL193" i="3"/>
  <c r="AZ193" i="3" s="1"/>
  <c r="G194" i="3"/>
  <c r="BA196" i="3"/>
  <c r="BL197" i="3"/>
  <c r="G198" i="3"/>
  <c r="BA200" i="3"/>
  <c r="BL201" i="3"/>
  <c r="AZ201" i="3" s="1"/>
  <c r="G491" i="3"/>
  <c r="BA298" i="3"/>
  <c r="AZ298" i="3" s="1"/>
  <c r="BA299" i="3"/>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BA339" i="3"/>
  <c r="AZ339" i="3" s="1"/>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AZ333" i="3" s="1"/>
  <c r="G334" i="3"/>
  <c r="BA336" i="3"/>
  <c r="BL337" i="3"/>
  <c r="G338" i="3"/>
  <c r="BA340" i="3"/>
  <c r="AZ340" i="3" s="1"/>
  <c r="BL341" i="3"/>
  <c r="G342" i="3"/>
  <c r="BA344" i="3"/>
  <c r="BL345" i="3"/>
  <c r="AZ345" i="3" s="1"/>
  <c r="G346" i="3"/>
  <c r="BA348" i="3"/>
  <c r="BL349" i="3"/>
  <c r="AZ349" i="3" s="1"/>
  <c r="G350" i="3"/>
  <c r="BA352" i="3"/>
  <c r="BL353" i="3"/>
  <c r="G354" i="3"/>
  <c r="BA356" i="3"/>
  <c r="AZ356" i="3" s="1"/>
  <c r="BL357" i="3"/>
  <c r="AZ357" i="3" s="1"/>
  <c r="G358" i="3"/>
  <c r="BA362" i="3"/>
  <c r="BL363" i="3"/>
  <c r="G364" i="3"/>
  <c r="BA366" i="3"/>
  <c r="BL367" i="3"/>
  <c r="AZ367" i="3" s="1"/>
  <c r="AZ353" i="3"/>
  <c r="G368" i="3"/>
  <c r="BA370" i="3"/>
  <c r="AZ370" i="3" s="1"/>
  <c r="BL371" i="3"/>
  <c r="AZ371" i="3" s="1"/>
  <c r="G372" i="3"/>
  <c r="BA374" i="3"/>
  <c r="BL375" i="3"/>
  <c r="G376" i="3"/>
  <c r="BA378" i="3"/>
  <c r="BL379" i="3"/>
  <c r="G380" i="3"/>
  <c r="BA382" i="3"/>
  <c r="BL383" i="3"/>
  <c r="G384" i="3"/>
  <c r="AZ282" i="3"/>
  <c r="AZ361"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J16" i="35"/>
  <c r="W16" i="35" s="1"/>
  <c r="AC26" i="36"/>
  <c r="W25" i="35"/>
  <c r="AA36" i="35"/>
  <c r="H11" i="37"/>
  <c r="AB11" i="37" s="1"/>
  <c r="W37" i="37"/>
  <c r="AA30" i="33"/>
  <c r="AA36" i="37"/>
  <c r="U32" i="33"/>
  <c r="AZ508" i="3"/>
  <c r="AC29" i="33"/>
  <c r="AA45" i="33"/>
  <c r="AC11" i="36"/>
  <c r="AC10" i="36"/>
  <c r="AB45" i="34"/>
  <c r="S25" i="35"/>
  <c r="W44" i="33"/>
  <c r="AC30" i="33"/>
  <c r="W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AC5" i="3"/>
  <c r="F17" i="21"/>
  <c r="S17" i="21" s="1"/>
  <c r="H17" i="21"/>
  <c r="U17" i="21" s="1"/>
  <c r="J17" i="21"/>
  <c r="W17" i="21" s="1"/>
  <c r="F40" i="21"/>
  <c r="S40" i="21" s="1"/>
  <c r="H40" i="21"/>
  <c r="AB40" i="21"/>
  <c r="E119" i="21"/>
  <c r="F119" i="21" s="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W19" i="33"/>
  <c r="U43" i="34"/>
  <c r="AB43" i="34"/>
  <c r="AC34" i="37"/>
  <c r="S35" i="37"/>
  <c r="AA35" i="37"/>
  <c r="AB10" i="35"/>
  <c r="AA32" i="21"/>
  <c r="S32" i="21"/>
  <c r="U38" i="21"/>
  <c r="BL571" i="3"/>
  <c r="BA571" i="3"/>
  <c r="BL570" i="3"/>
  <c r="BE5" i="3"/>
  <c r="F42" i="21"/>
  <c r="AA42" i="21" s="1"/>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c r="BL554" i="3"/>
  <c r="AZ554" i="3"/>
  <c r="BA553" i="3"/>
  <c r="AZ553" i="3"/>
  <c r="BA552" i="3"/>
  <c r="BL549" i="3"/>
  <c r="BA549" i="3"/>
  <c r="BL548" i="3"/>
  <c r="BA548" i="3"/>
  <c r="BL547" i="3"/>
  <c r="BA547" i="3"/>
  <c r="BL539" i="3"/>
  <c r="BA539" i="3"/>
  <c r="BA538" i="3"/>
  <c r="BL537" i="3"/>
  <c r="BA537" i="3"/>
  <c r="AZ537" i="3" s="1"/>
  <c r="BL536" i="3"/>
  <c r="BA535" i="3"/>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BL517" i="3"/>
  <c r="BA517" i="3"/>
  <c r="AZ517" i="3" s="1"/>
  <c r="BL515" i="3"/>
  <c r="BA515" i="3"/>
  <c r="BA514" i="3"/>
  <c r="AZ514" i="3" s="1"/>
  <c r="BL513" i="3"/>
  <c r="AZ513" i="3" s="1"/>
  <c r="BA513" i="3"/>
  <c r="BL512" i="3"/>
  <c r="AZ512" i="3" s="1"/>
  <c r="BA511" i="3"/>
  <c r="AZ511" i="3" s="1"/>
  <c r="BA510" i="3"/>
  <c r="BL509" i="3"/>
  <c r="AZ509" i="3" s="1"/>
  <c r="BL507" i="3"/>
  <c r="BA507" i="3"/>
  <c r="BL506" i="3"/>
  <c r="AZ506" i="3" s="1"/>
  <c r="BA506" i="3"/>
  <c r="BL505" i="3"/>
  <c r="AZ505" i="3" s="1"/>
  <c r="BL504" i="3"/>
  <c r="BA504" i="3"/>
  <c r="BA503" i="3"/>
  <c r="AZ503" i="3" s="1"/>
  <c r="BA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BL487" i="3"/>
  <c r="AZ487" i="3" s="1"/>
  <c r="BL486" i="3"/>
  <c r="AZ486" i="3" s="1"/>
  <c r="BA486" i="3"/>
  <c r="BA485" i="3"/>
  <c r="BA483" i="3"/>
  <c r="AZ483" i="3" s="1"/>
  <c r="BA482" i="3"/>
  <c r="BL481" i="3"/>
  <c r="BA481" i="3"/>
  <c r="AZ481" i="3" s="1"/>
  <c r="BL19" i="3"/>
  <c r="BA18" i="3"/>
  <c r="AZ18" i="3" s="1"/>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AB16" i="39" s="1"/>
  <c r="J16" i="39"/>
  <c r="AC16" i="39" s="1"/>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c r="F41" i="40"/>
  <c r="AA41" i="40" s="1"/>
  <c r="J41" i="40"/>
  <c r="W41" i="40" s="1"/>
  <c r="H36" i="33"/>
  <c r="AB36" i="33" s="1"/>
  <c r="H37" i="34"/>
  <c r="AB37" i="34" s="1"/>
  <c r="F15" i="39"/>
  <c r="AA15" i="39" s="1"/>
  <c r="H15" i="39"/>
  <c r="U15" i="39" s="1"/>
  <c r="J15" i="39"/>
  <c r="AC15" i="39" s="1"/>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M1" i="46"/>
  <c r="M6" i="46"/>
  <c r="M10" i="46"/>
  <c r="N2" i="46"/>
  <c r="N5" i="46"/>
  <c r="F58" i="46"/>
  <c r="H61" i="46" s="1"/>
  <c r="N7" i="46"/>
  <c r="AZ255" i="3"/>
  <c r="M7" i="46"/>
  <c r="M11" i="46"/>
  <c r="N3" i="46"/>
  <c r="N6" i="46"/>
  <c r="N10" i="46"/>
  <c r="F69" i="46"/>
  <c r="H71" i="46"/>
  <c r="J13" i="40"/>
  <c r="W13" i="40" s="1"/>
  <c r="AB14" i="40"/>
  <c r="W40" i="40"/>
  <c r="S47" i="39"/>
  <c r="AB25" i="39"/>
  <c r="AC41" i="40"/>
  <c r="U41" i="40"/>
  <c r="J23" i="40"/>
  <c r="AC23" i="40" s="1"/>
  <c r="F23" i="40"/>
  <c r="S23" i="40" s="1"/>
  <c r="AC15" i="40"/>
  <c r="W15" i="40"/>
  <c r="W14" i="39"/>
  <c r="AB23" i="35"/>
  <c r="H20" i="35"/>
  <c r="U20" i="35" s="1"/>
  <c r="F20" i="35"/>
  <c r="S20" i="35" s="1"/>
  <c r="H15" i="34"/>
  <c r="AB15" i="34" s="1"/>
  <c r="F78" i="34"/>
  <c r="G78" i="34" s="1"/>
  <c r="J15" i="34"/>
  <c r="W15" i="34" s="1"/>
  <c r="H41" i="33"/>
  <c r="U41" i="33" s="1"/>
  <c r="F121" i="33"/>
  <c r="G121" i="33"/>
  <c r="H121" i="33" s="1"/>
  <c r="I121" i="33" s="1"/>
  <c r="J121" i="33" s="1"/>
  <c r="K121" i="33" s="1"/>
  <c r="L121" i="33" s="1"/>
  <c r="M121" i="33" s="1"/>
  <c r="F30" i="40"/>
  <c r="AA30" i="40" s="1"/>
  <c r="H99" i="40"/>
  <c r="I99" i="40" s="1"/>
  <c r="J99" i="40" s="1"/>
  <c r="K99" i="40" s="1"/>
  <c r="L99" i="40" s="1"/>
  <c r="M99" i="40" s="1"/>
  <c r="AB38" i="34"/>
  <c r="AZ504" i="3"/>
  <c r="AZ515" i="3"/>
  <c r="AZ530" i="3"/>
  <c r="AZ548" i="3"/>
  <c r="AA29" i="35"/>
  <c r="U39" i="39"/>
  <c r="J29" i="39"/>
  <c r="AC29" i="39" s="1"/>
  <c r="AB21" i="39"/>
  <c r="U21" i="39"/>
  <c r="AB33" i="36"/>
  <c r="AA11" i="36"/>
  <c r="S14" i="35"/>
  <c r="G99" i="37"/>
  <c r="F33" i="37"/>
  <c r="AA33" i="37" s="1"/>
  <c r="AB19" i="39"/>
  <c r="U46" i="34"/>
  <c r="AC30" i="34"/>
  <c r="AA14" i="34"/>
  <c r="W12" i="34"/>
  <c r="U29" i="33"/>
  <c r="AC13" i="33"/>
  <c r="U17" i="34"/>
  <c r="AA11" i="34"/>
  <c r="H15" i="33"/>
  <c r="U15" i="33" s="1"/>
  <c r="U16" i="40"/>
  <c r="U42" i="40"/>
  <c r="H25" i="40"/>
  <c r="AB25" i="40" s="1"/>
  <c r="F93" i="40"/>
  <c r="G93" i="40" s="1"/>
  <c r="J37" i="34"/>
  <c r="AC37" i="34" s="1"/>
  <c r="J36" i="33"/>
  <c r="AC36" i="33" s="1"/>
  <c r="S41" i="40"/>
  <c r="U27" i="39"/>
  <c r="H23" i="39"/>
  <c r="AB23" i="39" s="1"/>
  <c r="J23" i="39"/>
  <c r="AC23" i="39" s="1"/>
  <c r="S16" i="39"/>
  <c r="AA15" i="34"/>
  <c r="AA34" i="33"/>
  <c r="J34" i="33"/>
  <c r="W34" i="33" s="1"/>
  <c r="AA37" i="39"/>
  <c r="AC39" i="39"/>
  <c r="W39" i="39"/>
  <c r="AA39" i="39"/>
  <c r="U34"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U14" i="34"/>
  <c r="AC14" i="34"/>
  <c r="G80" i="34"/>
  <c r="F17" i="34"/>
  <c r="AA17" i="34" s="1"/>
  <c r="J17" i="34"/>
  <c r="AC17" i="34" s="1"/>
  <c r="H11" i="34"/>
  <c r="AB11" i="34" s="1"/>
  <c r="J35" i="33"/>
  <c r="W35" i="33" s="1"/>
  <c r="S32" i="33"/>
  <c r="AC15" i="33"/>
  <c r="H10" i="33"/>
  <c r="U10" i="33" s="1"/>
  <c r="I66" i="33"/>
  <c r="J10" i="33"/>
  <c r="AC10" i="33"/>
  <c r="U40" i="21"/>
  <c r="U11" i="37"/>
  <c r="AC16" i="35"/>
  <c r="J11" i="34"/>
  <c r="W11" i="34" s="1"/>
  <c r="S17" i="34"/>
  <c r="F25" i="40"/>
  <c r="AA25" i="40" s="1"/>
  <c r="H33" i="37"/>
  <c r="AB33" i="37" s="1"/>
  <c r="AC15" i="34"/>
  <c r="AB20" i="35"/>
  <c r="W23" i="40"/>
  <c r="AP11" i="1"/>
  <c r="B11" i="1"/>
  <c r="E11" i="1"/>
  <c r="K11" i="1"/>
  <c r="M11" i="1" s="1"/>
  <c r="B9" i="1"/>
  <c r="E9" i="1" s="1"/>
  <c r="K9" i="1"/>
  <c r="M9" i="1" s="1"/>
  <c r="B7" i="1"/>
  <c r="E7" i="1" s="1"/>
  <c r="F6" i="1"/>
  <c r="AP6" i="1" s="1"/>
  <c r="G11" i="1"/>
  <c r="AC25" i="36"/>
  <c r="S8" i="36"/>
  <c r="AA26" i="36"/>
  <c r="U25" i="36"/>
  <c r="H20" i="36"/>
  <c r="U20" i="36" s="1"/>
  <c r="F68" i="36"/>
  <c r="G68" i="36" s="1"/>
  <c r="J20" i="36"/>
  <c r="AC20" i="36" s="1"/>
  <c r="F20" i="36"/>
  <c r="S20" i="36" s="1"/>
  <c r="F62" i="36"/>
  <c r="G62" i="36" s="1"/>
  <c r="J14" i="36"/>
  <c r="H14" i="36"/>
  <c r="F14" i="36"/>
  <c r="S14" i="36" s="1"/>
  <c r="U32" i="36"/>
  <c r="AB12" i="36"/>
  <c r="U9" i="36"/>
  <c r="S33" i="36"/>
  <c r="AA27" i="36"/>
  <c r="S16" i="36"/>
  <c r="S29" i="36"/>
  <c r="U22" i="35"/>
  <c r="AC9" i="35"/>
  <c r="S8" i="35"/>
  <c r="U33" i="35"/>
  <c r="W20"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8" i="37"/>
  <c r="AB21" i="37"/>
  <c r="U21" i="37"/>
  <c r="S37" i="37"/>
  <c r="S40" i="37"/>
  <c r="AA11" i="37"/>
  <c r="S10" i="37"/>
  <c r="W46" i="34"/>
  <c r="AC45" i="34"/>
  <c r="AA40" i="34"/>
  <c r="U30" i="34"/>
  <c r="S32" i="34"/>
  <c r="AB33" i="34"/>
  <c r="AA12" i="34"/>
  <c r="AC35" i="34"/>
  <c r="AA30" i="34"/>
  <c r="AC32" i="34"/>
  <c r="AA33" i="34"/>
  <c r="U44" i="34"/>
  <c r="U34" i="34"/>
  <c r="U28" i="34"/>
  <c r="J25" i="34"/>
  <c r="AC25" i="34" s="1"/>
  <c r="H25" i="34"/>
  <c r="F25" i="34"/>
  <c r="AA25" i="34" s="1"/>
  <c r="J23" i="34"/>
  <c r="F86" i="34"/>
  <c r="G86" i="34" s="1"/>
  <c r="F23" i="34"/>
  <c r="S23" i="34" s="1"/>
  <c r="H23" i="34"/>
  <c r="U23" i="34" s="1"/>
  <c r="W17" i="34"/>
  <c r="U10" i="34"/>
  <c r="W37" i="34"/>
  <c r="AC40" i="34"/>
  <c r="W44" i="34"/>
  <c r="W19" i="34"/>
  <c r="W29" i="34"/>
  <c r="AC21" i="34"/>
  <c r="W21" i="34"/>
  <c r="U15" i="34"/>
  <c r="AB21" i="34"/>
  <c r="U21" i="34"/>
  <c r="U19" i="34"/>
  <c r="AB41" i="34"/>
  <c r="S13" i="34"/>
  <c r="AA41" i="34"/>
  <c r="S10" i="34"/>
  <c r="U39" i="33"/>
  <c r="S35" i="33"/>
  <c r="AC12" i="33"/>
  <c r="AB41" i="33"/>
  <c r="S29" i="33"/>
  <c r="W43"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s="1"/>
  <c r="F17" i="33"/>
  <c r="S17" i="33" s="1"/>
  <c r="H17" i="33"/>
  <c r="AB17" i="33" s="1"/>
  <c r="J17" i="33"/>
  <c r="W17" i="33" s="1"/>
  <c r="AB15" i="33"/>
  <c r="S10" i="33"/>
  <c r="S14" i="33"/>
  <c r="W10" i="33"/>
  <c r="AC21" i="33"/>
  <c r="W21" i="33"/>
  <c r="AB10" i="33"/>
  <c r="AB21" i="33"/>
  <c r="U21" i="33"/>
  <c r="AA36" i="33"/>
  <c r="W39" i="21"/>
  <c r="W32" i="21"/>
  <c r="U35" i="21"/>
  <c r="W43" i="21"/>
  <c r="W28" i="21"/>
  <c r="AC46" i="21"/>
  <c r="AC26" i="21"/>
  <c r="F85" i="21"/>
  <c r="G85" i="21" s="1"/>
  <c r="J23" i="21"/>
  <c r="AC23" i="21" s="1"/>
  <c r="W23" i="21"/>
  <c r="F23" i="21"/>
  <c r="H23" i="21"/>
  <c r="U23" i="21" s="1"/>
  <c r="F15" i="21"/>
  <c r="S15" i="21" s="1"/>
  <c r="F77" i="21"/>
  <c r="G77" i="21" s="1"/>
  <c r="J15" i="21"/>
  <c r="W15" i="21" s="1"/>
  <c r="H15" i="21"/>
  <c r="W13" i="21"/>
  <c r="AC21" i="21"/>
  <c r="W10" i="21"/>
  <c r="AC38" i="21"/>
  <c r="AA30" i="21"/>
  <c r="AA31" i="21"/>
  <c r="W33" i="40"/>
  <c r="U15" i="40"/>
  <c r="S14" i="40"/>
  <c r="S16" i="40"/>
  <c r="W11" i="40"/>
  <c r="U21" i="40"/>
  <c r="W25" i="40"/>
  <c r="U25" i="40"/>
  <c r="W42" i="40"/>
  <c r="U35" i="40"/>
  <c r="F37" i="40"/>
  <c r="J37" i="40"/>
  <c r="AC37" i="40" s="1"/>
  <c r="H37" i="40"/>
  <c r="AB37" i="40" s="1"/>
  <c r="G112" i="40"/>
  <c r="H112" i="40" s="1"/>
  <c r="I112" i="40" s="1"/>
  <c r="J112" i="40" s="1"/>
  <c r="K112" i="40" s="1"/>
  <c r="L112" i="40" s="1"/>
  <c r="M112" i="40" s="1"/>
  <c r="F39" i="40"/>
  <c r="S39" i="40" s="1"/>
  <c r="S38" i="40"/>
  <c r="H39" i="40"/>
  <c r="J39" i="40"/>
  <c r="W39" i="40" s="1"/>
  <c r="W38" i="40"/>
  <c r="F29" i="40"/>
  <c r="S29" i="40" s="1"/>
  <c r="H29" i="40"/>
  <c r="J29" i="40"/>
  <c r="F97" i="40"/>
  <c r="G97" i="40" s="1"/>
  <c r="H97" i="40" s="1"/>
  <c r="I97" i="40" s="1"/>
  <c r="J97" i="40" s="1"/>
  <c r="K97" i="40" s="1"/>
  <c r="L97" i="40" s="1"/>
  <c r="M97" i="40" s="1"/>
  <c r="S30" i="40"/>
  <c r="AA23" i="40"/>
  <c r="F87" i="40"/>
  <c r="G87" i="40" s="1"/>
  <c r="F19" i="40"/>
  <c r="S19" i="40" s="1"/>
  <c r="H19" i="40"/>
  <c r="J19" i="40"/>
  <c r="W17" i="40"/>
  <c r="AC17" i="40"/>
  <c r="F17" i="40"/>
  <c r="AA17" i="40" s="1"/>
  <c r="H17" i="40"/>
  <c r="U17" i="40" s="1"/>
  <c r="W21" i="40"/>
  <c r="AB40" i="40"/>
  <c r="U10" i="40"/>
  <c r="U27" i="40"/>
  <c r="AB27" i="40"/>
  <c r="AC44" i="39"/>
  <c r="S11" i="39"/>
  <c r="AB45" i="39"/>
  <c r="AA21" i="39"/>
  <c r="AC38" i="39"/>
  <c r="AB15" i="39"/>
  <c r="U11" i="39"/>
  <c r="U41" i="39"/>
  <c r="AB38" i="39"/>
  <c r="S25" i="39"/>
  <c r="S38" i="39"/>
  <c r="A18" i="64"/>
  <c r="B74" i="63" s="1"/>
  <c r="C53" i="10"/>
  <c r="A25" i="64" s="1"/>
  <c r="A18" i="51"/>
  <c r="B14" i="63" s="1"/>
  <c r="BA16" i="3"/>
  <c r="BA17" i="3"/>
  <c r="G1" i="44"/>
  <c r="G3" i="46"/>
  <c r="G22" i="46" s="1"/>
  <c r="AZ15" i="3"/>
  <c r="BK5" i="3"/>
  <c r="BP5" i="3"/>
  <c r="BN5" i="3"/>
  <c r="BL18" i="3"/>
  <c r="BC5" i="3"/>
  <c r="BD5" i="3"/>
  <c r="BR5" i="3"/>
  <c r="BS5" i="3"/>
  <c r="BL16" i="3"/>
  <c r="BM5" i="3"/>
  <c r="BA13" i="3"/>
  <c r="D26" i="44"/>
  <c r="N8" i="46"/>
  <c r="N4" i="46"/>
  <c r="N1" i="46"/>
  <c r="F47" i="46"/>
  <c r="H48"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C51" i="10"/>
  <c r="A9" i="64" s="1"/>
  <c r="I100" i="46"/>
  <c r="C24" i="46"/>
  <c r="N100" i="46"/>
  <c r="H100" i="46"/>
  <c r="F108" i="46"/>
  <c r="H80" i="46"/>
  <c r="E100" i="46"/>
  <c r="G100" i="46"/>
  <c r="H84" i="46"/>
  <c r="C100" i="46"/>
  <c r="J100" i="46"/>
  <c r="M100" i="46"/>
  <c r="AA12" i="36"/>
  <c r="W11" i="35"/>
  <c r="AA11" i="35"/>
  <c r="S14" i="37"/>
  <c r="U13" i="37"/>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12" i="1"/>
  <c r="E12" i="1" s="1"/>
  <c r="S12" i="1"/>
  <c r="K6" i="1"/>
  <c r="M6" i="1" s="1"/>
  <c r="F66" i="36"/>
  <c r="G66" i="36" s="1"/>
  <c r="H18" i="36"/>
  <c r="AB18" i="36" s="1"/>
  <c r="U16" i="36"/>
  <c r="S25" i="36"/>
  <c r="AA34" i="36"/>
  <c r="U23" i="36"/>
  <c r="AC27" i="36"/>
  <c r="W28" i="36"/>
  <c r="AA32" i="36"/>
  <c r="U13" i="36"/>
  <c r="AA22" i="36"/>
  <c r="U10" i="36"/>
  <c r="AA13" i="36"/>
  <c r="W29" i="36"/>
  <c r="W8" i="36"/>
  <c r="AC30"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S43" i="33"/>
  <c r="AB42" i="33"/>
  <c r="AB14" i="33"/>
  <c r="S26" i="33"/>
  <c r="AB12" i="33"/>
  <c r="S39" i="21"/>
  <c r="AB25" i="21"/>
  <c r="AB45" i="21"/>
  <c r="W25" i="21"/>
  <c r="AA25" i="21"/>
  <c r="AA29" i="21"/>
  <c r="U27" i="21"/>
  <c r="W31" i="21"/>
  <c r="S27" i="21"/>
  <c r="AC27" i="21"/>
  <c r="W29" i="21"/>
  <c r="G95" i="40"/>
  <c r="J27" i="40"/>
  <c r="W27" i="40" s="1"/>
  <c r="W30" i="40"/>
  <c r="S34" i="40"/>
  <c r="U38" i="40"/>
  <c r="S40" i="40"/>
  <c r="S42" i="40"/>
  <c r="G104" i="39"/>
  <c r="J31" i="39"/>
  <c r="W31" i="39" s="1"/>
  <c r="AB33" i="39"/>
  <c r="AC46" i="39"/>
  <c r="S34" i="39"/>
  <c r="W42" i="39"/>
  <c r="AC37" i="39"/>
  <c r="U14" i="39"/>
  <c r="W16" i="39"/>
  <c r="S15" i="39"/>
  <c r="W45" i="39"/>
  <c r="S41" i="39"/>
  <c r="W34" i="39"/>
  <c r="W11" i="39"/>
  <c r="U42" i="39"/>
  <c r="S32" i="40"/>
  <c r="C27" i="39"/>
  <c r="C17" i="40"/>
  <c r="C19" i="40"/>
  <c r="C17" i="39"/>
  <c r="C19" i="39"/>
  <c r="C21" i="39"/>
  <c r="C23" i="40"/>
  <c r="B48" i="46"/>
  <c r="B51" i="46"/>
  <c r="B55" i="46"/>
  <c r="B59" i="46"/>
  <c r="B62" i="46"/>
  <c r="B66" i="46"/>
  <c r="B53" i="46"/>
  <c r="B64" i="46"/>
  <c r="D24" i="15"/>
  <c r="AB20" i="36"/>
  <c r="AC14" i="36"/>
  <c r="W14" i="36"/>
  <c r="U14" i="36"/>
  <c r="AB14" i="36"/>
  <c r="AA26" i="35"/>
  <c r="S26" i="35"/>
  <c r="U26" i="35"/>
  <c r="W26" i="35"/>
  <c r="AC26" i="35"/>
  <c r="W19" i="37"/>
  <c r="AB19" i="37"/>
  <c r="U19" i="37"/>
  <c r="AC17" i="37"/>
  <c r="W17" i="37"/>
  <c r="U25" i="34"/>
  <c r="AB25" i="34"/>
  <c r="S25" i="34"/>
  <c r="W25" i="34"/>
  <c r="AA23" i="34"/>
  <c r="AC23" i="34"/>
  <c r="W23" i="34"/>
  <c r="AA25" i="33"/>
  <c r="U17" i="33"/>
  <c r="AA23" i="21"/>
  <c r="S23" i="21"/>
  <c r="U15" i="21"/>
  <c r="AB15" i="21"/>
  <c r="AB39" i="40"/>
  <c r="U39" i="40"/>
  <c r="AC39" i="40"/>
  <c r="AA39" i="40"/>
  <c r="U37" i="40"/>
  <c r="AA37" i="40"/>
  <c r="S37" i="40"/>
  <c r="U29" i="40"/>
  <c r="AB29" i="40"/>
  <c r="AC29" i="40"/>
  <c r="W29" i="40"/>
  <c r="AA29" i="40"/>
  <c r="W19" i="40"/>
  <c r="AC19" i="40"/>
  <c r="AA19" i="40"/>
  <c r="AB19" i="40"/>
  <c r="U19" i="40"/>
  <c r="AT6" i="3"/>
  <c r="E4" i="4"/>
  <c r="C4" i="4"/>
  <c r="B20" i="55" s="1"/>
  <c r="B70" i="63" s="1"/>
  <c r="J18" i="36"/>
  <c r="AC18" i="36" s="1"/>
  <c r="AE7" i="1"/>
  <c r="AE6" i="1"/>
  <c r="AG6" i="1"/>
  <c r="L20" i="6"/>
  <c r="B21" i="55"/>
  <c r="B72" i="63" s="1"/>
  <c r="C45" i="9"/>
  <c r="O40" i="9" s="1"/>
  <c r="R7" i="54" s="1"/>
  <c r="B52" i="63" s="1"/>
  <c r="N76" i="9"/>
  <c r="H58" i="46"/>
  <c r="J17" i="46"/>
  <c r="C17" i="46"/>
  <c r="F34" i="46"/>
  <c r="F38" i="46"/>
  <c r="F37" i="46"/>
  <c r="H113" i="46"/>
  <c r="H49" i="46"/>
  <c r="H53" i="46"/>
  <c r="D24" i="59"/>
  <c r="C23" i="59"/>
  <c r="D23" i="59" s="1"/>
  <c r="U21"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F35" i="46"/>
  <c r="I17" i="46"/>
  <c r="H63" i="46"/>
  <c r="D100" i="46"/>
  <c r="H62" i="46"/>
  <c r="AF12" i="46"/>
  <c r="K100" i="46"/>
  <c r="AB12" i="46"/>
  <c r="AJ12" i="46"/>
  <c r="H74" i="46"/>
  <c r="H65" i="46"/>
  <c r="H75" i="46"/>
  <c r="H72" i="46"/>
  <c r="H69" i="46"/>
  <c r="H77" i="46"/>
  <c r="H76" i="46"/>
  <c r="H55" i="46"/>
  <c r="H54" i="46"/>
  <c r="H52" i="46"/>
  <c r="H47" i="46"/>
  <c r="AD12" i="46"/>
  <c r="AH12" i="46"/>
  <c r="B22" i="59"/>
  <c r="B21" i="59" s="1"/>
  <c r="G20" i="46"/>
  <c r="E41" i="46" s="1"/>
  <c r="C41" i="46" s="1"/>
  <c r="N3" i="65"/>
  <c r="F46" i="44"/>
  <c r="F45" i="44"/>
  <c r="J5" i="65"/>
  <c r="F39" i="44"/>
  <c r="N4" i="65"/>
  <c r="E12" i="67"/>
  <c r="N6" i="65"/>
  <c r="J4" i="65"/>
  <c r="L48" i="44"/>
  <c r="M10" i="44"/>
  <c r="I7" i="65"/>
  <c r="B11" i="67"/>
  <c r="M31" i="44"/>
  <c r="E8" i="67"/>
  <c r="I4" i="65"/>
  <c r="J17" i="44"/>
  <c r="B10" i="67"/>
  <c r="F15" i="44"/>
  <c r="F10" i="44"/>
  <c r="F40" i="44"/>
  <c r="F28" i="44"/>
  <c r="M29" i="44"/>
  <c r="M26" i="44"/>
  <c r="F11" i="44"/>
  <c r="E10" i="67"/>
  <c r="M11" i="44"/>
  <c r="F10" i="67"/>
  <c r="F12" i="67"/>
  <c r="I3" i="65"/>
  <c r="F11" i="67"/>
  <c r="E13" i="67"/>
  <c r="F13" i="67"/>
  <c r="B8" i="67"/>
  <c r="B9" i="67"/>
  <c r="M28" i="44"/>
  <c r="M24" i="44"/>
  <c r="M8" i="44"/>
  <c r="F18" i="44"/>
  <c r="L49" i="44"/>
  <c r="M30" i="44"/>
  <c r="F43" i="44"/>
  <c r="F9" i="67"/>
  <c r="M25" i="44"/>
  <c r="N7" i="65"/>
  <c r="F8" i="67"/>
  <c r="E11" i="67"/>
  <c r="F14" i="67"/>
  <c r="F9" i="44"/>
  <c r="E9" i="67"/>
  <c r="F8" i="44"/>
  <c r="B13" i="67"/>
  <c r="F38" i="44"/>
  <c r="E14" i="67"/>
  <c r="N5" i="65"/>
  <c r="B14" i="67"/>
  <c r="B12" i="67"/>
  <c r="K40" i="9" l="1"/>
  <c r="W30" i="21"/>
  <c r="AC30" i="21"/>
  <c r="U14" i="21"/>
  <c r="AB14" i="21"/>
  <c r="AB23" i="34"/>
  <c r="S19" i="37"/>
  <c r="AA46" i="39"/>
  <c r="W41" i="39"/>
  <c r="S13" i="21"/>
  <c r="W14" i="33"/>
  <c r="W31" i="33"/>
  <c r="S23" i="35"/>
  <c r="AA28" i="36"/>
  <c r="AB13" i="33"/>
  <c r="U32" i="34"/>
  <c r="AB23" i="40"/>
  <c r="W15" i="39"/>
  <c r="W32" i="40"/>
  <c r="AA40" i="21"/>
  <c r="AC14" i="40"/>
  <c r="AZ19" i="3"/>
  <c r="AZ567" i="3"/>
  <c r="S42" i="33"/>
  <c r="AZ352" i="3"/>
  <c r="AZ336" i="3"/>
  <c r="AZ320" i="3"/>
  <c r="AZ372" i="3"/>
  <c r="AZ358" i="3"/>
  <c r="AZ354" i="3"/>
  <c r="AZ347" i="3"/>
  <c r="AZ322" i="3"/>
  <c r="AZ307" i="3"/>
  <c r="AZ484" i="3"/>
  <c r="U28" i="36"/>
  <c r="AB28" i="36"/>
  <c r="U31" i="21"/>
  <c r="AB31" i="21"/>
  <c r="W28" i="33"/>
  <c r="AC28" i="33"/>
  <c r="H59" i="46"/>
  <c r="H66" i="46"/>
  <c r="AA44" i="39"/>
  <c r="S45" i="39"/>
  <c r="W37" i="40"/>
  <c r="U24" i="35"/>
  <c r="AC21" i="39"/>
  <c r="AB13" i="40"/>
  <c r="U33" i="40"/>
  <c r="AB29" i="21"/>
  <c r="U27" i="34"/>
  <c r="W10" i="34"/>
  <c r="U35" i="37"/>
  <c r="AC13" i="40"/>
  <c r="U12" i="34"/>
  <c r="S46" i="34"/>
  <c r="W14" i="35"/>
  <c r="W29" i="35"/>
  <c r="AZ485" i="3"/>
  <c r="AZ535" i="3"/>
  <c r="AZ324" i="3"/>
  <c r="AZ305" i="3"/>
  <c r="AA39" i="33"/>
  <c r="S39" i="33"/>
  <c r="U17" i="37"/>
  <c r="AB17" i="37"/>
  <c r="AZ520" i="3"/>
  <c r="AB39" i="21"/>
  <c r="U39" i="21"/>
  <c r="H60" i="46"/>
  <c r="H64" i="46"/>
  <c r="AA20" i="36"/>
  <c r="W29" i="39"/>
  <c r="AA21" i="40"/>
  <c r="S15" i="40"/>
  <c r="U46" i="33"/>
  <c r="AC35" i="33"/>
  <c r="U37" i="33"/>
  <c r="AA27" i="34"/>
  <c r="W33" i="34"/>
  <c r="AC33" i="35"/>
  <c r="U27" i="36"/>
  <c r="AB34" i="40"/>
  <c r="AB37" i="39"/>
  <c r="AZ489" i="3"/>
  <c r="AZ536" i="3"/>
  <c r="AZ568" i="3"/>
  <c r="AZ362" i="3"/>
  <c r="AZ344" i="3"/>
  <c r="AZ328" i="3"/>
  <c r="AZ304" i="3"/>
  <c r="AB12" i="37"/>
  <c r="W41" i="34"/>
  <c r="AZ550" i="3"/>
  <c r="W14" i="37"/>
  <c r="AC14" i="37"/>
  <c r="S38" i="37"/>
  <c r="AA38" i="37"/>
  <c r="AB30" i="33"/>
  <c r="U30" i="33"/>
  <c r="AC13" i="36"/>
  <c r="W13" i="36"/>
  <c r="AB28" i="21"/>
  <c r="U28" i="21"/>
  <c r="AZ378" i="3"/>
  <c r="AZ311" i="3"/>
  <c r="AZ299" i="3"/>
  <c r="AZ343" i="3"/>
  <c r="AZ327" i="3"/>
  <c r="AZ300" i="3"/>
  <c r="AZ516" i="3"/>
  <c r="AZ493" i="3"/>
  <c r="AZ557" i="3"/>
  <c r="AZ569" i="3"/>
  <c r="F44" i="33"/>
  <c r="F46" i="21"/>
  <c r="J14" i="21"/>
  <c r="S10" i="21"/>
  <c r="W8" i="35"/>
  <c r="AB8" i="36"/>
  <c r="U38" i="33"/>
  <c r="W31" i="35"/>
  <c r="AC27" i="35"/>
  <c r="H42" i="21"/>
  <c r="AB42" i="21" s="1"/>
  <c r="F9" i="21"/>
  <c r="F15" i="33"/>
  <c r="J23" i="36"/>
  <c r="G569" i="3"/>
  <c r="G535" i="3"/>
  <c r="G528" i="3"/>
  <c r="G520" i="3"/>
  <c r="G500" i="3"/>
  <c r="BA391" i="3"/>
  <c r="BL392" i="3"/>
  <c r="BL399" i="3"/>
  <c r="G400" i="3"/>
  <c r="BL405" i="3"/>
  <c r="BA406" i="3"/>
  <c r="G410" i="3"/>
  <c r="G411" i="3"/>
  <c r="BA411" i="3"/>
  <c r="BL414" i="3"/>
  <c r="G420" i="3"/>
  <c r="BA422" i="3"/>
  <c r="BA426" i="3"/>
  <c r="BL428" i="3"/>
  <c r="BL429" i="3"/>
  <c r="G430" i="3"/>
  <c r="BL434" i="3"/>
  <c r="BA441" i="3"/>
  <c r="G449" i="3"/>
  <c r="BL450" i="3"/>
  <c r="BL453" i="3"/>
  <c r="G454" i="3"/>
  <c r="BL462" i="3"/>
  <c r="G463" i="3"/>
  <c r="BA464" i="3"/>
  <c r="G467" i="3"/>
  <c r="G468" i="3"/>
  <c r="BL473" i="3"/>
  <c r="BL475" i="3"/>
  <c r="BA309" i="3"/>
  <c r="AZ309" i="3" s="1"/>
  <c r="BA311" i="3"/>
  <c r="BL314" i="3"/>
  <c r="AZ314" i="3" s="1"/>
  <c r="BA315" i="3"/>
  <c r="AZ315" i="3" s="1"/>
  <c r="G336" i="3"/>
  <c r="BL376" i="3"/>
  <c r="AZ376" i="3" s="1"/>
  <c r="BL380" i="3"/>
  <c r="AZ380" i="3" s="1"/>
  <c r="G381" i="3"/>
  <c r="BL384" i="3"/>
  <c r="G207" i="3"/>
  <c r="BA208" i="3"/>
  <c r="AZ208" i="3" s="1"/>
  <c r="BL208" i="3"/>
  <c r="BL210" i="3"/>
  <c r="G211" i="3"/>
  <c r="BA212" i="3"/>
  <c r="G215" i="3"/>
  <c r="G224" i="3"/>
  <c r="BL227" i="3"/>
  <c r="G228" i="3"/>
  <c r="BA229" i="3"/>
  <c r="AZ229" i="3" s="1"/>
  <c r="BL237" i="3"/>
  <c r="G238" i="3"/>
  <c r="M7" i="12"/>
  <c r="AZ396" i="3"/>
  <c r="H26" i="37"/>
  <c r="G490" i="3"/>
  <c r="G489" i="3"/>
  <c r="G19" i="3"/>
  <c r="F7" i="1"/>
  <c r="G7" i="1" s="1"/>
  <c r="BL389" i="3"/>
  <c r="BL390" i="3"/>
  <c r="BA393" i="3"/>
  <c r="BL396" i="3"/>
  <c r="BL397" i="3"/>
  <c r="G398" i="3"/>
  <c r="BL407" i="3"/>
  <c r="BL411" i="3"/>
  <c r="BA414" i="3"/>
  <c r="AZ414" i="3" s="1"/>
  <c r="G417" i="3"/>
  <c r="G423" i="3"/>
  <c r="BA434" i="3"/>
  <c r="BL439" i="3"/>
  <c r="BL448" i="3"/>
  <c r="G451" i="3"/>
  <c r="G452" i="3"/>
  <c r="BL455" i="3"/>
  <c r="G456" i="3"/>
  <c r="BA457" i="3"/>
  <c r="AZ457" i="3" s="1"/>
  <c r="BL457" i="3"/>
  <c r="G460" i="3"/>
  <c r="BL471" i="3"/>
  <c r="G472" i="3"/>
  <c r="BA473" i="3"/>
  <c r="BA477" i="3"/>
  <c r="G480" i="3"/>
  <c r="BL334" i="3"/>
  <c r="BA335" i="3"/>
  <c r="BL217" i="3"/>
  <c r="BA219" i="3"/>
  <c r="BL221" i="3"/>
  <c r="G223" i="3"/>
  <c r="BA223" i="3"/>
  <c r="BA232" i="3"/>
  <c r="BA254" i="3"/>
  <c r="BA258" i="3"/>
  <c r="BL258" i="3"/>
  <c r="J42" i="21"/>
  <c r="AC42" i="21" s="1"/>
  <c r="BL393" i="3"/>
  <c r="BL394" i="3"/>
  <c r="BL416" i="3"/>
  <c r="BA418" i="3"/>
  <c r="BL418" i="3"/>
  <c r="BA423" i="3"/>
  <c r="BL430" i="3"/>
  <c r="BA433" i="3"/>
  <c r="BL435" i="3"/>
  <c r="BL437" i="3"/>
  <c r="BL442" i="3"/>
  <c r="BL445" i="3"/>
  <c r="BA447" i="3"/>
  <c r="AZ447" i="3" s="1"/>
  <c r="BL447" i="3"/>
  <c r="BL465" i="3"/>
  <c r="BA476" i="3"/>
  <c r="BA317" i="3"/>
  <c r="AZ317" i="3" s="1"/>
  <c r="BL319" i="3"/>
  <c r="BA321" i="3"/>
  <c r="AZ321" i="3" s="1"/>
  <c r="BA325" i="3"/>
  <c r="AZ325" i="3" s="1"/>
  <c r="BA334" i="3"/>
  <c r="BL385" i="3"/>
  <c r="AZ385" i="3" s="1"/>
  <c r="BL386" i="3"/>
  <c r="G387" i="3"/>
  <c r="BA214" i="3"/>
  <c r="G221" i="3"/>
  <c r="BA222" i="3"/>
  <c r="BL224" i="3"/>
  <c r="G225" i="3"/>
  <c r="BL229" i="3"/>
  <c r="G239" i="3"/>
  <c r="G243" i="3"/>
  <c r="BA245" i="3"/>
  <c r="G234" i="3"/>
  <c r="BL238" i="3"/>
  <c r="AZ238" i="3" s="1"/>
  <c r="BL239" i="3"/>
  <c r="G240" i="3"/>
  <c r="BL243" i="3"/>
  <c r="G245" i="3"/>
  <c r="G249" i="3"/>
  <c r="BA253" i="3"/>
  <c r="AZ253" i="3" s="1"/>
  <c r="G259" i="3"/>
  <c r="G260" i="3"/>
  <c r="BA260" i="3"/>
  <c r="BL264" i="3"/>
  <c r="BL267" i="3"/>
  <c r="BA270" i="3"/>
  <c r="BA273" i="3"/>
  <c r="AZ273" i="3" s="1"/>
  <c r="G279" i="3"/>
  <c r="BA280" i="3"/>
  <c r="BL280" i="3"/>
  <c r="G283" i="3"/>
  <c r="G284" i="3"/>
  <c r="BA284" i="3"/>
  <c r="G287" i="3"/>
  <c r="BA291" i="3"/>
  <c r="AZ291" i="3" s="1"/>
  <c r="BL118" i="3"/>
  <c r="AZ118" i="3" s="1"/>
  <c r="BA125" i="3"/>
  <c r="G151" i="3"/>
  <c r="G152" i="3"/>
  <c r="BA152" i="3"/>
  <c r="BL163" i="3"/>
  <c r="G164" i="3"/>
  <c r="G169" i="3"/>
  <c r="G172" i="3"/>
  <c r="G176" i="3"/>
  <c r="BL183" i="3"/>
  <c r="G184" i="3"/>
  <c r="BL194" i="3"/>
  <c r="BL199" i="3"/>
  <c r="G200" i="3"/>
  <c r="BA202" i="3"/>
  <c r="BA26" i="3"/>
  <c r="BA31" i="3"/>
  <c r="G36" i="3"/>
  <c r="G37" i="3"/>
  <c r="G46" i="3"/>
  <c r="G50" i="3"/>
  <c r="G59" i="3"/>
  <c r="G60" i="3"/>
  <c r="BL63" i="3"/>
  <c r="AZ63" i="3" s="1"/>
  <c r="BA67" i="3"/>
  <c r="BL67" i="3"/>
  <c r="G69" i="3"/>
  <c r="G70" i="3"/>
  <c r="G81" i="3"/>
  <c r="BL81" i="3"/>
  <c r="BL83" i="3"/>
  <c r="G91" i="3"/>
  <c r="G92" i="3"/>
  <c r="BA92" i="3"/>
  <c r="BL95" i="3"/>
  <c r="G97" i="3"/>
  <c r="BL97" i="3"/>
  <c r="BA98" i="3"/>
  <c r="AZ98" i="3" s="1"/>
  <c r="G102" i="3"/>
  <c r="G108" i="3"/>
  <c r="BL108" i="3"/>
  <c r="BL112" i="3"/>
  <c r="Y39" i="59"/>
  <c r="Z39" i="59" s="1"/>
  <c r="BL261" i="3"/>
  <c r="G263" i="3"/>
  <c r="G267" i="3"/>
  <c r="BA268" i="3"/>
  <c r="G271" i="3"/>
  <c r="BL275" i="3"/>
  <c r="BL276" i="3"/>
  <c r="G277" i="3"/>
  <c r="G291" i="3"/>
  <c r="G293" i="3"/>
  <c r="BL294" i="3"/>
  <c r="G114" i="3"/>
  <c r="BL114" i="3"/>
  <c r="AZ114" i="3" s="1"/>
  <c r="BA115" i="3"/>
  <c r="AZ115" i="3" s="1"/>
  <c r="L108" i="46"/>
  <c r="S18" i="36"/>
  <c r="AA21" i="21"/>
  <c r="BA123" i="3"/>
  <c r="AZ123" i="3" s="1"/>
  <c r="G127" i="3"/>
  <c r="BL146" i="3"/>
  <c r="AZ146" i="3" s="1"/>
  <c r="G154" i="3"/>
  <c r="BA162" i="3"/>
  <c r="AZ162" i="3" s="1"/>
  <c r="BA163" i="3"/>
  <c r="G165" i="3"/>
  <c r="BA171" i="3"/>
  <c r="G174" i="3"/>
  <c r="BA175" i="3"/>
  <c r="G178" i="3"/>
  <c r="BA179" i="3"/>
  <c r="AZ179" i="3" s="1"/>
  <c r="BL191" i="3"/>
  <c r="G192" i="3"/>
  <c r="BA194" i="3"/>
  <c r="BA204" i="3"/>
  <c r="G23" i="3"/>
  <c r="BL23" i="3"/>
  <c r="BA24" i="3"/>
  <c r="G27" i="3"/>
  <c r="BA28" i="3"/>
  <c r="G31" i="3"/>
  <c r="BA34" i="3"/>
  <c r="BA37" i="3"/>
  <c r="G43" i="3"/>
  <c r="BA45" i="3"/>
  <c r="G47" i="3"/>
  <c r="BL47" i="3"/>
  <c r="BA48" i="3"/>
  <c r="BL50" i="3"/>
  <c r="G51" i="3"/>
  <c r="BL60" i="3"/>
  <c r="G61" i="3"/>
  <c r="BA76" i="3"/>
  <c r="BL76" i="3"/>
  <c r="G78" i="3"/>
  <c r="BL86" i="3"/>
  <c r="G87" i="3"/>
  <c r="BL92" i="3"/>
  <c r="G94" i="3"/>
  <c r="G95" i="3"/>
  <c r="BA95" i="3"/>
  <c r="BL98" i="3"/>
  <c r="BA111" i="3"/>
  <c r="B44" i="59"/>
  <c r="B45" i="59" s="1"/>
  <c r="S45" i="59" s="1"/>
  <c r="BA248" i="3"/>
  <c r="AZ248" i="3" s="1"/>
  <c r="BL256" i="3"/>
  <c r="BL259" i="3"/>
  <c r="BA266" i="3"/>
  <c r="BL266" i="3"/>
  <c r="BA281" i="3"/>
  <c r="BL283" i="3"/>
  <c r="BA286" i="3"/>
  <c r="G113" i="3"/>
  <c r="BA113" i="3"/>
  <c r="G117" i="3"/>
  <c r="BL128" i="3"/>
  <c r="BL129" i="3"/>
  <c r="BA131" i="3"/>
  <c r="AZ131" i="3" s="1"/>
  <c r="BL132" i="3"/>
  <c r="BA143" i="3"/>
  <c r="AZ143" i="3" s="1"/>
  <c r="BL144" i="3"/>
  <c r="BL145" i="3"/>
  <c r="BL155" i="3"/>
  <c r="BL156" i="3"/>
  <c r="BA158" i="3"/>
  <c r="AZ158" i="3" s="1"/>
  <c r="BL159" i="3"/>
  <c r="BL168" i="3"/>
  <c r="BA170" i="3"/>
  <c r="AZ170" i="3" s="1"/>
  <c r="BL173" i="3"/>
  <c r="AZ173" i="3" s="1"/>
  <c r="BA174" i="3"/>
  <c r="AZ174" i="3" s="1"/>
  <c r="BL177" i="3"/>
  <c r="BL178" i="3"/>
  <c r="AZ178" i="3" s="1"/>
  <c r="BL187" i="3"/>
  <c r="BL190" i="3"/>
  <c r="BA203" i="3"/>
  <c r="BL27" i="3"/>
  <c r="BL65" i="3"/>
  <c r="BA66" i="3"/>
  <c r="AZ66" i="3" s="1"/>
  <c r="BA72" i="3"/>
  <c r="BL75" i="3"/>
  <c r="BL84" i="3"/>
  <c r="BA99" i="3"/>
  <c r="BA100" i="3"/>
  <c r="BA104" i="3"/>
  <c r="BA110" i="3"/>
  <c r="P27" i="6"/>
  <c r="O66" i="59"/>
  <c r="AB26" i="59"/>
  <c r="Y28" i="59"/>
  <c r="Z28" i="59" s="1"/>
  <c r="Y32" i="59"/>
  <c r="Z32" i="59" s="1"/>
  <c r="Y33" i="59"/>
  <c r="Z33" i="59" s="1"/>
  <c r="C56" i="59"/>
  <c r="C57" i="59" s="1"/>
  <c r="AC12" i="46"/>
  <c r="AZ562" i="3"/>
  <c r="H113" i="21"/>
  <c r="H37" i="21"/>
  <c r="U37" i="21" s="1"/>
  <c r="F37" i="21"/>
  <c r="J37" i="21"/>
  <c r="H14" i="66"/>
  <c r="B7" i="66" s="1"/>
  <c r="AZ500" i="3"/>
  <c r="S22" i="35"/>
  <c r="W34" i="21"/>
  <c r="W39" i="37"/>
  <c r="AC39" i="37"/>
  <c r="AZ16" i="3"/>
  <c r="AC34" i="33"/>
  <c r="W34" i="40"/>
  <c r="S33" i="40"/>
  <c r="AZ507" i="3"/>
  <c r="AZ547" i="3"/>
  <c r="AZ549" i="3"/>
  <c r="AZ381" i="3"/>
  <c r="AZ331" i="3"/>
  <c r="AZ379" i="3"/>
  <c r="AZ303" i="3"/>
  <c r="W23" i="37"/>
  <c r="U23" i="37"/>
  <c r="AZ540" i="3"/>
  <c r="AZ542" i="3"/>
  <c r="AZ502" i="3"/>
  <c r="AB40" i="37"/>
  <c r="U13" i="21"/>
  <c r="J9" i="33"/>
  <c r="F9" i="33"/>
  <c r="AA9" i="33" s="1"/>
  <c r="AC27" i="40"/>
  <c r="E69" i="46"/>
  <c r="B67" i="46" s="1"/>
  <c r="AZ538" i="3"/>
  <c r="AZ510" i="3"/>
  <c r="AZ552" i="3"/>
  <c r="BG5" i="3"/>
  <c r="AZ490" i="3"/>
  <c r="AZ518" i="3"/>
  <c r="AZ539" i="3"/>
  <c r="AZ571" i="3"/>
  <c r="AZ297" i="3"/>
  <c r="AZ365" i="3"/>
  <c r="AZ355" i="3"/>
  <c r="AZ374" i="3"/>
  <c r="AZ363" i="3"/>
  <c r="AZ338" i="3"/>
  <c r="AZ482" i="3"/>
  <c r="AZ532" i="3"/>
  <c r="AZ560" i="3"/>
  <c r="AZ564" i="3"/>
  <c r="AZ544" i="3"/>
  <c r="AZ556" i="3"/>
  <c r="AZ545" i="3"/>
  <c r="W46" i="33"/>
  <c r="AA45" i="21"/>
  <c r="BL14" i="3"/>
  <c r="AZ14" i="3" s="1"/>
  <c r="BB5" i="3"/>
  <c r="E5" i="6" s="1"/>
  <c r="D12" i="11" s="1"/>
  <c r="C12" i="11" s="1"/>
  <c r="AZ411" i="3"/>
  <c r="AZ473" i="3"/>
  <c r="F34" i="35"/>
  <c r="G525" i="3"/>
  <c r="G503" i="3"/>
  <c r="G481" i="3"/>
  <c r="A11" i="55"/>
  <c r="B62" i="63" s="1"/>
  <c r="G391" i="3"/>
  <c r="BL395" i="3"/>
  <c r="BA399" i="3"/>
  <c r="AZ399" i="3" s="1"/>
  <c r="BA400" i="3"/>
  <c r="BA402" i="3"/>
  <c r="BA404" i="3"/>
  <c r="BA407" i="3"/>
  <c r="AZ407" i="3" s="1"/>
  <c r="BA409" i="3"/>
  <c r="BA416" i="3"/>
  <c r="AZ416" i="3" s="1"/>
  <c r="BA419" i="3"/>
  <c r="AZ419" i="3" s="1"/>
  <c r="BA425" i="3"/>
  <c r="AZ425" i="3" s="1"/>
  <c r="BL432" i="3"/>
  <c r="BL438" i="3"/>
  <c r="BA440" i="3"/>
  <c r="AZ440" i="3" s="1"/>
  <c r="BA442" i="3"/>
  <c r="AZ442" i="3" s="1"/>
  <c r="BA444" i="3"/>
  <c r="BL444" i="3"/>
  <c r="BA446" i="3"/>
  <c r="BA448" i="3"/>
  <c r="AZ448" i="3" s="1"/>
  <c r="BA450" i="3"/>
  <c r="AZ450" i="3" s="1"/>
  <c r="BA452" i="3"/>
  <c r="BL452" i="3"/>
  <c r="BA454" i="3"/>
  <c r="BA456" i="3"/>
  <c r="BL458" i="3"/>
  <c r="BA462" i="3"/>
  <c r="AZ462" i="3" s="1"/>
  <c r="BA463" i="3"/>
  <c r="BL466" i="3"/>
  <c r="BL468" i="3"/>
  <c r="BL469" i="3"/>
  <c r="BA472" i="3"/>
  <c r="BL479" i="3"/>
  <c r="BA297" i="3"/>
  <c r="BA301" i="3"/>
  <c r="AZ301" i="3" s="1"/>
  <c r="BL312" i="3"/>
  <c r="AZ312" i="3" s="1"/>
  <c r="AZ334" i="3"/>
  <c r="H34" i="35"/>
  <c r="G552" i="3"/>
  <c r="G532" i="3"/>
  <c r="G527" i="3"/>
  <c r="G486" i="3"/>
  <c r="K145" i="21"/>
  <c r="BA389" i="3"/>
  <c r="AZ389" i="3" s="1"/>
  <c r="BA394" i="3"/>
  <c r="AZ394" i="3" s="1"/>
  <c r="BA397" i="3"/>
  <c r="AZ397" i="3" s="1"/>
  <c r="BL404" i="3"/>
  <c r="G406" i="3"/>
  <c r="G407" i="3"/>
  <c r="BA410" i="3"/>
  <c r="G419" i="3"/>
  <c r="BL422" i="3"/>
  <c r="AZ422" i="3" s="1"/>
  <c r="BL423" i="3"/>
  <c r="AZ423" i="3" s="1"/>
  <c r="G424" i="3"/>
  <c r="BA428" i="3"/>
  <c r="AZ428" i="3" s="1"/>
  <c r="BA429" i="3"/>
  <c r="BL433" i="3"/>
  <c r="AZ433" i="3" s="1"/>
  <c r="BA435" i="3"/>
  <c r="AZ435" i="3" s="1"/>
  <c r="G438" i="3"/>
  <c r="G442" i="3"/>
  <c r="BA445" i="3"/>
  <c r="AZ445" i="3" s="1"/>
  <c r="G448" i="3"/>
  <c r="BL449" i="3"/>
  <c r="AZ449" i="3" s="1"/>
  <c r="G450" i="3"/>
  <c r="BA453" i="3"/>
  <c r="AZ453" i="3" s="1"/>
  <c r="BA455" i="3"/>
  <c r="AZ455" i="3" s="1"/>
  <c r="G458" i="3"/>
  <c r="BA459" i="3"/>
  <c r="AZ459" i="3" s="1"/>
  <c r="BL459" i="3"/>
  <c r="BA461" i="3"/>
  <c r="AZ461" i="3" s="1"/>
  <c r="BL464" i="3"/>
  <c r="G465" i="3"/>
  <c r="G466" i="3"/>
  <c r="BA467" i="3"/>
  <c r="AZ467" i="3" s="1"/>
  <c r="BA470" i="3"/>
  <c r="AZ470" i="3" s="1"/>
  <c r="BA471" i="3"/>
  <c r="AZ471" i="3" s="1"/>
  <c r="BL474" i="3"/>
  <c r="AZ474" i="3" s="1"/>
  <c r="G475" i="3"/>
  <c r="G476" i="3"/>
  <c r="BL476" i="3"/>
  <c r="AZ476" i="3" s="1"/>
  <c r="BL477" i="3"/>
  <c r="AZ477" i="3" s="1"/>
  <c r="G478" i="3"/>
  <c r="G479" i="3"/>
  <c r="BA480" i="3"/>
  <c r="AZ480" i="3" s="1"/>
  <c r="BL302" i="3"/>
  <c r="AZ302" i="3" s="1"/>
  <c r="BL306" i="3"/>
  <c r="AZ306" i="3" s="1"/>
  <c r="G307" i="3"/>
  <c r="G570" i="3"/>
  <c r="I4" i="6"/>
  <c r="BO5" i="3"/>
  <c r="F29" i="6" s="1"/>
  <c r="BJ5" i="3"/>
  <c r="G555" i="3"/>
  <c r="G553" i="3"/>
  <c r="G547" i="3"/>
  <c r="G519" i="3"/>
  <c r="G495" i="3"/>
  <c r="G487" i="3"/>
  <c r="G14" i="3"/>
  <c r="BA390" i="3"/>
  <c r="AZ390" i="3" s="1"/>
  <c r="G401" i="3"/>
  <c r="BL401" i="3"/>
  <c r="AZ401" i="3" s="1"/>
  <c r="BL402" i="3"/>
  <c r="G403" i="3"/>
  <c r="G404" i="3"/>
  <c r="BA405" i="3"/>
  <c r="AZ405" i="3" s="1"/>
  <c r="BL408" i="3"/>
  <c r="BL409" i="3"/>
  <c r="BL410" i="3"/>
  <c r="G412" i="3"/>
  <c r="G413" i="3"/>
  <c r="G414" i="3"/>
  <c r="G415" i="3"/>
  <c r="BL415" i="3"/>
  <c r="AZ415" i="3" s="1"/>
  <c r="G418" i="3"/>
  <c r="G421" i="3"/>
  <c r="BA427" i="3"/>
  <c r="BL427" i="3"/>
  <c r="AZ427" i="3" s="1"/>
  <c r="BA430" i="3"/>
  <c r="AZ430" i="3" s="1"/>
  <c r="G433" i="3"/>
  <c r="BA438" i="3"/>
  <c r="AZ438" i="3" s="1"/>
  <c r="BA439" i="3"/>
  <c r="AZ439" i="3" s="1"/>
  <c r="BL443" i="3"/>
  <c r="G445" i="3"/>
  <c r="BL446" i="3"/>
  <c r="G447" i="3"/>
  <c r="BL451" i="3"/>
  <c r="G453" i="3"/>
  <c r="BL454" i="3"/>
  <c r="G455" i="3"/>
  <c r="BL456" i="3"/>
  <c r="G457" i="3"/>
  <c r="BA458" i="3"/>
  <c r="AZ458" i="3" s="1"/>
  <c r="BL463" i="3"/>
  <c r="G464" i="3"/>
  <c r="BA465" i="3"/>
  <c r="AZ465" i="3" s="1"/>
  <c r="BA466" i="3"/>
  <c r="AZ466" i="3" s="1"/>
  <c r="BA469" i="3"/>
  <c r="AZ469" i="3" s="1"/>
  <c r="BL472" i="3"/>
  <c r="G473" i="3"/>
  <c r="G474" i="3"/>
  <c r="BA475" i="3"/>
  <c r="AZ475" i="3" s="1"/>
  <c r="BA478" i="3"/>
  <c r="AZ478" i="3" s="1"/>
  <c r="BA479" i="3"/>
  <c r="AZ479" i="3" s="1"/>
  <c r="BL310" i="3"/>
  <c r="AZ310" i="3" s="1"/>
  <c r="G311" i="3"/>
  <c r="BA318" i="3"/>
  <c r="AZ318" i="3" s="1"/>
  <c r="BA319" i="3"/>
  <c r="AZ319" i="3" s="1"/>
  <c r="BL335" i="3"/>
  <c r="AZ335" i="3" s="1"/>
  <c r="BA337" i="3"/>
  <c r="AZ337" i="3" s="1"/>
  <c r="BA313" i="3"/>
  <c r="AZ313" i="3" s="1"/>
  <c r="BL316" i="3"/>
  <c r="AZ316" i="3" s="1"/>
  <c r="G317" i="3"/>
  <c r="BL326" i="3"/>
  <c r="AZ326" i="3" s="1"/>
  <c r="BL330" i="3"/>
  <c r="AZ330" i="3" s="1"/>
  <c r="G331" i="3"/>
  <c r="G341" i="3"/>
  <c r="G345" i="3"/>
  <c r="BL348" i="3"/>
  <c r="AZ348" i="3" s="1"/>
  <c r="G349" i="3"/>
  <c r="BL364" i="3"/>
  <c r="AZ364" i="3" s="1"/>
  <c r="G365" i="3"/>
  <c r="BL368" i="3"/>
  <c r="BA387" i="3"/>
  <c r="AZ387" i="3" s="1"/>
  <c r="BL387" i="3"/>
  <c r="BA205" i="3"/>
  <c r="BL205" i="3"/>
  <c r="BA207" i="3"/>
  <c r="AZ207" i="3" s="1"/>
  <c r="BL209" i="3"/>
  <c r="G210" i="3"/>
  <c r="BA211" i="3"/>
  <c r="BL211" i="3"/>
  <c r="G214" i="3"/>
  <c r="BL214" i="3"/>
  <c r="BL215" i="3"/>
  <c r="G216" i="3"/>
  <c r="G217" i="3"/>
  <c r="BA218" i="3"/>
  <c r="BL225" i="3"/>
  <c r="G226" i="3"/>
  <c r="BA227" i="3"/>
  <c r="AZ227" i="3" s="1"/>
  <c r="BA228" i="3"/>
  <c r="BA231" i="3"/>
  <c r="BL234" i="3"/>
  <c r="G235" i="3"/>
  <c r="G236" i="3"/>
  <c r="BA237" i="3"/>
  <c r="AZ237" i="3" s="1"/>
  <c r="BA240" i="3"/>
  <c r="AZ240" i="3" s="1"/>
  <c r="BA241" i="3"/>
  <c r="BL245" i="3"/>
  <c r="AZ245" i="3" s="1"/>
  <c r="G247" i="3"/>
  <c r="BL247" i="3"/>
  <c r="BL249" i="3"/>
  <c r="G250" i="3"/>
  <c r="BL252" i="3"/>
  <c r="G253" i="3"/>
  <c r="BA257" i="3"/>
  <c r="BA259" i="3"/>
  <c r="AZ259" i="3" s="1"/>
  <c r="BA261" i="3"/>
  <c r="AZ261" i="3" s="1"/>
  <c r="BA263" i="3"/>
  <c r="AZ263" i="3" s="1"/>
  <c r="BL263" i="3"/>
  <c r="BA265" i="3"/>
  <c r="BA267" i="3"/>
  <c r="AZ267" i="3" s="1"/>
  <c r="G270" i="3"/>
  <c r="BL270" i="3"/>
  <c r="AZ270" i="3" s="1"/>
  <c r="BL271" i="3"/>
  <c r="G272" i="3"/>
  <c r="BA277" i="3"/>
  <c r="AZ277" i="3" s="1"/>
  <c r="BL277" i="3"/>
  <c r="BA279" i="3"/>
  <c r="BA283" i="3"/>
  <c r="AZ283" i="3" s="1"/>
  <c r="G286" i="3"/>
  <c r="BL286" i="3"/>
  <c r="AZ286" i="3" s="1"/>
  <c r="BL287" i="3"/>
  <c r="G288" i="3"/>
  <c r="BA289" i="3"/>
  <c r="AZ289" i="3" s="1"/>
  <c r="BA290" i="3"/>
  <c r="BL290" i="3"/>
  <c r="BA292" i="3"/>
  <c r="BA293" i="3"/>
  <c r="BL121" i="3"/>
  <c r="BA144" i="3"/>
  <c r="AZ144" i="3" s="1"/>
  <c r="BA341" i="3"/>
  <c r="AZ341" i="3" s="1"/>
  <c r="BA350" i="3"/>
  <c r="AZ350" i="3" s="1"/>
  <c r="BA351" i="3"/>
  <c r="AZ351" i="3" s="1"/>
  <c r="BA369" i="3"/>
  <c r="AZ369" i="3" s="1"/>
  <c r="BA375" i="3"/>
  <c r="AZ375" i="3" s="1"/>
  <c r="BL382" i="3"/>
  <c r="AZ382" i="3" s="1"/>
  <c r="BA384" i="3"/>
  <c r="AZ384" i="3" s="1"/>
  <c r="BA386" i="3"/>
  <c r="AZ386" i="3" s="1"/>
  <c r="BA206" i="3"/>
  <c r="AZ206" i="3" s="1"/>
  <c r="BA210" i="3"/>
  <c r="AZ210" i="3" s="1"/>
  <c r="BL212" i="3"/>
  <c r="AZ212" i="3" s="1"/>
  <c r="BA216" i="3"/>
  <c r="AZ216" i="3" s="1"/>
  <c r="BA217" i="3"/>
  <c r="AZ217" i="3" s="1"/>
  <c r="BL220" i="3"/>
  <c r="AZ220" i="3" s="1"/>
  <c r="BL222" i="3"/>
  <c r="AZ222" i="3" s="1"/>
  <c r="BL223" i="3"/>
  <c r="AZ223" i="3" s="1"/>
  <c r="BA226" i="3"/>
  <c r="AZ226" i="3" s="1"/>
  <c r="BL233" i="3"/>
  <c r="AZ233" i="3" s="1"/>
  <c r="BA235" i="3"/>
  <c r="AZ235" i="3" s="1"/>
  <c r="BA236" i="3"/>
  <c r="AZ236" i="3" s="1"/>
  <c r="BA239" i="3"/>
  <c r="AZ239" i="3" s="1"/>
  <c r="BL242" i="3"/>
  <c r="BL246" i="3"/>
  <c r="BL250" i="3"/>
  <c r="BL254" i="3"/>
  <c r="AZ254" i="3" s="1"/>
  <c r="BA256" i="3"/>
  <c r="AZ256" i="3" s="1"/>
  <c r="BL260" i="3"/>
  <c r="AZ260" i="3" s="1"/>
  <c r="BA264" i="3"/>
  <c r="AZ264" i="3" s="1"/>
  <c r="BL268" i="3"/>
  <c r="AZ268" i="3" s="1"/>
  <c r="BA272" i="3"/>
  <c r="AZ272" i="3" s="1"/>
  <c r="BL272" i="3"/>
  <c r="BA274" i="3"/>
  <c r="BL274" i="3"/>
  <c r="BA276" i="3"/>
  <c r="AZ276" i="3" s="1"/>
  <c r="BL281" i="3"/>
  <c r="AZ281" i="3" s="1"/>
  <c r="BL284" i="3"/>
  <c r="AZ284" i="3" s="1"/>
  <c r="BA288" i="3"/>
  <c r="BL288" i="3"/>
  <c r="G315" i="3"/>
  <c r="G325" i="3"/>
  <c r="G329" i="3"/>
  <c r="BL332" i="3"/>
  <c r="AZ332" i="3" s="1"/>
  <c r="G333" i="3"/>
  <c r="BL342" i="3"/>
  <c r="AZ342" i="3" s="1"/>
  <c r="BL346" i="3"/>
  <c r="AZ346" i="3" s="1"/>
  <c r="G347" i="3"/>
  <c r="G363" i="3"/>
  <c r="BL366" i="3"/>
  <c r="AZ366" i="3" s="1"/>
  <c r="G367" i="3"/>
  <c r="BA368" i="3"/>
  <c r="AZ368" i="3" s="1"/>
  <c r="BA383" i="3"/>
  <c r="AZ383" i="3" s="1"/>
  <c r="G388" i="3"/>
  <c r="BL388" i="3"/>
  <c r="AZ388" i="3" s="1"/>
  <c r="G206" i="3"/>
  <c r="BL207" i="3"/>
  <c r="G208" i="3"/>
  <c r="BA209" i="3"/>
  <c r="AZ209" i="3" s="1"/>
  <c r="G212" i="3"/>
  <c r="BA213" i="3"/>
  <c r="BL213" i="3"/>
  <c r="BA215" i="3"/>
  <c r="AZ215" i="3" s="1"/>
  <c r="BL218" i="3"/>
  <c r="G219" i="3"/>
  <c r="G220" i="3"/>
  <c r="BA221" i="3"/>
  <c r="AZ221" i="3" s="1"/>
  <c r="BA224" i="3"/>
  <c r="AZ224" i="3" s="1"/>
  <c r="BA225" i="3"/>
  <c r="BL228" i="3"/>
  <c r="G229" i="3"/>
  <c r="G230" i="3"/>
  <c r="BL230" i="3"/>
  <c r="BL231" i="3"/>
  <c r="G232" i="3"/>
  <c r="G233" i="3"/>
  <c r="BA234" i="3"/>
  <c r="BL241" i="3"/>
  <c r="G242" i="3"/>
  <c r="BA243" i="3"/>
  <c r="AZ243" i="3" s="1"/>
  <c r="G244" i="3"/>
  <c r="BA244" i="3"/>
  <c r="BA246" i="3"/>
  <c r="AZ246" i="3" s="1"/>
  <c r="BA249" i="3"/>
  <c r="AZ249" i="3" s="1"/>
  <c r="BA252" i="3"/>
  <c r="G258" i="3"/>
  <c r="BL262" i="3"/>
  <c r="G264" i="3"/>
  <c r="BL265" i="3"/>
  <c r="G266" i="3"/>
  <c r="BA269" i="3"/>
  <c r="BL269" i="3"/>
  <c r="BA271" i="3"/>
  <c r="BA275" i="3"/>
  <c r="AZ275" i="3" s="1"/>
  <c r="G278" i="3"/>
  <c r="BL278" i="3"/>
  <c r="AZ278" i="3" s="1"/>
  <c r="BL279" i="3"/>
  <c r="G280" i="3"/>
  <c r="BA285" i="3"/>
  <c r="BL285" i="3"/>
  <c r="BA287" i="3"/>
  <c r="BL289" i="3"/>
  <c r="BA294" i="3"/>
  <c r="AZ294" i="3" s="1"/>
  <c r="BA295" i="3"/>
  <c r="AZ295" i="3" s="1"/>
  <c r="BA296" i="3"/>
  <c r="AZ296" i="3" s="1"/>
  <c r="BA116" i="3"/>
  <c r="BA148" i="3"/>
  <c r="AZ148" i="3" s="1"/>
  <c r="AZ219" i="3"/>
  <c r="AZ232" i="3"/>
  <c r="AZ262" i="3"/>
  <c r="BL292" i="3"/>
  <c r="BL293" i="3"/>
  <c r="BL295" i="3"/>
  <c r="BA119" i="3"/>
  <c r="AZ119" i="3" s="1"/>
  <c r="G123" i="3"/>
  <c r="BL124" i="3"/>
  <c r="AZ124" i="3" s="1"/>
  <c r="BL125" i="3"/>
  <c r="AZ125" i="3" s="1"/>
  <c r="G126" i="3"/>
  <c r="BA128" i="3"/>
  <c r="BL130" i="3"/>
  <c r="AZ130" i="3" s="1"/>
  <c r="G131" i="3"/>
  <c r="BA132" i="3"/>
  <c r="AZ132" i="3" s="1"/>
  <c r="G135" i="3"/>
  <c r="BL136" i="3"/>
  <c r="G141" i="3"/>
  <c r="G142" i="3"/>
  <c r="BA145" i="3"/>
  <c r="AZ145" i="3" s="1"/>
  <c r="BA147" i="3"/>
  <c r="AZ147" i="3" s="1"/>
  <c r="BA149" i="3"/>
  <c r="BL152" i="3"/>
  <c r="AZ152" i="3" s="1"/>
  <c r="G153" i="3"/>
  <c r="BA155" i="3"/>
  <c r="BL157" i="3"/>
  <c r="AZ157" i="3" s="1"/>
  <c r="G158" i="3"/>
  <c r="BA159" i="3"/>
  <c r="G162" i="3"/>
  <c r="BA166" i="3"/>
  <c r="AZ166" i="3" s="1"/>
  <c r="G170" i="3"/>
  <c r="BL171" i="3"/>
  <c r="BL172" i="3"/>
  <c r="G173" i="3"/>
  <c r="BL175" i="3"/>
  <c r="BL176" i="3"/>
  <c r="AZ176" i="3" s="1"/>
  <c r="G177" i="3"/>
  <c r="G179" i="3"/>
  <c r="BA181" i="3"/>
  <c r="AZ181" i="3" s="1"/>
  <c r="BA183" i="3"/>
  <c r="AZ183" i="3" s="1"/>
  <c r="BL188" i="3"/>
  <c r="AZ188" i="3" s="1"/>
  <c r="G189" i="3"/>
  <c r="BA190" i="3"/>
  <c r="BL195" i="3"/>
  <c r="AZ195" i="3" s="1"/>
  <c r="G196" i="3"/>
  <c r="BA198" i="3"/>
  <c r="AZ198" i="3" s="1"/>
  <c r="BL202" i="3"/>
  <c r="G203" i="3"/>
  <c r="BL203" i="3"/>
  <c r="AZ203" i="3" s="1"/>
  <c r="BL204" i="3"/>
  <c r="G21" i="3"/>
  <c r="BA22" i="3"/>
  <c r="G25" i="3"/>
  <c r="BL25" i="3"/>
  <c r="BL26" i="3"/>
  <c r="BL28" i="3"/>
  <c r="BL29" i="3"/>
  <c r="BA33" i="3"/>
  <c r="AZ33" i="3" s="1"/>
  <c r="BA36" i="3"/>
  <c r="AZ36" i="3" s="1"/>
  <c r="BA39" i="3"/>
  <c r="AZ39" i="3" s="1"/>
  <c r="G40" i="3"/>
  <c r="BA40" i="3"/>
  <c r="BL44" i="3"/>
  <c r="G45" i="3"/>
  <c r="BA46" i="3"/>
  <c r="G49" i="3"/>
  <c r="BA52" i="3"/>
  <c r="BA84" i="3"/>
  <c r="AZ84" i="3" s="1"/>
  <c r="BA117" i="3"/>
  <c r="BL120" i="3"/>
  <c r="G121" i="3"/>
  <c r="BL122" i="3"/>
  <c r="AZ122" i="3" s="1"/>
  <c r="BA127" i="3"/>
  <c r="AZ127" i="3" s="1"/>
  <c r="G130" i="3"/>
  <c r="G134" i="3"/>
  <c r="BL134" i="3"/>
  <c r="AZ134" i="3" s="1"/>
  <c r="BA136" i="3"/>
  <c r="BL137" i="3"/>
  <c r="G138" i="3"/>
  <c r="BL140" i="3"/>
  <c r="AZ140" i="3" s="1"/>
  <c r="BL141" i="3"/>
  <c r="AZ141" i="3" s="1"/>
  <c r="BL150" i="3"/>
  <c r="AZ150" i="3" s="1"/>
  <c r="BA154" i="3"/>
  <c r="AZ154" i="3" s="1"/>
  <c r="G157" i="3"/>
  <c r="G161" i="3"/>
  <c r="BL161" i="3"/>
  <c r="AZ161" i="3" s="1"/>
  <c r="BA164" i="3"/>
  <c r="G168" i="3"/>
  <c r="BL169" i="3"/>
  <c r="AZ169" i="3" s="1"/>
  <c r="BA180" i="3"/>
  <c r="AZ180" i="3" s="1"/>
  <c r="BL182" i="3"/>
  <c r="G183" i="3"/>
  <c r="G185" i="3"/>
  <c r="BL186" i="3"/>
  <c r="AZ186" i="3" s="1"/>
  <c r="G188" i="3"/>
  <c r="BA189" i="3"/>
  <c r="AZ189" i="3" s="1"/>
  <c r="BL192" i="3"/>
  <c r="AZ192" i="3" s="1"/>
  <c r="G193" i="3"/>
  <c r="G195" i="3"/>
  <c r="BA197" i="3"/>
  <c r="AZ197" i="3" s="1"/>
  <c r="BL200" i="3"/>
  <c r="AZ200" i="3" s="1"/>
  <c r="G201" i="3"/>
  <c r="G202" i="3"/>
  <c r="BA21" i="3"/>
  <c r="G24" i="3"/>
  <c r="BL24" i="3"/>
  <c r="AZ24" i="3" s="1"/>
  <c r="BA27" i="3"/>
  <c r="AZ27" i="3" s="1"/>
  <c r="BA30" i="3"/>
  <c r="BA32" i="3"/>
  <c r="G44" i="3"/>
  <c r="G48" i="3"/>
  <c r="BL48" i="3"/>
  <c r="AZ48" i="3" s="1"/>
  <c r="BA54" i="3"/>
  <c r="BA55" i="3"/>
  <c r="AZ55" i="3" s="1"/>
  <c r="BA56" i="3"/>
  <c r="G58" i="3"/>
  <c r="BL58" i="3"/>
  <c r="D57" i="59"/>
  <c r="T57" i="59"/>
  <c r="AZ163" i="3"/>
  <c r="AZ172" i="3"/>
  <c r="AZ194" i="3"/>
  <c r="AZ58" i="3"/>
  <c r="G63" i="3"/>
  <c r="G64" i="3"/>
  <c r="BL64" i="3"/>
  <c r="G66" i="3"/>
  <c r="BL68" i="3"/>
  <c r="BL72" i="3"/>
  <c r="AZ72" i="3" s="1"/>
  <c r="BA87" i="3"/>
  <c r="AZ87" i="3" s="1"/>
  <c r="D63" i="59"/>
  <c r="C64" i="59"/>
  <c r="G294" i="3"/>
  <c r="G296" i="3"/>
  <c r="BL113" i="3"/>
  <c r="BL116" i="3"/>
  <c r="BL117" i="3"/>
  <c r="BA120" i="3"/>
  <c r="BA121" i="3"/>
  <c r="AZ121" i="3" s="1"/>
  <c r="BL126" i="3"/>
  <c r="AZ126" i="3" s="1"/>
  <c r="BA129" i="3"/>
  <c r="AZ129" i="3" s="1"/>
  <c r="BA133" i="3"/>
  <c r="BL133" i="3"/>
  <c r="BA135" i="3"/>
  <c r="AZ135" i="3" s="1"/>
  <c r="G137" i="3"/>
  <c r="BA137" i="3"/>
  <c r="BA139" i="3"/>
  <c r="AZ139" i="3" s="1"/>
  <c r="BL142" i="3"/>
  <c r="AZ142" i="3" s="1"/>
  <c r="BA151" i="3"/>
  <c r="AZ151" i="3" s="1"/>
  <c r="BL153" i="3"/>
  <c r="AZ153" i="3" s="1"/>
  <c r="BA156" i="3"/>
  <c r="AZ156" i="3" s="1"/>
  <c r="BA160" i="3"/>
  <c r="BL160" i="3"/>
  <c r="BL164" i="3"/>
  <c r="BA167" i="3"/>
  <c r="AZ167" i="3" s="1"/>
  <c r="BA168" i="3"/>
  <c r="AZ168" i="3" s="1"/>
  <c r="BA177" i="3"/>
  <c r="AZ177" i="3" s="1"/>
  <c r="BL180" i="3"/>
  <c r="BA182" i="3"/>
  <c r="AZ182" i="3" s="1"/>
  <c r="BL184" i="3"/>
  <c r="AZ184" i="3" s="1"/>
  <c r="BA187" i="3"/>
  <c r="AZ187" i="3" s="1"/>
  <c r="BA191" i="3"/>
  <c r="AZ191" i="3" s="1"/>
  <c r="BL196" i="3"/>
  <c r="AZ196" i="3" s="1"/>
  <c r="BA199" i="3"/>
  <c r="AZ199" i="3" s="1"/>
  <c r="BL21" i="3"/>
  <c r="BL22" i="3"/>
  <c r="BA23" i="3"/>
  <c r="AZ23" i="3" s="1"/>
  <c r="BL30" i="3"/>
  <c r="BL31" i="3"/>
  <c r="AZ31" i="3" s="1"/>
  <c r="BL32" i="3"/>
  <c r="BL34" i="3"/>
  <c r="BL35" i="3"/>
  <c r="BL37" i="3"/>
  <c r="BL38" i="3"/>
  <c r="G41" i="3"/>
  <c r="BL41" i="3"/>
  <c r="G57" i="3"/>
  <c r="BA57" i="3"/>
  <c r="BA60" i="3"/>
  <c r="AZ60" i="3" s="1"/>
  <c r="D45" i="59"/>
  <c r="T45" i="59"/>
  <c r="D59" i="59"/>
  <c r="C60" i="59"/>
  <c r="Q66" i="59"/>
  <c r="Q67" i="59"/>
  <c r="D84" i="59"/>
  <c r="C83" i="59"/>
  <c r="D83" i="59" s="1"/>
  <c r="AZ92" i="3"/>
  <c r="AZ95" i="3"/>
  <c r="AZ104" i="3"/>
  <c r="Q68" i="59"/>
  <c r="AB28" i="59"/>
  <c r="AA26" i="59"/>
  <c r="C31" i="59"/>
  <c r="D31" i="59" s="1"/>
  <c r="C48" i="59"/>
  <c r="D48" i="59" s="1"/>
  <c r="E68" i="59"/>
  <c r="D85" i="59"/>
  <c r="D89" i="59"/>
  <c r="BA75" i="3"/>
  <c r="AZ75" i="3" s="1"/>
  <c r="BL77" i="3"/>
  <c r="BA78" i="3"/>
  <c r="AZ78" i="3" s="1"/>
  <c r="BA79" i="3"/>
  <c r="AZ79" i="3" s="1"/>
  <c r="BA80" i="3"/>
  <c r="G84" i="3"/>
  <c r="BL85" i="3"/>
  <c r="BA86" i="3"/>
  <c r="AZ86" i="3" s="1"/>
  <c r="BL88" i="3"/>
  <c r="BA97" i="3"/>
  <c r="AZ97" i="3" s="1"/>
  <c r="BL100" i="3"/>
  <c r="BL102" i="3"/>
  <c r="BA108" i="3"/>
  <c r="AZ108" i="3" s="1"/>
  <c r="BA109" i="3"/>
  <c r="AB24" i="59"/>
  <c r="BA35" i="3"/>
  <c r="BA38" i="3"/>
  <c r="G42" i="3"/>
  <c r="BL43" i="3"/>
  <c r="AZ43" i="3" s="1"/>
  <c r="BL46" i="3"/>
  <c r="AZ46" i="3" s="1"/>
  <c r="BA47" i="3"/>
  <c r="AZ47" i="3" s="1"/>
  <c r="BL53" i="3"/>
  <c r="AZ53" i="3" s="1"/>
  <c r="G55" i="3"/>
  <c r="BA59" i="3"/>
  <c r="BA62" i="3"/>
  <c r="BA65" i="3"/>
  <c r="BA68" i="3"/>
  <c r="BA69" i="3"/>
  <c r="BA71" i="3"/>
  <c r="BA74" i="3"/>
  <c r="BA77" i="3"/>
  <c r="AZ77" i="3" s="1"/>
  <c r="BL80" i="3"/>
  <c r="G82" i="3"/>
  <c r="BL82" i="3"/>
  <c r="BA85" i="3"/>
  <c r="AZ85" i="3" s="1"/>
  <c r="BA88" i="3"/>
  <c r="BA89" i="3"/>
  <c r="BA91" i="3"/>
  <c r="BA94" i="3"/>
  <c r="G100" i="3"/>
  <c r="G101" i="3"/>
  <c r="BA101" i="3"/>
  <c r="AZ101" i="3" s="1"/>
  <c r="BA102" i="3"/>
  <c r="BA103" i="3"/>
  <c r="BA106" i="3"/>
  <c r="BL109" i="3"/>
  <c r="BL110" i="3"/>
  <c r="AZ110" i="3" s="1"/>
  <c r="G112" i="3"/>
  <c r="O67" i="59"/>
  <c r="D44" i="59"/>
  <c r="U69" i="59"/>
  <c r="AB29" i="59"/>
  <c r="B32" i="59"/>
  <c r="B33" i="59" s="1"/>
  <c r="S33" i="59" s="1"/>
  <c r="AA37" i="59"/>
  <c r="X38" i="59"/>
  <c r="E52" i="59"/>
  <c r="E53" i="59" s="1"/>
  <c r="U53" i="59" s="1"/>
  <c r="E56" i="59"/>
  <c r="E57" i="59" s="1"/>
  <c r="U57" i="59" s="1"/>
  <c r="B76" i="59"/>
  <c r="B75" i="59" s="1"/>
  <c r="B80" i="59"/>
  <c r="B79" i="59" s="1"/>
  <c r="AG12" i="46"/>
  <c r="K76" i="9"/>
  <c r="BL70" i="3"/>
  <c r="AZ70" i="3" s="1"/>
  <c r="G73" i="3"/>
  <c r="BL73" i="3"/>
  <c r="AZ73" i="3" s="1"/>
  <c r="G80" i="3"/>
  <c r="BA81" i="3"/>
  <c r="AZ81" i="3" s="1"/>
  <c r="BA82" i="3"/>
  <c r="AZ82" i="3" s="1"/>
  <c r="BA83" i="3"/>
  <c r="AZ83" i="3" s="1"/>
  <c r="BL89" i="3"/>
  <c r="BL90" i="3"/>
  <c r="AZ90" i="3" s="1"/>
  <c r="BL91" i="3"/>
  <c r="G93" i="3"/>
  <c r="BL93" i="3"/>
  <c r="BL94" i="3"/>
  <c r="G96" i="3"/>
  <c r="BL96" i="3"/>
  <c r="G98" i="3"/>
  <c r="G99" i="3"/>
  <c r="BL99" i="3"/>
  <c r="AZ99" i="3" s="1"/>
  <c r="BL103" i="3"/>
  <c r="G105" i="3"/>
  <c r="BL105" i="3"/>
  <c r="BL106" i="3"/>
  <c r="BL107" i="3"/>
  <c r="AZ107" i="3" s="1"/>
  <c r="G109" i="3"/>
  <c r="BL111" i="3"/>
  <c r="BA112" i="3"/>
  <c r="AZ112" i="3" s="1"/>
  <c r="AB31" i="59"/>
  <c r="AB33" i="59"/>
  <c r="AB34" i="59"/>
  <c r="AB35" i="59"/>
  <c r="AB36" i="59"/>
  <c r="AB37" i="59"/>
  <c r="Y38" i="59"/>
  <c r="Z38" i="59" s="1"/>
  <c r="B60" i="59"/>
  <c r="B61" i="59" s="1"/>
  <c r="S61" i="59" s="1"/>
  <c r="F80" i="59"/>
  <c r="F79" i="59" s="1"/>
  <c r="AA12" i="46"/>
  <c r="AI12" i="46"/>
  <c r="D25" i="59"/>
  <c r="O76" i="9"/>
  <c r="J51" i="15"/>
  <c r="C42" i="1"/>
  <c r="C7" i="73"/>
  <c r="C58" i="73" s="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F30" i="6" s="1"/>
  <c r="G29" i="6"/>
  <c r="E29" i="6" s="1"/>
  <c r="L19"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N16" i="4"/>
  <c r="AP7" i="1"/>
  <c r="G9" i="1"/>
  <c r="G12" i="1"/>
  <c r="G8" i="1"/>
  <c r="A4" i="51"/>
  <c r="B6" i="63" s="1"/>
  <c r="A9" i="51"/>
  <c r="B9" i="63" s="1"/>
  <c r="F20" i="59"/>
  <c r="F19" i="59" s="1"/>
  <c r="F18" i="59" s="1"/>
  <c r="F17" i="59" s="1"/>
  <c r="V21" i="59"/>
  <c r="B20" i="59"/>
  <c r="B19" i="59" s="1"/>
  <c r="B18" i="59" s="1"/>
  <c r="S21" i="59"/>
  <c r="AZ13" i="3"/>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AZ421" i="3" s="1"/>
  <c r="G422" i="3"/>
  <c r="BL426" i="3"/>
  <c r="AZ426" i="3" s="1"/>
  <c r="G427" i="3"/>
  <c r="BA431" i="3"/>
  <c r="BA432" i="3"/>
  <c r="AZ432" i="3" s="1"/>
  <c r="G435" i="3"/>
  <c r="BA436" i="3"/>
  <c r="AZ436" i="3" s="1"/>
  <c r="BA437" i="3"/>
  <c r="AZ437" i="3" s="1"/>
  <c r="G440" i="3"/>
  <c r="AZ443" i="3"/>
  <c r="AZ451" i="3"/>
  <c r="AZ464" i="3"/>
  <c r="AZ214" i="3"/>
  <c r="BL244" i="3"/>
  <c r="AZ244" i="3" s="1"/>
  <c r="BL257" i="3"/>
  <c r="AZ257" i="3" s="1"/>
  <c r="AZ271" i="3"/>
  <c r="AZ287" i="3"/>
  <c r="AZ202" i="3"/>
  <c r="AZ204" i="3"/>
  <c r="AZ26" i="3"/>
  <c r="AZ29" i="3"/>
  <c r="G248" i="3"/>
  <c r="G251" i="3"/>
  <c r="AZ113" i="3"/>
  <c r="AZ116" i="3"/>
  <c r="AZ128" i="3"/>
  <c r="AZ149" i="3"/>
  <c r="AZ155" i="3"/>
  <c r="AZ159" i="3"/>
  <c r="AZ190" i="3"/>
  <c r="AZ22" i="3"/>
  <c r="AZ34" i="3"/>
  <c r="AZ37" i="3"/>
  <c r="AZ57" i="3"/>
  <c r="BA247" i="3"/>
  <c r="AZ247" i="3" s="1"/>
  <c r="BA250" i="3"/>
  <c r="AZ250" i="3" s="1"/>
  <c r="G256" i="3"/>
  <c r="AZ293" i="3"/>
  <c r="AZ117" i="3"/>
  <c r="AZ136" i="3"/>
  <c r="AZ171" i="3"/>
  <c r="AZ175" i="3"/>
  <c r="AZ21" i="3"/>
  <c r="AZ25" i="3"/>
  <c r="AZ28" i="3"/>
  <c r="AZ30" i="3"/>
  <c r="AZ38" i="3"/>
  <c r="BL74" i="3"/>
  <c r="AZ74" i="3" s="1"/>
  <c r="BL45" i="3"/>
  <c r="AZ45" i="3" s="1"/>
  <c r="BL52" i="3"/>
  <c r="AZ52" i="3" s="1"/>
  <c r="BL56" i="3"/>
  <c r="AZ56" i="3" s="1"/>
  <c r="AZ61" i="3"/>
  <c r="AZ64" i="3"/>
  <c r="AZ93" i="3"/>
  <c r="AZ96" i="3"/>
  <c r="AZ100" i="3"/>
  <c r="AZ105" i="3"/>
  <c r="AZ111" i="3"/>
  <c r="BA41" i="3"/>
  <c r="AZ41" i="3" s="1"/>
  <c r="BL42" i="3"/>
  <c r="AZ42" i="3" s="1"/>
  <c r="BA44" i="3"/>
  <c r="AZ44" i="3" s="1"/>
  <c r="BA50" i="3"/>
  <c r="AZ50" i="3" s="1"/>
  <c r="BA51" i="3"/>
  <c r="AZ51" i="3" s="1"/>
  <c r="AZ62" i="3"/>
  <c r="AZ65" i="3"/>
  <c r="AZ68" i="3"/>
  <c r="AZ76" i="3"/>
  <c r="AZ109" i="3"/>
  <c r="BL40" i="3"/>
  <c r="AZ40" i="3" s="1"/>
  <c r="BL49" i="3"/>
  <c r="AZ49" i="3" s="1"/>
  <c r="BL54" i="3"/>
  <c r="AZ54" i="3" s="1"/>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L27" i="6"/>
  <c r="K15" i="1"/>
  <c r="O11" i="1"/>
  <c r="P11" i="1" s="1"/>
  <c r="D21" i="12"/>
  <c r="C21" i="12" s="1"/>
  <c r="O6" i="1"/>
  <c r="P6" i="1" s="1"/>
  <c r="O12" i="1"/>
  <c r="P12" i="1" s="1"/>
  <c r="O10" i="1"/>
  <c r="P10" i="1" s="1"/>
  <c r="O9" i="1"/>
  <c r="P9" i="1" s="1"/>
  <c r="O13" i="1"/>
  <c r="P13" i="1" s="1"/>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M9" i="44"/>
  <c r="J8" i="44" s="1"/>
  <c r="L60" i="44"/>
  <c r="L59" i="44"/>
  <c r="I55" i="44"/>
  <c r="J54" i="44"/>
  <c r="L57" i="44"/>
  <c r="J58" i="44"/>
  <c r="J56" i="44" s="1"/>
  <c r="J59" i="44" s="1"/>
  <c r="Q52" i="44" s="1"/>
  <c r="J60" i="44"/>
  <c r="J61" i="44"/>
  <c r="Q50" i="44" s="1"/>
  <c r="C4" i="65"/>
  <c r="B39" i="1" s="1"/>
  <c r="I6" i="65"/>
  <c r="L47" i="15"/>
  <c r="F40" i="15"/>
  <c r="F8" i="15"/>
  <c r="M23" i="15"/>
  <c r="J7" i="65"/>
  <c r="L48" i="15"/>
  <c r="M6" i="15"/>
  <c r="F6" i="15"/>
  <c r="F7" i="15"/>
  <c r="F38" i="15"/>
  <c r="I5" i="65"/>
  <c r="F37" i="15"/>
  <c r="F42" i="15"/>
  <c r="F26" i="15"/>
  <c r="M27" i="15"/>
  <c r="M8" i="15"/>
  <c r="F43" i="15"/>
  <c r="J3" i="65"/>
  <c r="M9" i="15"/>
  <c r="C18" i="44"/>
  <c r="J6" i="65"/>
  <c r="J15" i="15"/>
  <c r="F13" i="15"/>
  <c r="M24" i="15"/>
  <c r="J36" i="15"/>
  <c r="M29" i="15"/>
  <c r="F9" i="15"/>
  <c r="F16" i="15"/>
  <c r="F36" i="15"/>
  <c r="M22" i="15"/>
  <c r="M28" i="15"/>
  <c r="M26" i="15"/>
  <c r="I1" i="65" l="1"/>
  <c r="AZ106" i="3"/>
  <c r="AA46" i="21"/>
  <c r="S46" i="21"/>
  <c r="K17" i="4"/>
  <c r="A22" i="51" s="1"/>
  <c r="B16" i="63" s="1"/>
  <c r="AZ88" i="3"/>
  <c r="AZ35" i="3"/>
  <c r="AZ213" i="3"/>
  <c r="AZ290" i="3"/>
  <c r="AZ444" i="3"/>
  <c r="AZ266" i="3"/>
  <c r="AZ67" i="3"/>
  <c r="AZ280" i="3"/>
  <c r="AZ258" i="3"/>
  <c r="AZ434" i="3"/>
  <c r="AB26" i="37"/>
  <c r="U26" i="37"/>
  <c r="AC23" i="36"/>
  <c r="W23" i="36"/>
  <c r="S44" i="33"/>
  <c r="AA44" i="33"/>
  <c r="AZ472" i="3"/>
  <c r="AZ463" i="3"/>
  <c r="AZ454" i="3"/>
  <c r="AZ393" i="3"/>
  <c r="AA15" i="33"/>
  <c r="S15" i="33"/>
  <c r="M15" i="12"/>
  <c r="AZ160" i="3"/>
  <c r="AZ292" i="3"/>
  <c r="AZ231" i="3"/>
  <c r="AZ418" i="3"/>
  <c r="S9" i="21"/>
  <c r="AA9" i="21"/>
  <c r="W14" i="21"/>
  <c r="AC14" i="21"/>
  <c r="AZ91" i="3"/>
  <c r="P68" i="59"/>
  <c r="E67" i="59"/>
  <c r="AZ274" i="3"/>
  <c r="AZ279" i="3"/>
  <c r="AZ265" i="3"/>
  <c r="AZ228" i="3"/>
  <c r="AZ205" i="3"/>
  <c r="AZ410" i="3"/>
  <c r="AB34" i="35"/>
  <c r="U34" i="35"/>
  <c r="AZ452" i="3"/>
  <c r="AZ402" i="3"/>
  <c r="AZ431" i="3"/>
  <c r="E15" i="6"/>
  <c r="AZ89" i="3"/>
  <c r="AZ80" i="3"/>
  <c r="D60" i="59"/>
  <c r="C61" i="59"/>
  <c r="C65" i="59"/>
  <c r="D64" i="59"/>
  <c r="AZ164" i="3"/>
  <c r="AZ252" i="3"/>
  <c r="AZ225" i="3"/>
  <c r="AZ241" i="3"/>
  <c r="AZ456" i="3"/>
  <c r="AZ409" i="3"/>
  <c r="W37" i="21"/>
  <c r="AC37" i="21"/>
  <c r="AZ103" i="3"/>
  <c r="S37" i="21"/>
  <c r="AA37" i="21"/>
  <c r="AZ102" i="3"/>
  <c r="AZ94" i="3"/>
  <c r="AZ137" i="3"/>
  <c r="AZ133" i="3"/>
  <c r="AZ120" i="3"/>
  <c r="AZ32" i="3"/>
  <c r="AZ285" i="3"/>
  <c r="AZ269" i="3"/>
  <c r="AZ288" i="3"/>
  <c r="AZ211" i="3"/>
  <c r="AZ446" i="3"/>
  <c r="AZ404" i="3"/>
  <c r="F7" i="73"/>
  <c r="H7" i="73"/>
  <c r="D58" i="73"/>
  <c r="E58" i="73" s="1"/>
  <c r="F58" i="73" s="1"/>
  <c r="G58" i="73" s="1"/>
  <c r="H58" i="73" s="1"/>
  <c r="I58" i="73" s="1"/>
  <c r="J58" i="73" s="1"/>
  <c r="K58" i="73" s="1"/>
  <c r="L58" i="73" s="1"/>
  <c r="M58" i="73" s="1"/>
  <c r="N58" i="73" s="1"/>
  <c r="O58" i="73" s="1"/>
  <c r="J7" i="73"/>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B67" i="59"/>
  <c r="N68" i="59"/>
  <c r="AC36" i="35"/>
  <c r="W36" i="35"/>
  <c r="AA23" i="36"/>
  <c r="S23" i="36"/>
  <c r="AC9" i="34"/>
  <c r="W9" i="34"/>
  <c r="AC44" i="21"/>
  <c r="W44" i="21"/>
  <c r="AC25" i="37"/>
  <c r="W25" i="37"/>
  <c r="BL5" i="3"/>
  <c r="E16" i="59"/>
  <c r="E15" i="59" s="1"/>
  <c r="E14" i="59" s="1"/>
  <c r="E13" i="59" s="1"/>
  <c r="U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E66" i="39"/>
  <c r="E61" i="40"/>
  <c r="H7" i="34"/>
  <c r="U7" i="34" s="1"/>
  <c r="F7" i="34"/>
  <c r="AA7" i="34" s="1"/>
  <c r="R49" i="34" s="1"/>
  <c r="J7" i="34"/>
  <c r="W7" i="34" s="1"/>
  <c r="G16" i="1"/>
  <c r="J12" i="40" s="1"/>
  <c r="F7" i="21"/>
  <c r="AA7" i="21" s="1"/>
  <c r="H7" i="21"/>
  <c r="AB7" i="21" s="1"/>
  <c r="B12" i="59"/>
  <c r="S13" i="59"/>
  <c r="H7" i="35"/>
  <c r="U7" i="35" s="1"/>
  <c r="E64" i="40"/>
  <c r="D66" i="40"/>
  <c r="S7" i="34"/>
  <c r="J7" i="37"/>
  <c r="W7" i="21"/>
  <c r="AC7" i="21"/>
  <c r="D71" i="39"/>
  <c r="E69" i="39"/>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C16" i="15"/>
  <c r="E2" i="65"/>
  <c r="AE9" i="1"/>
  <c r="E3" i="65"/>
  <c r="B40" i="1" l="1"/>
  <c r="E12" i="59"/>
  <c r="AZ5" i="3"/>
  <c r="E3" i="6" s="1"/>
  <c r="C33" i="33" s="1"/>
  <c r="AB7" i="34"/>
  <c r="T49" i="34" s="1"/>
  <c r="G49" i="34" s="1"/>
  <c r="F33" i="12"/>
  <c r="C34" i="12" s="1"/>
  <c r="D33" i="12" s="1"/>
  <c r="C33" i="21"/>
  <c r="C33" i="73"/>
  <c r="T65" i="59"/>
  <c r="D65" i="59"/>
  <c r="E30" i="6"/>
  <c r="D61" i="59"/>
  <c r="T61" i="59"/>
  <c r="P66" i="59"/>
  <c r="P67" i="59"/>
  <c r="AC7" i="73"/>
  <c r="W7" i="73"/>
  <c r="AC7" i="34"/>
  <c r="V49" i="34" s="1"/>
  <c r="I49" i="34" s="1"/>
  <c r="G54" i="34" s="1"/>
  <c r="H54" i="34" s="1"/>
  <c r="U7" i="73"/>
  <c r="AB7" i="73"/>
  <c r="S7" i="73"/>
  <c r="AA7" i="73"/>
  <c r="W7" i="33"/>
  <c r="S4" i="46"/>
  <c r="S6" i="46"/>
  <c r="S2" i="46"/>
  <c r="S7" i="46"/>
  <c r="T7" i="46" s="1"/>
  <c r="V7" i="46" s="1"/>
  <c r="S3" i="46"/>
  <c r="S5" i="46"/>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U7" i="33"/>
  <c r="G53" i="34"/>
  <c r="H53" i="34" s="1"/>
  <c r="AC7" i="37"/>
  <c r="V42" i="37" s="1"/>
  <c r="I42" i="37" s="1"/>
  <c r="W7" i="37"/>
  <c r="AA7" i="33"/>
  <c r="S7" i="33"/>
  <c r="F69" i="39"/>
  <c r="E71" i="39"/>
  <c r="R50" i="34"/>
  <c r="E49" i="34"/>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I53" i="34" l="1"/>
  <c r="J53" i="34" s="1"/>
  <c r="G43" i="35"/>
  <c r="H43" i="35" s="1"/>
  <c r="H33" i="21"/>
  <c r="F33" i="21"/>
  <c r="J33" i="21"/>
  <c r="G42" i="35"/>
  <c r="H42" i="35" s="1"/>
  <c r="F33" i="33"/>
  <c r="J33" i="33"/>
  <c r="H33" i="33"/>
  <c r="H33" i="73"/>
  <c r="F33" i="73"/>
  <c r="J33" i="7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F7" i="67"/>
  <c r="C17" i="15"/>
  <c r="C19" i="44"/>
  <c r="S33" i="21" l="1"/>
  <c r="AA33" i="21"/>
  <c r="AC33" i="73"/>
  <c r="W33" i="73"/>
  <c r="AB33" i="33"/>
  <c r="U33" i="33"/>
  <c r="U33" i="21"/>
  <c r="AB33" i="21"/>
  <c r="S33" i="73"/>
  <c r="AA33" i="73"/>
  <c r="AC33" i="33"/>
  <c r="W33" i="33"/>
  <c r="AB33" i="73"/>
  <c r="U33" i="73"/>
  <c r="AA33" i="33"/>
  <c r="S33" i="33"/>
  <c r="W33" i="21"/>
  <c r="AC33" i="21"/>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D5" i="6"/>
  <c r="D26" i="6"/>
  <c r="D20" i="6"/>
  <c r="D10" i="6"/>
  <c r="H22" i="6"/>
  <c r="R22" i="6" s="1"/>
  <c r="R9" i="1" s="1"/>
  <c r="H24" i="6"/>
  <c r="D12" i="6"/>
  <c r="H21" i="6"/>
  <c r="H20" i="6"/>
  <c r="H26" i="6"/>
  <c r="D23" i="6"/>
  <c r="F45" i="9"/>
  <c r="D28" i="6"/>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E7" i="67"/>
  <c r="B7" i="67"/>
  <c r="D30" i="6" l="1"/>
  <c r="R24" i="6"/>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7" i="66"/>
  <c r="D16" i="6"/>
  <c r="R23" i="6"/>
  <c r="R20" i="6"/>
  <c r="R7" i="1" s="1"/>
  <c r="C17" i="43"/>
  <c r="C14" i="43"/>
  <c r="C14" i="12"/>
  <c r="C17" i="12"/>
  <c r="I64" i="40"/>
  <c r="H66" i="40"/>
  <c r="H71" i="39"/>
  <c r="I69" i="39"/>
  <c r="N46" i="36"/>
  <c r="E3" i="67"/>
  <c r="B2" i="67"/>
  <c r="D4" i="46"/>
  <c r="B3" i="46"/>
  <c r="B4" i="46"/>
  <c r="M23" i="44"/>
  <c r="C16" i="44"/>
  <c r="M21" i="15"/>
  <c r="C14" i="15"/>
  <c r="F35" i="15"/>
  <c r="F37" i="44"/>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F11" i="73" l="1"/>
  <c r="H11" i="73"/>
  <c r="J11" i="73"/>
  <c r="H11" i="21"/>
  <c r="F11" i="21"/>
  <c r="J11" i="21"/>
  <c r="H13" i="39"/>
  <c r="F13" i="39"/>
  <c r="J13" i="39"/>
  <c r="F11" i="33"/>
  <c r="H11" i="33"/>
  <c r="J11" i="33"/>
  <c r="D15" i="59"/>
  <c r="C14" i="59"/>
  <c r="E5" i="59"/>
  <c r="U5" i="59" s="1"/>
  <c r="B5" i="59"/>
  <c r="C21" i="43"/>
  <c r="R37" i="36"/>
  <c r="E36" i="36"/>
  <c r="I41" i="36" s="1"/>
  <c r="J41" i="36" s="1"/>
  <c r="K66" i="40"/>
  <c r="L64" i="40"/>
  <c r="G41" i="36"/>
  <c r="H41" i="36" s="1"/>
  <c r="G40" i="36"/>
  <c r="H40" i="36" s="1"/>
  <c r="I40" i="36"/>
  <c r="J40" i="36" s="1"/>
  <c r="L69" i="39"/>
  <c r="K71" i="39"/>
  <c r="AB13" i="39" l="1"/>
  <c r="U13" i="39"/>
  <c r="AC11" i="33"/>
  <c r="V48" i="33" s="1"/>
  <c r="I48" i="33" s="1"/>
  <c r="W11" i="33"/>
  <c r="S13" i="39"/>
  <c r="AA13" i="39"/>
  <c r="U11" i="21"/>
  <c r="AB11" i="21"/>
  <c r="T48" i="21" s="1"/>
  <c r="G48" i="21" s="1"/>
  <c r="U11" i="33"/>
  <c r="AB11" i="33"/>
  <c r="T48" i="33" s="1"/>
  <c r="G48" i="33" s="1"/>
  <c r="S11" i="33"/>
  <c r="AA11" i="33"/>
  <c r="R48" i="33" s="1"/>
  <c r="W11" i="21"/>
  <c r="AC11" i="21"/>
  <c r="V48" i="21" s="1"/>
  <c r="I48" i="21" s="1"/>
  <c r="AB11" i="73"/>
  <c r="T48" i="73" s="1"/>
  <c r="G48" i="73" s="1"/>
  <c r="U11" i="73"/>
  <c r="AC11" i="73"/>
  <c r="V48" i="73" s="1"/>
  <c r="I48" i="73" s="1"/>
  <c r="W11" i="73"/>
  <c r="AC13" i="39"/>
  <c r="W13" i="39"/>
  <c r="S11" i="21"/>
  <c r="AA11" i="21"/>
  <c r="R48" i="21" s="1"/>
  <c r="AA11" i="73"/>
  <c r="R48" i="73" s="1"/>
  <c r="S11" i="73"/>
  <c r="D14" i="59"/>
  <c r="C13" i="59"/>
  <c r="S5" i="59"/>
  <c r="L71" i="39"/>
  <c r="M69" i="39"/>
  <c r="M64" i="40"/>
  <c r="L66" i="40"/>
  <c r="E40" i="36"/>
  <c r="F40" i="36" s="1"/>
  <c r="E41" i="36"/>
  <c r="F41" i="36" s="1"/>
  <c r="C37" i="36"/>
  <c r="B3" i="36" s="1"/>
  <c r="B2" i="36" s="1"/>
  <c r="C36" i="36"/>
  <c r="G52" i="73" l="1"/>
  <c r="H52" i="73" s="1"/>
  <c r="G53" i="73"/>
  <c r="H53" i="73" s="1"/>
  <c r="E48" i="33"/>
  <c r="I53" i="33" s="1"/>
  <c r="J53" i="33" s="1"/>
  <c r="R49" i="33"/>
  <c r="G52" i="21"/>
  <c r="H52" i="21" s="1"/>
  <c r="G53" i="21"/>
  <c r="H53" i="21" s="1"/>
  <c r="R49" i="73"/>
  <c r="E48" i="73"/>
  <c r="I52" i="21"/>
  <c r="J52" i="21" s="1"/>
  <c r="G53" i="33"/>
  <c r="H53" i="33" s="1"/>
  <c r="G52" i="33"/>
  <c r="H52" i="33" s="1"/>
  <c r="I52" i="33"/>
  <c r="J52" i="33" s="1"/>
  <c r="E48" i="21"/>
  <c r="I53" i="21" s="1"/>
  <c r="J53" i="21" s="1"/>
  <c r="R49" i="21"/>
  <c r="I52" i="73"/>
  <c r="J52" i="73" s="1"/>
  <c r="C12" i="59"/>
  <c r="T13" i="59"/>
  <c r="D13" i="59"/>
  <c r="N64" i="40"/>
  <c r="N66" i="40" s="1"/>
  <c r="M66" i="40"/>
  <c r="N69" i="39"/>
  <c r="N71" i="39" s="1"/>
  <c r="M71" i="39"/>
  <c r="C48" i="21" l="1"/>
  <c r="C49" i="21"/>
  <c r="B3" i="21" s="1"/>
  <c r="E53" i="73"/>
  <c r="F53" i="73" s="1"/>
  <c r="E52" i="73"/>
  <c r="F52" i="73" s="1"/>
  <c r="C48" i="33"/>
  <c r="C49" i="33"/>
  <c r="B3" i="33" s="1"/>
  <c r="E53" i="21"/>
  <c r="F53" i="21" s="1"/>
  <c r="E52" i="21"/>
  <c r="F52" i="21" s="1"/>
  <c r="C49" i="73"/>
  <c r="B3" i="73" s="1"/>
  <c r="C48" i="73"/>
  <c r="E52" i="33"/>
  <c r="F52" i="33" s="1"/>
  <c r="E53" i="33"/>
  <c r="F53" i="33" s="1"/>
  <c r="I53" i="73"/>
  <c r="J53" i="73" s="1"/>
  <c r="C11" i="59"/>
  <c r="D12" i="59"/>
  <c r="J9" i="40"/>
  <c r="H9" i="40"/>
  <c r="F9" i="40"/>
  <c r="J9" i="39"/>
  <c r="H9" i="39"/>
  <c r="F9" i="39"/>
  <c r="B2" i="33" l="1"/>
  <c r="R24" i="31"/>
  <c r="C8" i="12"/>
  <c r="B2" i="21"/>
  <c r="C10" i="12" s="1"/>
  <c r="B2" i="73"/>
  <c r="E10" i="12" s="1"/>
  <c r="E8" i="12"/>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D10" i="12" l="1"/>
  <c r="M6" i="12" s="1"/>
  <c r="M8" i="12" s="1"/>
  <c r="B20" i="31"/>
  <c r="R22"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8" i="12"/>
  <c r="B21" i="31"/>
  <c r="D7" i="59"/>
  <c r="C6" i="59"/>
  <c r="B5" i="40"/>
  <c r="B4" i="40"/>
  <c r="B3" i="40"/>
  <c r="C19" i="9"/>
  <c r="B3" i="39" l="1"/>
  <c r="B4"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K37" i="15" l="1"/>
  <c r="K38" i="15" s="1"/>
  <c r="J22" i="15"/>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F10" i="12"/>
  <c r="Q76" i="15"/>
  <c r="Q69" i="44"/>
  <c r="Q59" i="44"/>
  <c r="Q64" i="44" s="1"/>
  <c r="Q68" i="44"/>
  <c r="Q77" i="44" s="1"/>
  <c r="C6" i="12" l="1"/>
  <c r="C24" i="12" s="1"/>
  <c r="N10" i="12"/>
  <c r="F8" i="12"/>
  <c r="C29" i="12" l="1"/>
  <c r="C35" i="12"/>
  <c r="C33" i="12" s="1"/>
  <c r="C28" i="12"/>
  <c r="C26" i="12" s="1"/>
  <c r="C31" i="12" l="1"/>
  <c r="C30" i="12" s="1"/>
  <c r="C36" i="12" s="1"/>
  <c r="B2" i="12" s="1"/>
  <c r="D19" i="9"/>
  <c r="L44" i="9" l="1"/>
  <c r="G19" i="9"/>
  <c r="D22" i="9"/>
  <c r="B3" i="12"/>
  <c r="B5" i="12"/>
  <c r="B4" i="12"/>
  <c r="D21" i="9"/>
  <c r="D20" i="9"/>
  <c r="K19" i="9" l="1"/>
  <c r="L19" i="9"/>
  <c r="N22" i="1"/>
  <c r="K20" i="9"/>
  <c r="G21" i="9"/>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H12" i="75" l="1"/>
  <c r="L14" i="66"/>
  <c r="M14" i="66"/>
  <c r="J14" i="66"/>
  <c r="K14" i="66"/>
  <c r="C82" i="9"/>
  <c r="C81" i="9" s="1"/>
  <c r="C85" i="9" s="1"/>
  <c r="C86" i="9" s="1"/>
  <c r="D72" i="9" s="1"/>
  <c r="D71" i="9"/>
  <c r="D66" i="9" s="1"/>
  <c r="N72" i="9" s="1"/>
  <c r="D73" i="9"/>
  <c r="N73" i="9" s="1"/>
  <c r="C103" i="9"/>
  <c r="C96" i="9"/>
  <c r="C91" i="9" s="1"/>
  <c r="C90" i="9"/>
  <c r="C111" i="9"/>
  <c r="C104" i="9" s="1"/>
  <c r="D70" i="9"/>
  <c r="E14" i="66"/>
  <c r="F14" i="66"/>
  <c r="G14" i="66"/>
  <c r="B6" i="66" s="1"/>
  <c r="N69" i="9"/>
  <c r="O39" i="9"/>
  <c r="D44" i="9"/>
  <c r="F44" i="9"/>
  <c r="E44" i="9"/>
  <c r="H16" i="75" l="1"/>
  <c r="H13" i="75"/>
  <c r="H17" i="75"/>
  <c r="C97" i="9"/>
  <c r="C98" i="9" s="1"/>
  <c r="E98" i="9" s="1"/>
  <c r="E99" i="9" s="1"/>
  <c r="R6" i="54"/>
  <c r="B50" i="63" s="1"/>
  <c r="K29" i="9"/>
  <c r="K30" i="9" s="1"/>
  <c r="C6" i="66"/>
  <c r="D6" i="66"/>
  <c r="C113" i="9"/>
  <c r="M88" i="9"/>
  <c r="N88" i="9" s="1"/>
  <c r="M87" i="9"/>
  <c r="N87" i="9" s="1"/>
  <c r="M86" i="9"/>
  <c r="N86" i="9" s="1"/>
  <c r="M85" i="9"/>
  <c r="N85" i="9" s="1"/>
  <c r="M84" i="9"/>
  <c r="N84" i="9" s="1"/>
  <c r="M83" i="9"/>
  <c r="N83" i="9" s="1"/>
  <c r="N89" i="9" l="1"/>
  <c r="O89" i="9" s="1"/>
  <c r="C99" i="9"/>
  <c r="C114" i="9"/>
  <c r="E114" i="9" s="1"/>
  <c r="E115" i="9" s="1"/>
  <c r="C115" i="9" l="1"/>
  <c r="D76" i="9" s="1"/>
  <c r="D74" i="9" s="1"/>
  <c r="N74" i="9" s="1"/>
  <c r="O77" i="9" l="1"/>
  <c r="H18" i="75"/>
  <c r="O78" i="9" l="1"/>
  <c r="H19" i="75"/>
  <c r="Q77" i="9"/>
  <c r="O79" i="9"/>
  <c r="O80" i="9" l="1"/>
  <c r="H20" i="75"/>
  <c r="O81" i="9"/>
  <c r="C46" i="9"/>
  <c r="O41" i="9" s="1"/>
  <c r="R8" i="54" s="1"/>
  <c r="B54" i="63" s="1"/>
  <c r="D15" i="66"/>
  <c r="D46" i="9" l="1"/>
  <c r="K33" i="9"/>
  <c r="K34" i="9" s="1"/>
  <c r="F46" i="9"/>
  <c r="I14" i="66"/>
  <c r="E46" i="9"/>
  <c r="L15" i="66"/>
  <c r="M15" i="66"/>
  <c r="J15" i="66"/>
  <c r="K15" i="66"/>
  <c r="E15" i="66"/>
  <c r="F15" i="66"/>
  <c r="B5" i="66"/>
  <c r="D5" i="66" l="1"/>
  <c r="C5" i="66"/>
  <c r="I15" i="66" l="1"/>
  <c r="B8" i="66" s="1"/>
  <c r="D8" i="66" s="1"/>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<sst xmlns="http://schemas.openxmlformats.org/spreadsheetml/2006/main" count="8186" uniqueCount="3482">
  <si>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</si>
  <si>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</si>
  <si>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</si>
  <si>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</si>
  <si>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</si>
  <si>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</si>
  <si>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</si>
  <si>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</si>
  <si>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</si>
  <si>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</si>
  <si>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</si>
  <si>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</si>
  <si>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</si>
  <si>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</si>
  <si>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</si>
  <si>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</si>
  <si>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</si>
  <si>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</si>
  <si>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</si>
  <si>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</si>
  <si>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</si>
  <si>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</si>
  <si>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</si>
  <si>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</si>
  <si>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</si>
  <si>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</si>
  <si>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</si>
  <si>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</si>
  <si>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</si>
  <si>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</si>
  <si>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</si>
  <si>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</si>
  <si>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</si>
  <si>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</si>
  <si>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</si>
  <si>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</si>
  <si>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</si>
  <si>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</si>
  <si>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</si>
  <si>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</si>
  <si>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</si>
  <si>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</si>
  <si>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</si>
  <si>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</si>
  <si>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</si>
  <si>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</si>
  <si>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</si>
  <si>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</si>
  <si>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</si>
  <si>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</si>
  <si>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</si>
  <si>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</si>
  <si>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</si>
  <si>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</si>
  <si>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</si>
  <si>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</si>
  <si>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</si>
  <si>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</si>
  <si>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</si>
  <si>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</si>
  <si>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</si>
  <si>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</si>
  <si>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</si>
  <si>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</si>
  <si>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</si>
  <si>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</si>
  <si>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</si>
  <si>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</si>
  <si>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</si>
  <si>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</si>
  <si>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</si>
  <si>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</si>
  <si>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</si>
  <si>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</si>
  <si>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</si>
  <si>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</si>
  <si>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</si>
  <si>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</si>
  <si>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</si>
  <si>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</si>
  <si>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</si>
  <si>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</si>
  <si>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</si>
  <si>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</si>
  <si>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</si>
  <si>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</si>
  <si>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</si>
  <si>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</si>
  <si>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</si>
  <si>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</si>
  <si>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</si>
  <si>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</si>
  <si>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</si>
  <si>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</si>
  <si>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</si>
  <si>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</si>
  <si>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</si>
  <si>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</si>
  <si>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</si>
  <si>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</si>
  <si>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</si>
  <si>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</si>
  <si>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</si>
  <si>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</si>
  <si>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</si>
  <si>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</si>
  <si>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</si>
  <si>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</si>
  <si>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</si>
  <si>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</si>
  <si>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</si>
  <si>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</si>
  <si>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</si>
  <si>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</si>
  <si>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</si>
  <si>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</si>
  <si>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</si>
  <si>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</si>
  <si>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</si>
  <si>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</si>
  <si>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</si>
  <si>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</si>
  <si>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</si>
  <si>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</si>
  <si>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</si>
  <si>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</si>
  <si>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</si>
  <si>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</si>
  <si>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</si>
  <si>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</si>
  <si>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</si>
  <si>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</si>
  <si>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</si>
  <si>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</si>
  <si>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</si>
  <si>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</si>
  <si>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</si>
  <si>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</si>
  <si>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</si>
  <si>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</si>
  <si>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</si>
  <si>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</si>
  <si>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</si>
  <si>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</si>
  <si>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</si>
  <si>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</si>
  <si>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</si>
  <si>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</si>
  <si>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</si>
  <si>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</si>
  <si>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</si>
  <si>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</si>
  <si>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</si>
  <si>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</si>
  <si>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</si>
  <si>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</si>
  <si>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</si>
  <si>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</si>
  <si>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</si>
  <si>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</si>
  <si>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</si>
  <si>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</si>
  <si>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</si>
  <si>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</si>
  <si>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</si>
  <si>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</si>
  <si>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</si>
  <si>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</si>
  <si>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</si>
  <si>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</si>
  <si>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</si>
  <si>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</si>
  <si>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</si>
  <si>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</si>
  <si>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</si>
  <si>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</si>
  <si>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</si>
  <si>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</si>
  <si>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</si>
  <si>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</si>
  <si>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</si>
  <si>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</si>
  <si>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</si>
  <si>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</si>
  <si>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</si>
  <si>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</si>
  <si>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</si>
  <si>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</si>
  <si>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</si>
  <si>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</si>
  <si>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</si>
  <si>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</si>
  <si>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</si>
  <si>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</si>
  <si>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</si>
  <si>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</si>
  <si>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</si>
  <si>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</si>
  <si>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</si>
  <si>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</si>
  <si>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</si>
  <si>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</si>
  <si>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</si>
  <si>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</si>
  <si>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</si>
  <si>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</si>
  <si>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</si>
  <si>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</si>
  <si>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</si>
  <si>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</si>
  <si>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</si>
  <si>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</si>
  <si>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</si>
  <si>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</si>
  <si>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</si>
  <si>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</si>
  <si>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</si>
  <si>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</si>
  <si>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</si>
  <si>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</si>
  <si>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</si>
  <si>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</si>
  <si>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</si>
  <si>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</si>
  <si>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</si>
  <si>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</si>
  <si>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</si>
  <si>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</si>
  <si>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</si>
  <si>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</si>
  <si>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</si>
  <si>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</si>
  <si>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</si>
  <si>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</si>
  <si>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</si>
  <si>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</si>
  <si>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</si>
  <si>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</si>
  <si>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</si>
  <si>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</si>
  <si>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</si>
  <si>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</si>
  <si>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</si>
  <si>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</si>
  <si>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</si>
  <si>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</si>
  <si>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</si>
  <si>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</si>
  <si>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</si>
  <si>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</si>
  <si>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</si>
  <si>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</si>
  <si>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</si>
  <si>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</si>
  <si>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</si>
  <si>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</si>
  <si>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</si>
  <si>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</si>
  <si>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</si>
  <si>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</si>
  <si>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</si>
  <si>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</si>
  <si>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</si>
  <si>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</si>
  <si>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</si>
  <si>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</si>
  <si>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</si>
  <si>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</si>
  <si>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</si>
  <si>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</si>
  <si>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</si>
  <si>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</si>
  <si>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</si>
  <si>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</si>
  <si>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</si>
  <si>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</si>
  <si>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</si>
  <si>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</si>
  <si>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</si>
  <si>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</si>
  <si>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</si>
  <si>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</si>
  <si>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</si>
  <si>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</si>
  <si>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</si>
  <si>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</si>
  <si>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</si>
  <si>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</si>
  <si>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</si>
  <si>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</si>
  <si>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</si>
  <si>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</si>
  <si>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</si>
  <si>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</si>
  <si>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</si>
  <si>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</si>
  <si>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</si>
  <si>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</si>
  <si>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</si>
  <si>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</si>
  <si>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</si>
  <si>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</si>
  <si>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</si>
  <si>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</si>
  <si>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</si>
  <si>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</si>
  <si>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</si>
  <si>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</si>
  <si>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</si>
  <si>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</si>
  <si>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</si>
  <si>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</si>
  <si>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</si>
  <si>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</si>
  <si>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</si>
  <si>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</si>
  <si>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</si>
  <si>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</si>
  <si>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</si>
  <si>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</si>
  <si>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</si>
  <si>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</si>
  <si>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</si>
  <si>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</si>
  <si>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</si>
  <si>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</si>
  <si>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</si>
  <si>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</si>
  <si>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</si>
  <si>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</si>
  <si>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</si>
  <si>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</si>
  <si>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</si>
  <si>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</si>
  <si>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</si>
  <si>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</si>
  <si>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</si>
  <si>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</si>
  <si>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</si>
  <si>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</si>
  <si>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</si>
  <si>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</si>
  <si>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</si>
  <si>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</si>
  <si>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</si>
  <si>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</si>
  <si>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</si>
  <si>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</si>
  <si>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</si>
  <si>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</si>
  <si>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</si>
  <si>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</si>
  <si>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</si>
  <si>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</si>
  <si>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</si>
  <si>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</si>
  <si>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</si>
  <si>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</si>
  <si>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</si>
  <si>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</si>
  <si>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</si>
  <si>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</si>
  <si>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</si>
  <si>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</si>
  <si>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</si>
  <si>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</si>
  <si>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</si>
  <si>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</si>
  <si>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</si>
  <si>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</si>
  <si>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</si>
  <si>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</si>
  <si>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</si>
  <si>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</si>
  <si>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</si>
  <si>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</si>
  <si>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</si>
  <si>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</si>
  <si>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</si>
  <si>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</si>
  <si>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</si>
  <si>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</si>
  <si>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</si>
  <si>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</si>
  <si>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</si>
  <si>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</si>
  <si>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</si>
  <si>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</si>
  <si>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</si>
  <si>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</si>
  <si>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</si>
  <si>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</si>
  <si>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</si>
  <si>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</si>
  <si>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</si>
  <si>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</si>
  <si>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</si>
  <si>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</si>
  <si>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</si>
  <si>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</si>
  <si>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</si>
  <si>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</si>
  <si>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</si>
  <si>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</si>
  <si>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</si>
  <si>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</si>
  <si>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</si>
  <si>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</si>
  <si>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</si>
  <si>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</si>
  <si>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</si>
  <si>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</si>
  <si>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</si>
  <si>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</si>
  <si>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</si>
  <si>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</si>
  <si>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</si>
  <si>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</si>
  <si>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</si>
  <si>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</si>
  <si>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</si>
  <si>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</si>
  <si>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</si>
  <si>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</si>
  <si>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</si>
  <si>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</si>
  <si>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</si>
  <si>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</si>
  <si>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</si>
  <si>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</si>
  <si>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</si>
  <si>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</si>
  <si>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</si>
  <si>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</si>
  <si>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</si>
  <si>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</si>
  <si>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</si>
  <si>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</si>
  <si>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</si>
  <si>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</si>
  <si>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</si>
  <si>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</si>
  <si>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</si>
  <si>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</si>
  <si>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</si>
  <si>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</si>
  <si>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</si>
  <si>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</si>
  <si>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</si>
  <si>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</si>
  <si>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</si>
  <si>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</si>
  <si>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</si>
  <si>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</si>
  <si>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</si>
  <si>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</si>
  <si>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</si>
  <si>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</si>
  <si>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</si>
  <si>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</si>
  <si>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</si>
  <si>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</si>
  <si>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</si>
  <si>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</si>
  <si>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</si>
  <si>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</si>
  <si>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</si>
  <si>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</si>
  <si>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</si>
  <si>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</si>
  <si>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</si>
  <si>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</si>
  <si>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</si>
  <si>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</si>
  <si>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</si>
  <si>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</si>
  <si>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</si>
  <si>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</si>
  <si>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</si>
  <si>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</si>
  <si>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</si>
  <si>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</si>
  <si>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</si>
  <si>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</si>
  <si>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</si>
  <si>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</si>
  <si>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</si>
  <si>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</si>
  <si>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</si>
  <si>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</si>
  <si>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</si>
  <si>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</si>
  <si>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</si>
  <si>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</si>
  <si>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</si>
  <si>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</si>
  <si>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</si>
  <si>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</si>
  <si>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</si>
  <si>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</si>
  <si>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</si>
  <si>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</si>
  <si>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</si>
  <si>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</si>
  <si>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</si>
  <si>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</si>
  <si>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</si>
  <si>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</si>
  <si>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</si>
  <si>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</si>
  <si>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</si>
  <si>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</si>
  <si>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</si>
  <si>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</si>
  <si>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</si>
  <si>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</si>
  <si>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</si>
  <si>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</si>
  <si>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</si>
  <si>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</si>
  <si>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</si>
  <si>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</si>
  <si>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</si>
  <si>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</si>
  <si>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</si>
  <si>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</si>
  <si>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</si>
  <si>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</si>
  <si>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</si>
  <si>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</si>
  <si>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</si>
  <si>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</si>
  <si>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</si>
  <si>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</si>
  <si>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</si>
  <si>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</si>
  <si>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</si>
  <si>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</si>
  <si>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</si>
  <si>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</si>
  <si>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</si>
  <si>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</si>
  <si>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</si>
  <si>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</si>
  <si>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</si>
  <si>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</si>
  <si>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</si>
  <si>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</si>
  <si>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</si>
  <si>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</si>
  <si>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</si>
  <si>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</si>
  <si>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</si>
  <si>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</si>
  <si>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</si>
  <si>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</si>
  <si>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</si>
  <si>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</si>
  <si>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</si>
  <si>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</si>
  <si>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</si>
  <si>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</si>
  <si>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</si>
  <si>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</si>
  <si>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</si>
  <si>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</si>
  <si>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</si>
  <si>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</si>
  <si>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</si>
  <si>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</si>
  <si>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</si>
  <si>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</si>
  <si>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</si>
  <si>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</si>
  <si>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</si>
  <si>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</si>
  <si>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</si>
  <si>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</si>
  <si>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</si>
  <si>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</si>
  <si>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</si>
  <si>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</si>
  <si>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</si>
  <si>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</si>
  <si>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</si>
  <si>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</si>
  <si>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</si>
  <si>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</si>
  <si>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</si>
  <si>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</si>
  <si>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</si>
  <si>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</si>
  <si>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</si>
  <si>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</si>
  <si>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</si>
  <si>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</si>
  <si>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</si>
  <si>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</si>
  <si>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</si>
  <si>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</si>
  <si>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</si>
  <si>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</si>
  <si>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</si>
  <si>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</si>
  <si>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</si>
  <si>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</si>
  <si>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</si>
  <si>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</si>
  <si>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</si>
  <si>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</si>
  <si>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</si>
  <si>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</si>
  <si>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</si>
  <si>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</si>
  <si>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</si>
  <si>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</si>
  <si>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</si>
  <si>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</si>
  <si>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</si>
  <si>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</si>
  <si>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</si>
  <si>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</si>
  <si>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</si>
  <si>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</si>
  <si>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</si>
  <si>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</si>
  <si>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</si>
  <si>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</si>
  <si>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</si>
  <si>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</si>
  <si>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</si>
  <si>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</si>
  <si>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</si>
  <si>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</si>
  <si>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</si>
  <si>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</si>
  <si>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</si>
  <si>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</si>
  <si>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</si>
  <si>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</si>
  <si>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</si>
  <si>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</si>
  <si>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</si>
  <si>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</si>
  <si>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</si>
  <si>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</si>
  <si>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</si>
  <si>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</si>
  <si>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</si>
  <si>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</si>
  <si>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</si>
  <si>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</si>
  <si>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</si>
  <si>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</si>
  <si>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</si>
  <si>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</si>
  <si>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</si>
  <si>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</si>
  <si>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</si>
  <si>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</si>
  <si>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</si>
  <si>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</si>
  <si>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</si>
  <si>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</si>
  <si>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</si>
  <si>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</si>
  <si>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</si>
  <si>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</si>
  <si>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</si>
  <si>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</si>
  <si>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</si>
  <si>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</si>
  <si>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</si>
  <si>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</si>
  <si>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</si>
  <si>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</si>
  <si>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</si>
  <si>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</si>
  <si>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</si>
  <si>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</si>
  <si>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</si>
  <si>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</si>
  <si>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</si>
  <si>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</si>
  <si>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</si>
  <si>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</si>
  <si>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</si>
  <si>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</si>
  <si>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</si>
  <si>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</si>
  <si>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</si>
  <si>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</si>
  <si>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</si>
  <si>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</si>
  <si>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</si>
  <si>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</si>
  <si>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</si>
  <si>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</si>
  <si>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</si>
  <si>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</si>
  <si>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</si>
  <si>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</si>
  <si>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</si>
  <si>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</si>
  <si>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</si>
  <si>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</si>
  <si>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</si>
  <si>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</si>
  <si>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</si>
  <si>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</si>
  <si>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</si>
  <si>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</si>
  <si>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</si>
  <si>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</si>
  <si>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</si>
  <si>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</si>
  <si>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</si>
  <si>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</si>
  <si>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</si>
  <si>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</si>
  <si>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</si>
  <si>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</si>
  <si>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</si>
  <si>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</si>
  <si>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</si>
  <si>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</si>
  <si>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</si>
  <si>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</si>
  <si>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</si>
  <si>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</si>
  <si>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</si>
  <si>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</si>
  <si>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</si>
  <si>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</si>
  <si>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</si>
  <si>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</si>
  <si>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</si>
  <si>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</si>
  <si>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</si>
  <si>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</si>
  <si>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</si>
  <si>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</si>
  <si>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</si>
  <si>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</si>
  <si>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</si>
  <si>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</si>
  <si>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</si>
  <si>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</si>
  <si>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</si>
  <si>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</si>
  <si>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</si>
  <si>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</si>
  <si>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</si>
  <si>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</si>
  <si>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</si>
  <si>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</si>
  <si>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</si>
  <si>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</si>
  <si>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</si>
  <si>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</si>
  <si>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</si>
  <si>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</si>
  <si>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</si>
  <si>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</si>
  <si>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</si>
  <si>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</si>
  <si>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</si>
  <si>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</si>
  <si>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</si>
  <si>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</si>
  <si>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</si>
  <si>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</si>
  <si>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</si>
  <si>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</si>
  <si>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</si>
  <si>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</si>
  <si>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</si>
  <si>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</si>
  <si>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</si>
  <si>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</si>
  <si>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</si>
  <si>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</si>
  <si>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</si>
  <si>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</si>
  <si>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</si>
  <si>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</si>
  <si>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</si>
  <si>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</si>
  <si>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</si>
  <si>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</si>
  <si>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</si>
  <si>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</si>
  <si>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</si>
  <si>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</si>
  <si>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</si>
  <si>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</si>
  <si>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</si>
  <si>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</si>
  <si>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</si>
  <si>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</si>
  <si>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</si>
  <si>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</si>
  <si>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</si>
  <si>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</si>
  <si>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</si>
  <si>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</si>
  <si>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</si>
  <si>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</si>
  <si>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</si>
  <si>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</si>
  <si>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</si>
  <si>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</si>
  <si>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</si>
  <si>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</si>
  <si>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</si>
  <si>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</si>
  <si>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</si>
  <si>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</si>
  <si>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</si>
  <si>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</si>
  <si>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</si>
  <si>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</si>
  <si>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</si>
  <si>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</si>
  <si>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</si>
  <si>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</si>
  <si>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</si>
  <si>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</si>
  <si>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</si>
  <si>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</si>
  <si>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</si>
  <si>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</si>
  <si>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</si>
  <si>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</si>
  <si>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</si>
  <si>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</si>
  <si>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</si>
  <si>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</si>
  <si>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</si>
  <si>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</si>
  <si>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</si>
  <si>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</si>
  <si>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</si>
  <si>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</si>
  <si>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</si>
  <si>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</si>
  <si>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</si>
  <si>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</si>
  <si>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</si>
  <si>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</si>
  <si>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</si>
  <si>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</si>
  <si>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</si>
  <si>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</si>
  <si>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</si>
  <si>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</si>
  <si>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</si>
  <si>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</si>
  <si>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</si>
  <si>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</si>
  <si>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</si>
  <si>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</si>
  <si>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</si>
  <si>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</si>
  <si>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</si>
  <si>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</si>
  <si>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</si>
  <si>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</si>
  <si>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</si>
  <si>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</si>
  <si>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</si>
  <si>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</si>
  <si>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</si>
  <si>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</si>
  <si>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</si>
  <si>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</si>
  <si>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</si>
  <si>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</si>
  <si>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</si>
  <si>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</si>
  <si>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</si>
  <si>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</si>
  <si>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</si>
  <si>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</si>
  <si>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</si>
  <si>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</si>
  <si>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</si>
  <si>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</si>
  <si>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</si>
  <si>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</si>
  <si>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</si>
  <si>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</si>
  <si>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</si>
  <si>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</si>
  <si>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</si>
  <si>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</si>
  <si>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</si>
  <si>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</si>
  <si>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</si>
  <si>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</si>
  <si>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</si>
  <si>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</si>
  <si>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</si>
  <si>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</si>
  <si>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</si>
  <si>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</si>
  <si>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</si>
  <si>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</si>
  <si>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</si>
  <si>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</si>
  <si>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</si>
  <si>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</si>
  <si>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</si>
  <si>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</si>
  <si>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</si>
  <si>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</si>
  <si>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</si>
  <si>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</si>
  <si>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</si>
  <si>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</si>
  <si>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</si>
  <si>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</si>
  <si>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</si>
  <si>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</si>
  <si>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</si>
  <si>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</si>
  <si>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</si>
  <si>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</si>
  <si>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</si>
  <si>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</si>
  <si>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</si>
  <si>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</si>
  <si>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</si>
  <si>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</si>
  <si>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</si>
  <si>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</si>
  <si>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</si>
  <si>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</si>
  <si>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</si>
  <si>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</si>
  <si>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</si>
  <si>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</si>
  <si>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</si>
  <si>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</si>
  <si>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</si>
  <si>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</si>
  <si>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</si>
  <si>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</si>
  <si>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</si>
  <si>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</si>
  <si>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</si>
  <si>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</si>
  <si>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</si>
  <si>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</si>
  <si>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</si>
  <si>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</si>
  <si>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</si>
  <si>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</si>
  <si>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</si>
  <si>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</si>
  <si>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</si>
  <si>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</si>
  <si>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</si>
  <si>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</si>
  <si>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</si>
  <si>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</si>
  <si>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</si>
  <si>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</si>
  <si>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</si>
  <si>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</si>
  <si>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</si>
  <si>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</si>
  <si>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</si>
  <si>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</si>
  <si>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</si>
  <si>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</si>
  <si>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</si>
  <si>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</si>
  <si>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</si>
  <si>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</si>
  <si>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</si>
  <si>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</si>
  <si>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</si>
  <si>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</si>
  <si>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</si>
  <si>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</si>
  <si>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</si>
  <si>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</si>
  <si>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</si>
  <si>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</si>
  <si>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</si>
  <si>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</si>
  <si>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</si>
  <si>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</si>
  <si>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</si>
  <si>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</si>
  <si>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</si>
  <si>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</si>
  <si>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</si>
  <si>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</si>
  <si>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</si>
  <si>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</si>
  <si>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</si>
  <si>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</si>
  <si>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</si>
  <si>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</si>
  <si>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</si>
  <si>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</si>
  <si>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</si>
  <si>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</si>
  <si>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</si>
  <si>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</si>
  <si>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</si>
  <si>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</si>
  <si>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</si>
  <si>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</si>
  <si>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</si>
  <si>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</si>
  <si>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</si>
  <si>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</si>
  <si>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</si>
  <si>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</si>
  <si>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</si>
  <si>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</si>
  <si>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</si>
  <si>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</si>
  <si>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</si>
  <si>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</si>
  <si>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</si>
  <si>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</si>
  <si>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</si>
  <si>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</si>
  <si>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</si>
  <si>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</si>
  <si>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</si>
  <si>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</si>
  <si>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</si>
  <si>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</si>
  <si>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</si>
  <si>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</si>
  <si>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</si>
  <si>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</si>
  <si>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</si>
  <si>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</si>
  <si>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</si>
  <si>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</si>
  <si>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</si>
  <si>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</si>
  <si>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</si>
  <si>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</si>
  <si>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</si>
  <si>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</si>
  <si>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</si>
  <si>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</si>
  <si>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</si>
  <si>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</si>
  <si>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</si>
  <si>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</si>
  <si>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</si>
  <si>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</si>
  <si>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</si>
  <si>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</si>
  <si>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</si>
  <si>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</si>
  <si>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</si>
  <si>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</si>
  <si>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</si>
  <si>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</si>
  <si>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</si>
  <si>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</si>
  <si>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</si>
  <si>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</si>
  <si>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</si>
  <si>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</si>
  <si>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</si>
  <si>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</si>
  <si>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</si>
  <si>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</si>
  <si>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</si>
  <si>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</si>
  <si>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</si>
  <si>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</si>
  <si>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</si>
  <si>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</si>
  <si>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</si>
  <si>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</si>
  <si>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</si>
  <si>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</si>
  <si>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</si>
  <si>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</si>
  <si>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</si>
  <si>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</si>
  <si>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</si>
  <si>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</si>
  <si>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</si>
  <si>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</si>
  <si>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</si>
  <si>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</si>
  <si>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</si>
  <si>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</si>
  <si>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</si>
  <si>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</si>
  <si>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</si>
  <si>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</si>
  <si>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</si>
  <si>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</si>
  <si>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</si>
  <si>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</si>
  <si>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</si>
  <si>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</si>
  <si>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</si>
  <si>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</si>
  <si>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</si>
  <si>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</si>
  <si>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</si>
  <si>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</si>
  <si>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</si>
  <si>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</si>
  <si>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</si>
  <si>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</si>
  <si>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</si>
  <si>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</si>
  <si>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</si>
  <si>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</si>
  <si>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</si>
  <si>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</si>
  <si>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</si>
  <si>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</si>
  <si>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</si>
  <si>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</si>
  <si>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</si>
  <si>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</si>
  <si>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</si>
  <si>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</si>
  <si>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</si>
  <si>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</si>
  <si>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</si>
  <si>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</si>
  <si>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</si>
  <si>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</si>
  <si>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</si>
  <si>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</si>
  <si>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</si>
  <si>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</si>
  <si>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</si>
  <si>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</si>
  <si>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</si>
  <si>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</si>
  <si>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</si>
  <si>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</si>
  <si>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</si>
  <si>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</si>
  <si>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</si>
  <si>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</si>
  <si>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</si>
  <si>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</si>
  <si>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</si>
  <si>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</si>
  <si>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</si>
  <si>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</si>
  <si>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</si>
  <si>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</si>
  <si>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</si>
  <si>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</si>
  <si>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</si>
  <si>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</si>
  <si>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</si>
  <si>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</si>
  <si>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</si>
  <si>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</si>
  <si>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</si>
  <si>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</si>
  <si>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</si>
  <si>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</si>
  <si>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</si>
  <si>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</si>
  <si>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</si>
  <si>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</si>
  <si>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</si>
  <si>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</si>
  <si>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</si>
  <si>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</si>
  <si>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</si>
  <si>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</si>
  <si>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</si>
  <si>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</si>
  <si>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</si>
  <si>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</si>
  <si>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</si>
  <si>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</si>
  <si>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</si>
  <si>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</si>
  <si>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</si>
  <si>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</si>
  <si>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</si>
  <si>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</si>
  <si>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</si>
  <si>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</si>
  <si>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</si>
  <si>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</si>
  <si>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</si>
  <si>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</si>
  <si>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</si>
  <si>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</si>
  <si>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</si>
  <si>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</si>
  <si>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</si>
  <si>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</si>
  <si>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</si>
  <si>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</si>
  <si>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</si>
  <si>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</si>
  <si>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</si>
  <si>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</si>
  <si>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</si>
  <si>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</si>
  <si>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</si>
  <si>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</si>
  <si>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</si>
  <si>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</si>
  <si>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</si>
  <si>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</si>
  <si>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</si>
  <si>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</si>
  <si>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</si>
  <si>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</si>
  <si>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</si>
  <si>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</si>
  <si>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</si>
  <si>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</si>
  <si>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</si>
  <si>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</si>
  <si>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</si>
  <si>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</si>
  <si>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</si>
  <si>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</si>
  <si>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</si>
  <si>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</si>
  <si>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</si>
  <si>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</si>
  <si>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</si>
  <si>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</si>
  <si>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</si>
  <si>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</si>
  <si>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</si>
  <si>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</si>
  <si>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</si>
  <si>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</si>
  <si>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</si>
  <si>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</si>
  <si>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</si>
  <si>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</si>
  <si>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</si>
  <si>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</si>
  <si>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</si>
  <si>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</si>
  <si>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</si>
  <si>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</si>
  <si>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</si>
  <si>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</si>
  <si>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</si>
  <si>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</si>
  <si>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</si>
  <si>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</si>
  <si>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</si>
  <si>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</si>
  <si>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</si>
  <si>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</si>
  <si>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</si>
  <si>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</si>
  <si>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</si>
  <si>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</si>
  <si>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</si>
  <si>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</si>
  <si>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</si>
  <si>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</si>
  <si>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</si>
  <si>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</si>
  <si>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</si>
  <si>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</si>
  <si>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</si>
  <si>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</si>
  <si>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</si>
  <si>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</si>
  <si>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</si>
  <si>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</si>
  <si>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</si>
  <si>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</si>
  <si>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</si>
  <si>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</si>
  <si>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</si>
  <si>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</si>
  <si>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</si>
  <si>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</si>
  <si>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</si>
  <si>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</si>
  <si>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</si>
  <si>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</si>
  <si>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</si>
  <si>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</si>
  <si>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</si>
  <si>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</si>
  <si>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</si>
  <si>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</si>
  <si>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</si>
  <si>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</si>
  <si>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</si>
  <si>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</si>
  <si>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</si>
  <si>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</si>
  <si>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</si>
  <si>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</si>
  <si>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</si>
  <si>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</si>
  <si>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</si>
  <si>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</si>
  <si>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</si>
  <si>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</si>
  <si>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</si>
  <si>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</si>
  <si>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</si>
  <si>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</si>
  <si>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</si>
  <si>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</si>
  <si>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</si>
  <si>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</si>
  <si>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</si>
  <si>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</si>
  <si>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</si>
  <si>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</si>
  <si>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</si>
  <si>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</si>
  <si>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</si>
  <si>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</si>
  <si>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</si>
  <si>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</si>
  <si>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</si>
  <si>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</si>
  <si>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</si>
  <si>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</si>
  <si>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</si>
  <si>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</si>
  <si>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</si>
  <si>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</si>
  <si>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</si>
  <si>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</si>
  <si>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</si>
  <si>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</si>
  <si>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</si>
  <si>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</si>
  <si>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</si>
  <si>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</si>
  <si>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</si>
  <si>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</si>
  <si>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</si>
  <si>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</si>
  <si>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</si>
  <si>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</si>
  <si>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</si>
  <si>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</si>
  <si>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</si>
  <si>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</si>
  <si>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</si>
  <si>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</si>
  <si>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</si>
  <si>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</si>
  <si>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</si>
  <si>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</si>
  <si>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</si>
  <si>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</si>
  <si>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</si>
  <si>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</si>
  <si>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</si>
  <si>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</si>
  <si>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</si>
  <si>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</si>
  <si>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</si>
  <si>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</si>
  <si>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</si>
  <si>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</si>
  <si>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</si>
  <si>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</si>
  <si>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</si>
  <si>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</si>
  <si>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</si>
  <si>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</si>
  <si>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</si>
  <si>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</si>
  <si>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</si>
  <si>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</si>
  <si>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</si>
  <si>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</si>
  <si>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</si>
  <si>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</si>
  <si>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</si>
  <si>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</si>
  <si>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</si>
  <si>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</si>
  <si>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</si>
  <si>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</si>
  <si>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</si>
  <si>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</si>
  <si>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</si>
  <si>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</si>
  <si>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</si>
  <si>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</si>
  <si>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</si>
  <si>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</si>
  <si>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</si>
  <si>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</si>
  <si>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</si>
  <si>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</si>
  <si>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</si>
  <si>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</si>
  <si>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</si>
  <si>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</si>
  <si>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</si>
  <si>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</si>
  <si>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</si>
  <si>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</si>
  <si>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</si>
  <si>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</si>
  <si>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</si>
  <si>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</si>
  <si>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</si>
  <si>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</si>
  <si>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</si>
  <si>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</si>
  <si>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</si>
  <si>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</si>
  <si>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</si>
  <si>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</si>
  <si>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</si>
  <si>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</si>
  <si>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</si>
  <si>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</si>
  <si>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</si>
  <si>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</si>
  <si>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</si>
  <si>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</si>
  <si>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</si>
  <si>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</si>
  <si>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</si>
  <si>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</si>
  <si>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</si>
  <si>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</si>
  <si>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</si>
  <si>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</si>
  <si>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</si>
  <si>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</si>
  <si>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</si>
  <si>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</si>
  <si>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</si>
  <si>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</si>
  <si>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</si>
  <si>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</si>
  <si>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</si>
  <si>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</si>
  <si>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</si>
  <si>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</si>
  <si>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</si>
  <si>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</si>
  <si>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</si>
  <si>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</si>
  <si>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</si>
  <si>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</si>
  <si>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</si>
  <si>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</si>
  <si>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</si>
  <si>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</si>
  <si>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</si>
  <si>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</si>
  <si>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</si>
  <si>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</si>
  <si>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</si>
  <si>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</si>
  <si>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</si>
  <si>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</si>
  <si>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</si>
  <si>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</si>
  <si>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</si>
  <si>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</si>
  <si>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</si>
  <si>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</si>
  <si>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</si>
  <si>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</si>
  <si>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</si>
  <si>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</si>
  <si>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</si>
  <si>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</si>
  <si>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</si>
  <si>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</si>
  <si>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</si>
  <si>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</si>
  <si>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</si>
  <si>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</si>
  <si>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</si>
  <si>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</si>
  <si>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</si>
  <si>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</si>
  <si>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</si>
  <si>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</si>
  <si>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</si>
  <si>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</si>
  <si>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</si>
  <si>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</si>
  <si>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</si>
  <si>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</si>
  <si>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</si>
  <si>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</si>
  <si>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</si>
  <si>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</si>
  <si>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</si>
  <si>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</si>
  <si>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</si>
  <si>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</si>
  <si>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</si>
  <si>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</si>
  <si>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</si>
  <si>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</si>
  <si>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</si>
  <si>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</si>
  <si>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</si>
  <si>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</si>
  <si>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</si>
  <si>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</si>
  <si>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</si>
  <si>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</si>
  <si>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</si>
  <si>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</si>
  <si>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</si>
  <si>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</si>
  <si>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</si>
  <si>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</si>
  <si>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</si>
  <si>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</si>
  <si>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</si>
  <si>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</si>
  <si>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</si>
  <si>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</si>
  <si>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</si>
  <si>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</si>
  <si>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</si>
  <si>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</si>
  <si>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</si>
  <si>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</si>
  <si>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</si>
  <si>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</si>
  <si>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</si>
  <si>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</si>
  <si>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</si>
  <si>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</si>
  <si>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</si>
  <si>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</si>
  <si>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</si>
  <si>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</si>
  <si>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</si>
  <si>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</si>
  <si>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</si>
  <si>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</si>
  <si>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</si>
  <si>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</si>
  <si>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</si>
  <si>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</si>
  <si>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</si>
  <si>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</si>
  <si>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</si>
  <si>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</si>
  <si>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</si>
  <si>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</si>
  <si>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</si>
  <si>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</si>
  <si>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</si>
  <si>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</si>
  <si>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</si>
  <si>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</si>
  <si>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</si>
  <si>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</si>
  <si>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</si>
  <si>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</si>
  <si>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</si>
  <si>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</si>
  <si>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</si>
  <si>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</si>
  <si>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</si>
  <si>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</si>
  <si>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</si>
  <si>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</si>
  <si>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</si>
  <si>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</si>
  <si>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</si>
  <si>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</si>
  <si>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</si>
  <si>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</si>
  <si>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</si>
  <si>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</si>
  <si>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</si>
  <si>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</si>
  <si>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</si>
  <si>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</si>
  <si>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</si>
  <si>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</si>
  <si>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</si>
  <si>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</si>
  <si>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</si>
  <si>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</si>
  <si>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</si>
  <si>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</si>
  <si>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</si>
  <si>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</si>
  <si>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</si>
  <si>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</si>
  <si>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</si>
  <si>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</si>
  <si>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</si>
  <si>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</si>
  <si>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</si>
  <si>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</si>
  <si>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</si>
  <si>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</si>
  <si>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</si>
  <si>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</si>
  <si>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</si>
  <si>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</si>
  <si>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</si>
  <si>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</si>
  <si>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</si>
  <si>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</si>
  <si>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</si>
  <si>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</si>
  <si>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</si>
  <si>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</si>
  <si>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</si>
  <si>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</si>
  <si>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</si>
  <si>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</si>
  <si>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</si>
  <si>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</si>
  <si>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</si>
  <si>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</si>
  <si>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</si>
  <si>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</si>
  <si>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</si>
  <si>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</si>
  <si>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</si>
  <si>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</si>
  <si>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</si>
  <si>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</si>
  <si>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</si>
  <si>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</si>
  <si>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</si>
  <si>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</si>
  <si>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</si>
  <si>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</si>
  <si>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</si>
  <si>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</si>
  <si>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</si>
  <si>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</si>
  <si>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</si>
  <si>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</si>
  <si>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</si>
  <si>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</si>
  <si>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</si>
  <si>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</si>
  <si>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</si>
  <si>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</si>
  <si>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</si>
  <si>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</si>
  <si>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</si>
  <si>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</si>
  <si>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</si>
  <si>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</si>
  <si>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</si>
  <si>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</si>
  <si>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</si>
  <si>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</si>
  <si>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</si>
  <si>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</si>
  <si>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</si>
  <si>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</si>
  <si>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</si>
  <si>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</si>
  <si>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</si>
  <si>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</si>
  <si>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</si>
  <si>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</si>
  <si>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</si>
  <si>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</si>
  <si>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</si>
  <si>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</si>
  <si>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</si>
  <si>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</si>
  <si>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</si>
  <si>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</si>
  <si>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</si>
  <si>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</si>
  <si>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</si>
  <si>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</si>
  <si>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</si>
  <si>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</si>
  <si>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</si>
  <si>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</si>
  <si>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</si>
  <si>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</si>
  <si>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</si>
  <si>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</si>
  <si>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</si>
  <si>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</si>
  <si>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</si>
  <si>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</si>
  <si>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</si>
  <si>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</si>
  <si>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</si>
  <si>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</si>
  <si>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</si>
  <si>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</si>
  <si>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</si>
  <si>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</si>
  <si>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</si>
  <si>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</si>
  <si>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</si>
  <si>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</si>
  <si>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</si>
  <si>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</si>
  <si>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</si>
  <si>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</si>
  <si>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</si>
  <si>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</si>
  <si>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</si>
  <si>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</si>
  <si>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</si>
  <si>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</si>
  <si>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</si>
  <si>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</si>
  <si>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</si>
  <si>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</si>
  <si>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</si>
  <si>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</si>
  <si>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</si>
  <si>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</si>
  <si>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</si>
  <si>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</si>
  <si>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</si>
  <si>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</si>
  <si>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</si>
  <si>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</si>
  <si>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</si>
  <si>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</si>
  <si>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</si>
  <si>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</si>
  <si>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</si>
  <si>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</si>
  <si>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</si>
  <si>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</si>
  <si>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</si>
  <si>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</si>
  <si>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</si>
  <si>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</si>
  <si>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</si>
  <si>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</si>
  <si>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</si>
  <si>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</si>
  <si>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</si>
  <si>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</si>
  <si>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</si>
  <si>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</si>
  <si>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</si>
  <si>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</si>
  <si>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</si>
  <si>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</si>
  <si>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</si>
  <si>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</si>
  <si>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</si>
  <si>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</si>
  <si>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</si>
  <si>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</si>
  <si>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</si>
  <si>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</si>
  <si>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</si>
  <si>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</si>
  <si>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</si>
  <si>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</si>
  <si>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</si>
  <si>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</si>
  <si>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</si>
  <si>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</si>
  <si>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</si>
  <si>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</si>
  <si>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</si>
  <si>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</si>
  <si>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</si>
  <si>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</si>
  <si>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</si>
  <si>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</si>
  <si>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</si>
  <si>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</si>
  <si>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</si>
  <si>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</si>
  <si>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</si>
  <si>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</si>
  <si>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</si>
  <si>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</si>
  <si>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</si>
  <si>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</si>
  <si>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</si>
  <si>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</si>
  <si>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</si>
  <si>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</si>
  <si>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</si>
  <si>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</si>
  <si>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</si>
  <si>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</si>
  <si>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</si>
  <si>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</si>
  <si>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</si>
  <si>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</si>
  <si>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</si>
  <si>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</si>
  <si>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</si>
  <si>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</si>
  <si>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</si>
  <si>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</si>
  <si>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</si>
  <si>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</si>
  <si>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</si>
  <si>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</si>
  <si>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</si>
  <si>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</si>
  <si>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</si>
  <si>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</si>
  <si>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</si>
  <si>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</si>
  <si>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</si>
  <si>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</si>
  <si>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</si>
  <si>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</si>
  <si>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</si>
  <si>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</si>
  <si>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</si>
  <si>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</si>
  <si>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</si>
  <si>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</si>
  <si>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</si>
  <si>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</si>
  <si>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</si>
  <si>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</si>
  <si>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</si>
  <si>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</si>
  <si>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</si>
  <si>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</si>
  <si>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</si>
  <si>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</si>
  <si>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</si>
  <si>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</si>
  <si>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</si>
  <si>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</si>
  <si>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</si>
  <si>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</si>
  <si>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</si>
  <si>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</si>
  <si>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</si>
  <si>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</si>
  <si>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</si>
  <si>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</si>
  <si>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</si>
  <si>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</si>
  <si>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</si>
  <si>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</si>
  <si>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</si>
  <si>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</si>
  <si>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</si>
  <si>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</si>
  <si>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</si>
  <si>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</si>
  <si>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</si>
  <si>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</si>
  <si>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</si>
  <si>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</si>
  <si>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</si>
  <si>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</si>
  <si>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</si>
  <si>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</si>
  <si>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</si>
  <si>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</si>
  <si>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</si>
  <si>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</si>
  <si>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</si>
  <si>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</si>
  <si>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</si>
  <si>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</si>
  <si>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</si>
  <si>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</si>
  <si>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</si>
  <si>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</si>
  <si>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</si>
  <si>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</si>
  <si>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</si>
  <si>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</si>
  <si>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</si>
  <si>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</si>
  <si>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</si>
  <si>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</si>
  <si>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</si>
  <si>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</si>
  <si>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</si>
  <si>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</si>
  <si>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</si>
  <si>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</si>
  <si>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</si>
  <si>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</si>
  <si>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</si>
  <si>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</si>
  <si>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</si>
  <si>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</si>
  <si>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</si>
  <si>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</si>
  <si>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</si>
  <si>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</si>
  <si>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</si>
  <si>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</si>
  <si>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</si>
  <si>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</si>
  <si>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</si>
  <si>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</si>
  <si>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</si>
  <si>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</si>
  <si>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</si>
  <si>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</si>
  <si>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</si>
  <si>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</si>
  <si>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</si>
  <si>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</si>
  <si>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</si>
  <si>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</si>
  <si>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</si>
  <si>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</si>
  <si>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</si>
  <si>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</si>
  <si>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</si>
  <si>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</si>
  <si>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</si>
  <si>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</si>
  <si>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</si>
  <si>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</si>
  <si>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</si>
  <si>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</si>
  <si>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</si>
  <si>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</si>
  <si>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</si>
  <si>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</si>
  <si>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</si>
  <si>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</si>
  <si>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</si>
  <si>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</si>
  <si>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</si>
  <si>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</si>
  <si>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</si>
  <si>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</si>
  <si>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</si>
  <si>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</si>
  <si>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</si>
  <si>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</si>
  <si>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</si>
  <si>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</si>
  <si>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</si>
  <si>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</si>
  <si>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</si>
  <si>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</si>
  <si>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</si>
  <si>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</si>
  <si>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</si>
  <si>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</si>
  <si>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</si>
  <si>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</si>
  <si>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</si>
  <si>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</si>
  <si>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</si>
  <si>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</si>
  <si>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</si>
  <si>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</si>
  <si>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</si>
  <si>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</si>
  <si>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</si>
  <si>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</si>
  <si>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</si>
  <si>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</si>
  <si>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</si>
  <si>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</si>
  <si>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</si>
  <si>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</si>
  <si>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</si>
  <si>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</si>
  <si>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</si>
  <si>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</si>
  <si>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</si>
  <si>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</si>
  <si>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</si>
  <si>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</si>
  <si>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</si>
  <si>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</si>
  <si>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</si>
  <si>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</si>
  <si>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</si>
  <si>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</si>
  <si>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</si>
  <si>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</si>
  <si>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</si>
  <si>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</si>
  <si>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</si>
  <si>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</si>
  <si>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</si>
  <si>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</si>
  <si>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</si>
  <si>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</si>
  <si>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</si>
  <si>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</si>
  <si>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</si>
  <si>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</si>
  <si>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</si>
  <si>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</si>
  <si>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</si>
  <si>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</si>
  <si>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</si>
  <si>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</si>
  <si>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</si>
  <si>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</si>
  <si>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</si>
  <si>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</si>
  <si>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</si>
  <si>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</si>
  <si>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</si>
  <si>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</si>
  <si>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</si>
  <si>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</si>
  <si>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</si>
  <si>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</si>
  <si>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</si>
  <si>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</si>
  <si>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</si>
  <si>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</si>
  <si>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</si>
  <si>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</si>
  <si>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</si>
  <si>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</si>
  <si>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</si>
  <si>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</si>
  <si>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</si>
  <si>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</si>
  <si>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</si>
  <si>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</si>
  <si>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</si>
  <si>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</si>
  <si>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</si>
  <si>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</si>
  <si>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</si>
  <si>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</si>
  <si>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</si>
  <si>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</si>
  <si>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</si>
  <si>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</si>
  <si>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</si>
  <si>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</si>
  <si>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</si>
  <si>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</si>
  <si>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</si>
  <si>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</si>
  <si>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</si>
  <si>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</si>
  <si>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</si>
  <si>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</si>
  <si>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</si>
  <si>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</si>
  <si>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</si>
  <si>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</si>
  <si>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</si>
  <si>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</si>
  <si>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</si>
  <si>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</si>
  <si>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</si>
  <si>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</si>
  <si>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</si>
  <si>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</si>
  <si>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</si>
  <si>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</si>
  <si>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</si>
  <si>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</si>
  <si>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</si>
  <si>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</si>
  <si>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</si>
  <si>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</si>
  <si>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</si>
  <si>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</si>
  <si>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</si>
  <si>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</si>
  <si>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</si>
  <si>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</si>
  <si>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</si>
  <si>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</si>
  <si>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</si>
  <si>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</si>
  <si>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</si>
  <si>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</si>
  <si>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</si>
  <si>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</si>
  <si>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</si>
  <si>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</si>
  <si>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</si>
  <si>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</si>
  <si>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</si>
  <si>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</si>
  <si>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</si>
  <si>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</si>
  <si>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</si>
  <si>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</si>
  <si>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</si>
  <si>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</si>
  <si>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</si>
  <si>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</si>
  <si>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</si>
  <si>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</si>
  <si>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</si>
  <si>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</si>
  <si>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</si>
  <si>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</si>
  <si>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</si>
  <si>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</si>
  <si>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</si>
  <si>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</si>
  <si>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</si>
  <si>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</si>
  <si>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</si>
  <si>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</si>
  <si>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</si>
  <si>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</si>
  <si>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</si>
  <si>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</si>
  <si>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</si>
  <si>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</si>
  <si>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</si>
  <si>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</si>
  <si>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</si>
  <si>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</si>
  <si>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</si>
  <si>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</si>
  <si>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</si>
  <si>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</si>
  <si>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</si>
  <si>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</si>
  <si>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</si>
  <si>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</si>
  <si>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</si>
  <si>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</si>
  <si>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</si>
  <si>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</si>
  <si>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</si>
  <si>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</si>
  <si>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</si>
  <si>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</si>
  <si>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</si>
  <si>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</si>
  <si>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</si>
  <si>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</si>
  <si>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</si>
  <si>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</si>
  <si>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</si>
  <si>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</si>
  <si>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</si>
  <si>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</si>
  <si>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</si>
  <si>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</si>
  <si>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</si>
  <si>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</si>
  <si>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</si>
  <si>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</si>
  <si>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</si>
  <si>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</si>
  <si>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</si>
  <si>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</si>
  <si>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</si>
  <si>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</si>
  <si>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</si>
  <si>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</si>
  <si>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</si>
  <si>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</si>
  <si>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</si>
  <si>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</si>
  <si>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</si>
  <si>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</si>
  <si>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</si>
  <si>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</si>
  <si>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</si>
  <si>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</si>
  <si>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</si>
  <si>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</si>
  <si>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</si>
  <si>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</si>
  <si>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</si>
  <si>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</si>
  <si>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</si>
  <si>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</si>
  <si>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</si>
  <si>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</si>
  <si>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</si>
  <si>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</si>
  <si>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</si>
  <si>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</si>
  <si>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</si>
  <si>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</si>
  <si>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</si>
  <si>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</si>
  <si>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</si>
  <si>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</si>
  <si>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</si>
  <si>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</si>
  <si>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</si>
  <si>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</si>
  <si>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</si>
  <si>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</si>
  <si>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</si>
  <si>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</si>
  <si>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</si>
  <si>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</si>
  <si>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</si>
  <si>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</si>
  <si>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</si>
  <si>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</si>
  <si>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</si>
  <si>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</si>
  <si>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</si>
  <si>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</si>
  <si>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</si>
  <si>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</si>
  <si>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</si>
  <si>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</si>
  <si>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</si>
  <si>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</si>
  <si>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</si>
  <si>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</si>
  <si>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</si>
  <si>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</si>
  <si>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</si>
  <si>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</si>
  <si>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</si>
  <si>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</si>
  <si>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</si>
  <si>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</si>
  <si>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</si>
  <si>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</si>
  <si>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</si>
  <si>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</si>
  <si>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</si>
  <si>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</si>
  <si>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</si>
  <si>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</si>
  <si>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</si>
  <si>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</si>
  <si>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</si>
  <si>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</si>
  <si>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</si>
  <si>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</si>
  <si>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</si>
  <si>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</si>
  <si>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</si>
  <si>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</si>
  <si>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</si>
  <si>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</si>
  <si>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</si>
  <si>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</si>
  <si>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</si>
  <si>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</si>
  <si>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</si>
  <si>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</si>
  <si>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</si>
  <si>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</si>
  <si>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</si>
  <si>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</si>
  <si>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</si>
  <si>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</si>
  <si>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</si>
  <si>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</si>
  <si>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</si>
  <si>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</si>
  <si>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</si>
  <si>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</si>
  <si>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</si>
  <si>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</si>
  <si>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</si>
  <si>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</si>
  <si>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</si>
  <si>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</si>
  <si>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</si>
  <si>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</si>
  <si>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</si>
  <si>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</si>
  <si>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</si>
  <si>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</si>
  <si>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</si>
  <si>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</si>
  <si>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</si>
  <si>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</si>
  <si>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</si>
  <si>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</si>
  <si>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</si>
  <si>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</si>
  <si>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</si>
  <si>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</si>
  <si>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</si>
  <si>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</si>
  <si>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</si>
  <si>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</si>
  <si>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</si>
  <si>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</si>
  <si>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</si>
  <si>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</si>
  <si>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</si>
  <si>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</si>
  <si>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</si>
  <si>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</si>
  <si>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</si>
  <si>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</si>
  <si>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</si>
  <si>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</si>
  <si>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</si>
  <si>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</si>
  <si>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</si>
  <si>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</si>
  <si>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</si>
  <si>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</si>
  <si>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</si>
  <si>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</si>
  <si>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</si>
  <si>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</si>
  <si>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</si>
  <si>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</si>
  <si>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</si>
  <si>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</si>
  <si>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</si>
  <si>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</si>
  <si>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</si>
  <si>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</si>
  <si>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</si>
  <si>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</si>
  <si>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</si>
  <si>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</si>
  <si>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</si>
  <si>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</si>
  <si>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</si>
  <si>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</si>
  <si>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</si>
  <si>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</si>
  <si>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</si>
  <si>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</si>
  <si>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</si>
  <si>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</si>
  <si>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</si>
  <si>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</si>
  <si>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</si>
  <si>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</si>
  <si>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</si>
  <si>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</si>
  <si>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</si>
  <si>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</si>
  <si>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</si>
  <si>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</si>
  <si>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</si>
  <si>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</si>
  <si>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</si>
  <si>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</si>
  <si>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</si>
  <si>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</si>
  <si>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</si>
  <si>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</si>
  <si>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</si>
  <si>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</si>
  <si>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</si>
  <si>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</si>
  <si>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</si>
  <si>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</si>
  <si>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</si>
  <si>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</si>
  <si>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</si>
  <si>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</si>
  <si>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</si>
  <si>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</si>
  <si>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</si>
  <si>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</si>
  <si>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</si>
  <si>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</si>
  <si>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</si>
  <si>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</si>
  <si>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</si>
  <si>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</si>
  <si>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</si>
  <si>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</si>
  <si>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</si>
  <si>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</si>
  <si>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</si>
  <si>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</si>
  <si>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</si>
  <si>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</si>
  <si>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</si>
  <si>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</si>
  <si>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</si>
  <si>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</si>
  <si>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</si>
  <si>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</si>
  <si>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</si>
  <si>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</si>
  <si>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</si>
  <si>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</si>
  <si>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</si>
  <si>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</si>
  <si>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</si>
  <si>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</si>
  <si>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</si>
  <si>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</si>
  <si>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</si>
  <si>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</si>
  <si>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</si>
  <si>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</si>
  <si>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</si>
  <si>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</si>
  <si>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</si>
  <si>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</si>
  <si>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</si>
  <si>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</si>
  <si>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</si>
  <si>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</si>
  <si>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</si>
  <si>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</si>
  <si>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</si>
  <si>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</si>
  <si>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</si>
  <si>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</si>
  <si>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</si>
  <si>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</si>
  <si>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</si>
  <si>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</si>
  <si>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</si>
  <si>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</si>
  <si>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</si>
  <si>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</si>
  <si>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</si>
  <si>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</si>
  <si>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</si>
  <si>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</si>
  <si>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</si>
  <si>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</si>
  <si>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</si>
  <si>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</si>
  <si>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</si>
  <si>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</si>
  <si>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</si>
  <si>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</si>
  <si>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</si>
  <si>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</si>
  <si>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</si>
  <si>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</si>
  <si>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</si>
  <si>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</si>
  <si>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</si>
  <si>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</si>
  <si>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</si>
  <si>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</si>
  <si>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</si>
  <si>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</si>
  <si>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</si>
  <si>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</si>
  <si>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</si>
  <si>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</si>
  <si>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</si>
  <si>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</si>
  <si>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</si>
  <si>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</si>
  <si>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</si>
  <si>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</si>
  <si>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</si>
  <si>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</si>
  <si>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</si>
  <si>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</si>
  <si>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</si>
  <si>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</si>
  <si>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</si>
  <si>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</si>
  <si>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</si>
  <si>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</si>
  <si>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</si>
  <si>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</si>
  <si>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</si>
  <si>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</si>
  <si>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</si>
  <si>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</si>
  <si>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</si>
  <si>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</si>
  <si>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</si>
  <si>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</si>
  <si>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</si>
  <si>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</si>
  <si>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</si>
  <si>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</si>
  <si>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</si>
  <si>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</si>
  <si>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</si>
  <si>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</si>
  <si>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</si>
  <si>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</si>
  <si>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</si>
  <si>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</si>
  <si>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</si>
  <si>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</si>
  <si>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</si>
  <si>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</si>
  <si>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</si>
  <si>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</si>
  <si>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</si>
  <si>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</si>
  <si>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</si>
  <si>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</si>
  <si>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</si>
  <si>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</si>
  <si>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</si>
  <si>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</si>
  <si>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</si>
  <si>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</si>
  <si>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</si>
  <si>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</si>
  <si>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</si>
  <si>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</si>
  <si>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</si>
  <si>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</si>
  <si>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</si>
  <si>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</si>
  <si>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</si>
  <si>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</si>
  <si>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</si>
  <si>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</si>
  <si>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</si>
  <si>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</si>
  <si>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</si>
  <si>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</si>
  <si>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</si>
  <si>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</si>
  <si>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</si>
  <si>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</si>
  <si>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</si>
  <si>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</si>
  <si>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</si>
  <si>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</si>
  <si>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</si>
  <si>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</si>
  <si>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</si>
  <si>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</si>
  <si>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</si>
  <si>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</si>
  <si>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</si>
  <si>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</si>
  <si>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</si>
  <si>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</si>
  <si>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</si>
  <si>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</si>
  <si>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</si>
  <si>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</si>
  <si>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</si>
  <si>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</si>
  <si>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</si>
  <si>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</si>
  <si>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</si>
  <si>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</si>
  <si>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</si>
  <si>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</si>
  <si>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</si>
  <si>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</si>
  <si>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</si>
  <si>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</si>
  <si>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</si>
  <si>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</si>
  <si>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</si>
  <si>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</si>
  <si>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</si>
  <si>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</si>
  <si>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</si>
  <si>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</si>
  <si>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</si>
  <si>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</si>
  <si>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</si>
  <si>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</si>
  <si>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</si>
  <si>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</si>
  <si>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</si>
  <si>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</si>
  <si>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</si>
  <si>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</si>
  <si>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</si>
  <si>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</si>
  <si>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</si>
  <si>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</si>
  <si>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</si>
  <si>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</si>
  <si>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</si>
  <si>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</si>
  <si>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</si>
  <si>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</si>
  <si>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</si>
  <si>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</si>
  <si>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</si>
  <si>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</si>
  <si>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</si>
  <si>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</si>
  <si>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</si>
  <si>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</si>
  <si>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</si>
  <si>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</si>
  <si>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</si>
  <si>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</si>
  <si>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</si>
  <si>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</si>
  <si>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</si>
  <si>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</si>
  <si>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</si>
  <si>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</si>
  <si>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</si>
  <si>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</si>
  <si>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</si>
  <si>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</si>
  <si>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</si>
  <si>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</si>
  <si>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</si>
  <si>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</si>
  <si>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</si>
  <si>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</si>
  <si>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</si>
  <si>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</si>
  <si>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</si>
  <si>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</si>
  <si>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</si>
  <si>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</si>
  <si>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</si>
  <si>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</si>
  <si>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</si>
  <si>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</si>
  <si>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</si>
  <si>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</si>
  <si>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</si>
  <si>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</si>
  <si>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</si>
  <si>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</si>
  <si>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</si>
  <si>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</si>
  <si>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</si>
  <si>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</si>
  <si>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</si>
  <si>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</si>
  <si>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</si>
  <si>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</si>
  <si>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</si>
  <si>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</si>
  <si>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</si>
  <si>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</si>
  <si>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</si>
  <si>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</si>
  <si>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</si>
  <si>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</si>
  <si>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</si>
  <si>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</si>
  <si>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</si>
  <si>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</si>
  <si>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</si>
  <si>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</si>
  <si>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</si>
  <si>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</si>
  <si>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</si>
  <si>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</si>
  <si>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</si>
  <si>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</si>
  <si>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</si>
  <si>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</si>
  <si>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</si>
  <si>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</si>
  <si>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</si>
  <si>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</si>
  <si>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</si>
  <si>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</si>
  <si>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</si>
  <si>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</si>
  <si>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</si>
  <si>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</si>
  <si>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</si>
  <si>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</si>
  <si>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</si>
  <si>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</si>
  <si>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</si>
  <si>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</si>
  <si>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</si>
  <si>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</si>
  <si>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</si>
  <si>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</si>
  <si>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</si>
  <si>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</si>
  <si>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</si>
  <si>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</si>
  <si>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</si>
  <si>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</si>
  <si>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</si>
  <si>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</si>
  <si>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</si>
  <si>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</si>
  <si>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</si>
  <si>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</si>
  <si>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</si>
  <si>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</si>
  <si>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</si>
  <si>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</si>
  <si>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</si>
  <si>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</si>
  <si>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</si>
  <si>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</si>
  <si>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</si>
  <si>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</si>
  <si>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</si>
  <si>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</si>
  <si>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</si>
  <si>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</si>
  <si>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</si>
  <si>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</si>
  <si>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</si>
  <si>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</si>
  <si>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</si>
  <si>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</si>
  <si>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</si>
  <si>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</si>
  <si>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</si>
  <si>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</si>
  <si>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</si>
  <si>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</si>
  <si>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</si>
  <si>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</si>
  <si>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</si>
  <si>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</si>
  <si>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</si>
  <si>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</si>
  <si>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</si>
  <si>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</si>
  <si>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</si>
  <si>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</si>
  <si>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</si>
  <si>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</si>
  <si>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</si>
  <si>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</si>
  <si>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</si>
  <si>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</si>
  <si>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</si>
  <si>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</si>
  <si>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</si>
  <si>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</si>
  <si>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</si>
  <si>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</si>
  <si>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</si>
  <si>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</si>
  <si>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</si>
  <si>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</si>
  <si>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</si>
  <si>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</si>
  <si>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</si>
  <si>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</si>
  <si>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</si>
  <si>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</si>
  <si>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</si>
  <si>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</si>
  <si>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</si>
  <si>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</si>
  <si>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</si>
  <si>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</si>
  <si>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</si>
  <si>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</si>
  <si>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</si>
  <si>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</si>
  <si>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</si>
  <si>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</si>
  <si>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</si>
  <si>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</si>
  <si>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</si>
  <si>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</si>
  <si>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</si>
  <si>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</si>
  <si>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</si>
  <si>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</si>
  <si>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</si>
  <si>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</si>
  <si>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</si>
  <si>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</si>
  <si>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</si>
  <si>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</si>
  <si>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</si>
  <si>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</si>
  <si>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</si>
  <si>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</si>
  <si>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</si>
  <si>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</si>
  <si>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</si>
  <si>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</si>
  <si>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</si>
  <si>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</si>
  <si>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</si>
  <si>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</si>
  <si>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</si>
  <si>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</si>
  <si>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</si>
  <si>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</si>
  <si>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</si>
  <si>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</si>
  <si>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</si>
  <si>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</si>
  <si>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</si>
  <si>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</si>
  <si>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</si>
  <si>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</si>
  <si>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</si>
  <si>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</si>
  <si>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</si>
  <si>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</si>
  <si>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</si>
  <si>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</si>
  <si>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</si>
  <si>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</si>
  <si>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</si>
  <si>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</si>
  <si>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</si>
  <si>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</si>
  <si>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</si>
  <si>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</si>
  <si>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</si>
  <si>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</si>
  <si>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</si>
  <si>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</si>
  <si>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</si>
  <si>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</si>
  <si>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</si>
  <si>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</si>
  <si>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</si>
  <si>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</si>
  <si>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</si>
  <si>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</si>
  <si>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</si>
  <si>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</si>
  <si>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</si>
  <si>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</si>
  <si>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</si>
  <si>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</si>
  <si>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</si>
  <si>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</si>
  <si>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</si>
  <si>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</si>
  <si>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</si>
  <si>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</si>
  <si>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</si>
  <si>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</si>
  <si>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</si>
  <si>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</si>
  <si>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</si>
  <si>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</si>
  <si>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</si>
  <si>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</si>
  <si>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</si>
  <si>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</si>
  <si>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</si>
  <si>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</si>
  <si>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</si>
  <si>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</si>
  <si>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</si>
  <si>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</si>
  <si>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</si>
  <si>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</si>
  <si>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</si>
  <si>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</si>
  <si>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</si>
  <si>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</si>
  <si>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</si>
  <si>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</si>
  <si>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</si>
  <si>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</si>
  <si>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</si>
  <si>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</si>
  <si>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</si>
  <si>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</si>
  <si>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</si>
  <si>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</si>
  <si>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</si>
  <si>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</si>
  <si>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</si>
  <si>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</si>
  <si>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</si>
  <si>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</si>
  <si>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</si>
  <si>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</si>
  <si>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</si>
  <si>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</si>
  <si>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</si>
  <si>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</si>
  <si>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</si>
  <si>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</si>
  <si>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</si>
  <si>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</si>
  <si>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</si>
  <si>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</si>
  <si>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</si>
  <si>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</si>
  <si>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</si>
  <si>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</si>
  <si>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</si>
  <si>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</si>
  <si>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</si>
  <si>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</si>
  <si>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</si>
  <si>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</si>
  <si>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</si>
  <si>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</si>
  <si>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</si>
  <si>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</si>
  <si>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</si>
  <si>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</si>
  <si>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</si>
  <si>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</si>
  <si>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</si>
  <si>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</si>
  <si>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</si>
  <si>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</si>
  <si>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</si>
  <si>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</si>
  <si>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</si>
  <si>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</si>
  <si>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</si>
  <si>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</si>
  <si>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</si>
  <si>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</si>
  <si>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</si>
  <si>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</si>
  <si>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</si>
  <si>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</si>
  <si>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</si>
  <si>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</si>
  <si>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</si>
  <si>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</si>
  <si>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</si>
  <si>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</si>
  <si>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</si>
  <si>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</si>
  <si>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</si>
  <si>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</si>
  <si>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</si>
  <si>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</si>
  <si>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</si>
  <si>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</si>
  <si>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</si>
  <si>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</si>
  <si>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</si>
  <si>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</si>
  <si>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</si>
  <si>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</si>
  <si>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</si>
  <si>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</si>
  <si>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</si>
  <si>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</si>
  <si>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</si>
  <si>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</si>
  <si>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</si>
  <si>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</si>
  <si>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</si>
  <si>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</si>
  <si>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</si>
  <si>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</si>
  <si>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</si>
  <si>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</si>
  <si>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</si>
  <si>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</si>
  <si>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</si>
  <si>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</si>
  <si>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</si>
  <si>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</si>
  <si>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</si>
  <si>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</si>
  <si>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</si>
  <si>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</si>
  <si>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</si>
  <si>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</si>
  <si>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</si>
  <si>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</si>
  <si>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</si>
  <si>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</si>
  <si>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</si>
  <si>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</si>
  <si>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</si>
  <si>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</si>
  <si>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</si>
  <si>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</si>
  <si>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</si>
  <si>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</si>
  <si>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</si>
  <si>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</si>
  <si>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</si>
  <si>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</si>
  <si>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</si>
  <si>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</si>
  <si>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</si>
  <si>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</si>
  <si>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</si>
  <si>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</si>
  <si>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</si>
  <si>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</si>
  <si>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</si>
  <si>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</si>
  <si>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</si>
  <si>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</si>
  <si>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</si>
  <si>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</si>
  <si>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</si>
  <si>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</si>
  <si>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</si>
  <si>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</si>
  <si>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</si>
  <si>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</si>
  <si>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</si>
  <si>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</si>
  <si>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</si>
  <si>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</si>
  <si>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</si>
  <si>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</si>
  <si>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</si>
  <si>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</si>
  <si>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</si>
  <si>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</si>
  <si>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</si>
  <si>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</si>
  <si>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</si>
  <si>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</si>
  <si>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</si>
  <si>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</si>
  <si>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</si>
  <si>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</si>
  <si>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</si>
  <si>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</si>
  <si>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</si>
  <si>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</si>
  <si>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</si>
  <si>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</si>
  <si>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</si>
  <si>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</si>
  <si>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</si>
  <si>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</si>
  <si>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</si>
  <si>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</si>
  <si>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</si>
  <si>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</si>
  <si>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</si>
  <si>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</si>
  <si>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</si>
  <si>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</si>
  <si>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</si>
  <si>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</si>
  <si>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</si>
  <si>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</si>
  <si>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</si>
  <si>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</si>
  <si>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</si>
  <si>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</si>
  <si>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</si>
  <si>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</si>
  <si>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</si>
  <si>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</si>
  <si>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</si>
  <si>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</si>
  <si>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</si>
  <si>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</si>
  <si>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</si>
  <si>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</si>
  <si>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</si>
  <si>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</si>
  <si>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</si>
  <si>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</si>
  <si>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</si>
  <si>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</si>
  <si>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</si>
  <si>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</si>
  <si>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</si>
  <si>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</si>
  <si>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</si>
  <si>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</si>
  <si>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</si>
  <si>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</si>
  <si>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</si>
  <si>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</si>
  <si>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</si>
  <si>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</si>
  <si>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</si>
  <si>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</si>
  <si>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</si>
  <si>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</si>
  <si>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</si>
  <si>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</si>
  <si>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</si>
  <si>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</si>
  <si>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</si>
  <si>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</si>
  <si>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</si>
  <si>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</si>
  <si>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</si>
  <si>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</si>
  <si>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</si>
  <si>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</si>
  <si>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</si>
  <si>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</si>
  <si>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</si>
  <si>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</si>
  <si>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</si>
  <si>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</si>
  <si>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</si>
  <si>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</si>
  <si>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</si>
  <si>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</si>
  <si>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</si>
  <si>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</si>
  <si>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</si>
  <si>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</si>
  <si>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</si>
  <si>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</si>
  <si>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</si>
  <si>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</si>
  <si>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</si>
  <si>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</si>
  <si>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</si>
  <si>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</si>
  <si>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</si>
  <si>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</si>
  <si>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</si>
  <si>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</si>
  <si>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</si>
  <si>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</si>
  <si>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</si>
  <si>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</si>
  <si>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</si>
  <si>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</si>
  <si>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</si>
  <si>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</si>
  <si>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</si>
  <si>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</si>
  <si>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</si>
  <si>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</si>
  <si>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</si>
  <si>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</si>
  <si>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</si>
  <si>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</si>
  <si>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</si>
  <si>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</si>
  <si>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</si>
  <si>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</si>
  <si>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</si>
  <si>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</si>
  <si>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</si>
  <si>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</si>
  <si>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</si>
  <si>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</si>
  <si>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</si>
  <si>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</si>
  <si>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</si>
  <si>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</si>
  <si>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</si>
  <si>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</si>
  <si>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</si>
  <si>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</si>
  <si>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</si>
  <si>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</si>
  <si>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</si>
  <si>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</si>
  <si>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</si>
  <si>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</si>
  <si>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</si>
  <si>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</si>
  <si>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</si>
  <si>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</si>
  <si>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</si>
  <si>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</si>
  <si>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</si>
  <si>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</si>
  <si>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</si>
  <si>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</si>
  <si>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</si>
  <si>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</si>
  <si>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</si>
  <si>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</si>
  <si>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</si>
  <si>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</si>
  <si>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</si>
  <si>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</si>
  <si>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</si>
  <si>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</si>
  <si>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</si>
  <si>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</si>
  <si>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</si>
  <si>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</si>
  <si>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</si>
  <si>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</si>
  <si>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</si>
  <si>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</si>
  <si>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</si>
  <si>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</si>
  <si>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</si>
  <si>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</si>
  <si>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</si>
  <si>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</si>
  <si>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</si>
  <si>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</si>
  <si>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</si>
  <si>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</si>
  <si>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</si>
  <si>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</si>
  <si>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</si>
  <si>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</si>
  <si>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</si>
  <si>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</si>
  <si>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</si>
  <si>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</si>
  <si>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</si>
  <si>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</si>
  <si>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</si>
  <si>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</si>
  <si>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</si>
  <si>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</si>
  <si>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</si>
  <si>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</si>
  <si>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</si>
  <si>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</si>
  <si>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</si>
  <si>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</si>
  <si>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</si>
  <si>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</si>
  <si>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</si>
  <si>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</si>
  <si>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</si>
  <si>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</si>
  <si>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</si>
  <si>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</si>
  <si>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</si>
  <si>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</si>
  <si>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</si>
  <si>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</si>
  <si>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</si>
  <si>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</si>
  <si>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</si>
  <si>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</si>
  <si>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</si>
  <si>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</si>
  <si>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</si>
  <si>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</si>
  <si>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</si>
  <si>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</si>
  <si>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</si>
  <si>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</si>
  <si>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</si>
  <si>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</si>
  <si>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</si>
  <si>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</si>
  <si>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</si>
  <si>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</si>
  <si>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</si>
  <si>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</si>
  <si>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</si>
  <si>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</si>
  <si>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</si>
  <si>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</si>
  <si>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</si>
  <si>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</si>
  <si>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</si>
  <si>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</si>
  <si>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</si>
  <si>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</si>
  <si>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</si>
  <si>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</si>
  <si>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</si>
  <si>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</si>
  <si>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</si>
  <si>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</si>
  <si>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</si>
  <si>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</si>
  <si>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</si>
  <si>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</si>
  <si>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</si>
  <si>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</si>
  <si>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</si>
  <si>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</si>
  <si>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</si>
  <si>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</si>
  <si>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</si>
  <si>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</si>
  <si>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</si>
  <si>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</si>
  <si>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</si>
  <si>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</si>
  <si>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</si>
  <si>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</si>
  <si>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</si>
  <si>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</si>
  <si>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</si>
  <si>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</si>
  <si>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</si>
  <si>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</si>
  <si>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</si>
  <si>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</si>
  <si>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</si>
  <si>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</si>
  <si>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</si>
  <si>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</si>
  <si>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</si>
  <si>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</si>
  <si>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</si>
  <si>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</si>
  <si>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</si>
  <si>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</si>
  <si>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</si>
  <si>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</si>
  <si>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</si>
  <si>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</si>
  <si>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</si>
  <si>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</si>
  <si>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</si>
  <si>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</si>
  <si>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</si>
  <si>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</si>
  <si>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</si>
  <si>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</si>
  <si>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</si>
  <si>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</si>
  <si>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</si>
  <si>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</si>
  <si>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</si>
  <si>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</si>
  <si>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</si>
  <si>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</si>
  <si>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</si>
  <si>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</si>
  <si>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</si>
  <si>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</si>
  <si>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</si>
  <si>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</si>
  <si>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</si>
  <si>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</si>
  <si>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</si>
  <si>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</si>
  <si>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</si>
  <si>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</si>
  <si>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</si>
  <si>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</si>
  <si>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</si>
  <si>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</si>
  <si>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</si>
  <si>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</si>
  <si>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</si>
  <si>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</si>
  <si>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</si>
  <si>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</si>
  <si>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</si>
  <si>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</si>
  <si>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</si>
  <si>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</si>
  <si>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</si>
  <si>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</si>
  <si>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</si>
  <si>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</si>
  <si>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</si>
  <si>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</si>
  <si>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</si>
  <si>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</si>
  <si>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</si>
  <si>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</si>
  <si>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</si>
  <si>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</si>
  <si>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</si>
  <si>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</si>
  <si>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</si>
  <si>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</si>
  <si>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</si>
  <si>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</si>
  <si>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</si>
  <si>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</si>
  <si>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</si>
  <si>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</si>
  <si>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</si>
  <si>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</si>
  <si>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</si>
  <si>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</si>
  <si>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</si>
  <si>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</si>
  <si>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</si>
  <si>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</si>
  <si>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</si>
  <si>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</si>
  <si>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</si>
  <si>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</si>
  <si>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</si>
  <si>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</si>
  <si>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</si>
  <si>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</si>
  <si>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</si>
  <si>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</si>
  <si>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</si>
  <si>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</si>
  <si>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容积率</t>
    <phoneticPr fontId="225" type="noConversion"/>
  </si>
  <si>
    <t>建筑面积</t>
    <phoneticPr fontId="225" type="noConversion"/>
  </si>
  <si>
    <t>单价</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</si>
  <si>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</si>
  <si>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</si>
  <si>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</si>
  <si>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</si>
  <si>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</si>
  <si>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</si>
  <si>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</si>
  <si>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</si>
  <si>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</si>
  <si>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</si>
  <si>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</si>
  <si>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</si>
  <si>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</si>
  <si>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</si>
  <si>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</si>
  <si>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</si>
  <si>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</si>
  <si>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</si>
  <si>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</si>
  <si>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</si>
  <si>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</si>
  <si>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</si>
  <si>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</si>
  <si>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</si>
  <si>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</si>
  <si>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</si>
  <si>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</si>
  <si>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</si>
  <si>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</si>
  <si>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</si>
  <si>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</si>
  <si>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</si>
  <si>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</si>
  <si>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</si>
  <si>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</si>
  <si>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</si>
  <si>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</si>
  <si>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</si>
  <si>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</si>
  <si>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</si>
  <si>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</si>
  <si>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</si>
  <si>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</si>
  <si>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</si>
  <si>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</si>
  <si>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</si>
  <si>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</si>
  <si>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</si>
  <si>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</si>
  <si>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</si>
  <si>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</si>
  <si>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</si>
  <si>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</si>
  <si>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</si>
  <si>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r>
      <rPr>
        <sz val="10"/>
        <rFont val="宋体"/>
        <family val="3"/>
        <charset val="134"/>
      </rPr>
      <t>宋固街</t>
    </r>
    <r>
      <rPr>
        <sz val="10"/>
        <rFont val="Arial"/>
        <family val="2"/>
      </rPr>
      <t>(</t>
    </r>
    <r>
      <rPr>
        <sz val="10"/>
        <rFont val="宋体"/>
        <family val="3"/>
        <charset val="134"/>
      </rPr>
      <t>民富路</t>
    </r>
    <r>
      <rPr>
        <sz val="10"/>
        <rFont val="Arial"/>
        <family val="2"/>
      </rPr>
      <t>)</t>
    </r>
    <r>
      <rPr>
        <sz val="10"/>
        <rFont val="宋体"/>
        <family val="3"/>
        <charset val="134"/>
      </rPr>
      <t>西、顺昌路</t>
    </r>
    <r>
      <rPr>
        <sz val="10"/>
        <rFont val="Arial"/>
        <family val="2"/>
      </rPr>
      <t>(</t>
    </r>
    <r>
      <rPr>
        <sz val="10"/>
        <rFont val="宋体"/>
        <family val="3"/>
        <charset val="134"/>
      </rPr>
      <t>北岗路</t>
    </r>
    <r>
      <rPr>
        <sz val="10"/>
        <rFont val="Arial"/>
        <family val="2"/>
      </rPr>
      <t>)</t>
    </r>
    <r>
      <rPr>
        <sz val="10"/>
        <rFont val="宋体"/>
        <family val="3"/>
        <charset val="134"/>
      </rPr>
      <t>北</t>
    </r>
    <phoneticPr fontId="225" type="noConversion"/>
  </si>
  <si>
    <t>七通</t>
    <phoneticPr fontId="26" type="noConversion"/>
  </si>
  <si>
    <t>核定资产</t>
  </si>
  <si>
    <t>市场价格</t>
  </si>
  <si>
    <t>碧桂园凤凰城</t>
    <phoneticPr fontId="225" type="noConversion"/>
  </si>
  <si>
    <t>每亩价格</t>
    <phoneticPr fontId="225" type="noConversion"/>
  </si>
  <si>
    <t>地上露面</t>
    <phoneticPr fontId="225" type="noConversion"/>
  </si>
  <si>
    <t>地价比</t>
    <phoneticPr fontId="225" type="noConversion"/>
  </si>
  <si>
    <t>情况3</t>
  </si>
  <si>
    <t>自行开发建设</t>
  </si>
  <si>
    <t>非个人房产</t>
  </si>
  <si>
    <t>买卖合同</t>
  </si>
  <si>
    <t>2016年5月1日后购买</t>
  </si>
  <si>
    <t>抵押价格</t>
  </si>
  <si>
    <t>出让金+开发费</t>
  </si>
  <si>
    <t>金额（万元）</t>
    <phoneticPr fontId="225" type="noConversion"/>
  </si>
  <si>
    <t>河南省郑州市中原区西流湖路南、电厂西路西一宗住宅、商业用地</t>
    <phoneticPr fontId="225" type="noConversion"/>
  </si>
  <si>
    <t>槐荫街南、弯月路西</t>
    <phoneticPr fontId="225" type="noConversion"/>
  </si>
  <si>
    <r>
      <rPr>
        <sz val="10"/>
        <rFont val="宋体"/>
        <family val="3"/>
        <charset val="134"/>
      </rPr>
      <t>关庙街</t>
    </r>
    <r>
      <rPr>
        <sz val="10"/>
        <rFont val="Arial"/>
        <family val="2"/>
      </rPr>
      <t>(</t>
    </r>
    <r>
      <rPr>
        <sz val="10"/>
        <rFont val="宋体"/>
        <family val="3"/>
        <charset val="134"/>
      </rPr>
      <t>风茂街</t>
    </r>
    <r>
      <rPr>
        <sz val="10"/>
        <rFont val="Arial"/>
        <family val="2"/>
      </rPr>
      <t>)</t>
    </r>
    <r>
      <rPr>
        <sz val="10"/>
        <rFont val="宋体"/>
        <family val="3"/>
        <charset val="134"/>
      </rPr>
      <t>南、民和北街</t>
    </r>
    <r>
      <rPr>
        <sz val="10"/>
        <rFont val="Arial"/>
        <family val="2"/>
      </rPr>
      <t>(</t>
    </r>
    <r>
      <rPr>
        <sz val="10"/>
        <rFont val="宋体"/>
        <family val="3"/>
        <charset val="134"/>
      </rPr>
      <t>许庄路</t>
    </r>
    <r>
      <rPr>
        <sz val="10"/>
        <rFont val="Arial"/>
        <family val="2"/>
      </rPr>
      <t>)</t>
    </r>
    <r>
      <rPr>
        <sz val="10"/>
        <rFont val="宋体"/>
        <family val="3"/>
        <charset val="134"/>
      </rPr>
      <t>西</t>
    </r>
    <phoneticPr fontId="225" type="noConversion"/>
  </si>
  <si>
    <t>风和朗庭</t>
    <phoneticPr fontId="225" type="noConversion"/>
  </si>
  <si>
    <t>保利心语</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</si>
</sst>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xf numFmtId="9" fontId="283" fillId="0" borderId="0" applyFont="0" applyFill="0" applyBorder="0" applyAlignment="0" applyProtection="0">
      <alignment vertical="center"/>
    </xf>
  </cellStyleXfs>
  <cellXfs count="38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0" fillId="0" borderId="0" xfId="0" applyNumberFormat="1" applyAlignment="1" applyProtection="1">
      <alignment horizontal="left" vertical="center"/>
      <protection locked="0"/>
    </xf>
    <xf numFmtId="182" fontId="73" fillId="16" borderId="12" xfId="0" applyNumberFormat="1" applyFont="1" applyFill="1" applyBorder="1" applyAlignment="1" applyProtection="1">
      <alignment horizontal="center" vertical="center"/>
      <protection locked="0"/>
    </xf>
    <xf numFmtId="185" fontId="96" fillId="0" borderId="0" xfId="0" applyNumberFormat="1" applyFont="1" applyFill="1" applyAlignment="1" applyProtection="1">
      <protection locked="0"/>
    </xf>
    <xf numFmtId="177" fontId="72" fillId="0" borderId="0" xfId="0" applyNumberFormat="1" applyFont="1" applyFill="1" applyAlignment="1" applyProtection="1">
      <protection locked="0"/>
    </xf>
    <xf numFmtId="178" fontId="0" fillId="12" borderId="0" xfId="0" applyNumberFormat="1" applyFill="1" applyAlignment="1" applyProtection="1">
      <alignment horizontal="left" vertical="center"/>
      <protection locked="0"/>
    </xf>
    <xf numFmtId="178" fontId="0" fillId="0" borderId="0" xfId="0" applyNumberFormat="1" applyAlignment="1" applyProtection="1">
      <alignment horizontal="left" vertical="center"/>
      <protection locked="0"/>
    </xf>
    <xf numFmtId="0" fontId="142" fillId="12" borderId="0" xfId="0" applyFont="1" applyFill="1" applyAlignment="1" applyProtection="1">
      <alignment horizontal="left" vertical="center"/>
      <protection locked="0"/>
    </xf>
    <xf numFmtId="0" fontId="142" fillId="0" borderId="0" xfId="0" applyFont="1" applyAlignment="1" applyProtection="1">
      <alignment horizontal="left" vertical="center"/>
      <protection locked="0"/>
    </xf>
    <xf numFmtId="9" fontId="73" fillId="12" borderId="0" xfId="17" applyFont="1" applyFill="1" applyAlignment="1" applyProtection="1">
      <alignment vertical="center"/>
      <protection locked="0"/>
    </xf>
    <xf numFmtId="0" fontId="161" fillId="0" borderId="2" xfId="0" applyFont="1" applyBorder="1" applyAlignment="1">
      <alignment horizontal="center" vertical="center"/>
    </xf>
    <xf numFmtId="191" fontId="161" fillId="0" borderId="2" xfId="0" applyNumberFormat="1" applyFont="1" applyBorder="1" applyAlignment="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7" fillId="21" borderId="11" xfId="0" applyFont="1" applyFill="1" applyBorder="1" applyAlignment="1" applyProtection="1">
      <alignment horizontal="center" vertical="center" wrapText="1"/>
      <protection locked="0"/>
    </xf>
    <xf numFmtId="0" fontId="257" fillId="21" borderId="12"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124" fillId="9" borderId="0" xfId="16" applyFont="1" applyFill="1"/>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134</xdr:row>
      <xdr:rowOff>76200</xdr:rowOff>
    </xdr:from>
    <xdr:to>
      <xdr:col>14</xdr:col>
      <xdr:colOff>589090</xdr:colOff>
      <xdr:row>176</xdr:row>
      <xdr:rowOff>141967</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 y="23269575"/>
          <a:ext cx="11685715" cy="7266667"/>
        </a:xfrm>
        <a:prstGeom prst="rect">
          <a:avLst/>
        </a:prstGeom>
      </xdr:spPr>
    </xdr:pic>
    <xdr:clientData/>
  </xdr:twoCellAnchor>
  <xdr:twoCellAnchor editAs="oneCell">
    <xdr:from>
      <xdr:col>0</xdr:col>
      <xdr:colOff>0</xdr:colOff>
      <xdr:row>176</xdr:row>
      <xdr:rowOff>28575</xdr:rowOff>
    </xdr:from>
    <xdr:to>
      <xdr:col>21</xdr:col>
      <xdr:colOff>455149</xdr:colOff>
      <xdr:row>187</xdr:row>
      <xdr:rowOff>161673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0422850"/>
          <a:ext cx="16419049" cy="2019048"/>
        </a:xfrm>
        <a:prstGeom prst="rect">
          <a:avLst/>
        </a:prstGeom>
      </xdr:spPr>
    </xdr:pic>
    <xdr:clientData/>
  </xdr:twoCellAnchor>
  <xdr:twoCellAnchor editAs="oneCell">
    <xdr:from>
      <xdr:col>0</xdr:col>
      <xdr:colOff>171450</xdr:colOff>
      <xdr:row>34</xdr:row>
      <xdr:rowOff>28575</xdr:rowOff>
    </xdr:from>
    <xdr:to>
      <xdr:col>9</xdr:col>
      <xdr:colOff>27627</xdr:colOff>
      <xdr:row>62</xdr:row>
      <xdr:rowOff>94642</xdr:rowOff>
    </xdr:to>
    <xdr:pic>
      <xdr:nvPicPr>
        <xdr:cNvPr id="10" name="图片 9"/>
        <xdr:cNvPicPr>
          <a:picLocks noChangeAspect="1"/>
        </xdr:cNvPicPr>
      </xdr:nvPicPr>
      <xdr:blipFill>
        <a:blip xmlns:r="http://schemas.openxmlformats.org/officeDocument/2006/relationships" r:embed="rId3"/>
        <a:stretch>
          <a:fillRect/>
        </a:stretch>
      </xdr:blipFill>
      <xdr:spPr>
        <a:xfrm>
          <a:off x="171450" y="5857875"/>
          <a:ext cx="7590477" cy="4866667"/>
        </a:xfrm>
        <a:prstGeom prst="rect">
          <a:avLst/>
        </a:prstGeom>
      </xdr:spPr>
    </xdr:pic>
    <xdr:clientData/>
  </xdr:twoCellAnchor>
  <xdr:twoCellAnchor editAs="oneCell">
    <xdr:from>
      <xdr:col>0</xdr:col>
      <xdr:colOff>0</xdr:colOff>
      <xdr:row>75</xdr:row>
      <xdr:rowOff>0</xdr:rowOff>
    </xdr:from>
    <xdr:to>
      <xdr:col>14</xdr:col>
      <xdr:colOff>608129</xdr:colOff>
      <xdr:row>117</xdr:row>
      <xdr:rowOff>8624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3049250"/>
          <a:ext cx="11771429" cy="7209524"/>
        </a:xfrm>
        <a:prstGeom prst="rect">
          <a:avLst/>
        </a:prstGeom>
      </xdr:spPr>
    </xdr:pic>
    <xdr:clientData/>
  </xdr:twoCellAnchor>
  <xdr:twoCellAnchor editAs="oneCell">
    <xdr:from>
      <xdr:col>0</xdr:col>
      <xdr:colOff>0</xdr:colOff>
      <xdr:row>118</xdr:row>
      <xdr:rowOff>0</xdr:rowOff>
    </xdr:from>
    <xdr:to>
      <xdr:col>21</xdr:col>
      <xdr:colOff>426577</xdr:colOff>
      <xdr:row>129</xdr:row>
      <xdr:rowOff>95003</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0240625"/>
          <a:ext cx="16390477" cy="1980953"/>
        </a:xfrm>
        <a:prstGeom prst="rect">
          <a:avLst/>
        </a:prstGeom>
      </xdr:spPr>
    </xdr:pic>
    <xdr:clientData/>
  </xdr:twoCellAnchor>
  <xdr:twoCellAnchor editAs="oneCell">
    <xdr:from>
      <xdr:col>0</xdr:col>
      <xdr:colOff>28575</xdr:colOff>
      <xdr:row>196</xdr:row>
      <xdr:rowOff>19050</xdr:rowOff>
    </xdr:from>
    <xdr:to>
      <xdr:col>15</xdr:col>
      <xdr:colOff>198523</xdr:colOff>
      <xdr:row>233</xdr:row>
      <xdr:rowOff>151591</xdr:rowOff>
    </xdr:to>
    <xdr:pic>
      <xdr:nvPicPr>
        <xdr:cNvPr id="13" name="图片 12"/>
        <xdr:cNvPicPr>
          <a:picLocks noChangeAspect="1"/>
        </xdr:cNvPicPr>
      </xdr:nvPicPr>
      <xdr:blipFill>
        <a:blip xmlns:r="http://schemas.openxmlformats.org/officeDocument/2006/relationships" r:embed="rId6"/>
        <a:stretch>
          <a:fillRect/>
        </a:stretch>
      </xdr:blipFill>
      <xdr:spPr>
        <a:xfrm>
          <a:off x="28575" y="33851850"/>
          <a:ext cx="12019048" cy="6476191"/>
        </a:xfrm>
        <a:prstGeom prst="rect">
          <a:avLst/>
        </a:prstGeom>
      </xdr:spPr>
    </xdr:pic>
    <xdr:clientData/>
  </xdr:twoCellAnchor>
  <xdr:twoCellAnchor editAs="oneCell">
    <xdr:from>
      <xdr:col>0</xdr:col>
      <xdr:colOff>0</xdr:colOff>
      <xdr:row>234</xdr:row>
      <xdr:rowOff>0</xdr:rowOff>
    </xdr:from>
    <xdr:to>
      <xdr:col>21</xdr:col>
      <xdr:colOff>359911</xdr:colOff>
      <xdr:row>244</xdr:row>
      <xdr:rowOff>95024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40347900"/>
          <a:ext cx="16323811" cy="1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7&#21495;&#22303;&#22320;-&#35299;&#22269;&#26126;-&#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7073;&#24030;77&#21495;&#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7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16609.36</v>
          </cell>
        </row>
      </sheetData>
      <sheetData sheetId="14"/>
      <sheetData sheetId="15"/>
      <sheetData sheetId="16">
        <row r="14">
          <cell r="B14">
            <v>23212.99</v>
          </cell>
          <cell r="C14">
            <v>4855.7</v>
          </cell>
          <cell r="D14">
            <v>7387</v>
          </cell>
        </row>
      </sheetData>
      <sheetData sheetId="17"/>
      <sheetData sheetId="18"/>
      <sheetData sheetId="19">
        <row r="6">
          <cell r="C6">
            <v>21108</v>
          </cell>
        </row>
        <row r="10">
          <cell r="M10">
            <v>19829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7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 val="Sheet1"/>
      <sheetName val="净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I14">
            <v>6456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出让国有建设用地使用权市场价格预评估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受贵公司委托，我公司对出让国有建设用地使用权市场价格进行了预评估。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23308.88平方米。根据《建设工程规划许可证》[]、《出让合同》[]，估价对象规划建筑面积为184715.46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本次评估为委托估价方了解标的物之市场价格提供参考依据而评估出让国有建设用地使用权市场价格。</v>
      </c>
    </row>
    <row r="10" spans="1:55" s="2513" customFormat="1">
      <c r="A10" s="2514" t="s">
        <v>2375</v>
      </c>
      <c r="B10" s="2515" t="str">
        <f>'预评函-1'!A11</f>
        <v>2022年11月30日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根据《国有土地使用证》[]，估价对象（分摊）出让国有建设用地使用权面积为23308.88平方米。根据《建设工程规划许可证》[]、《出让合同》[]，估价对象规划建筑面积为184715.46平方米。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3" customFormat="1">
      <c r="A19" s="2514" t="s">
        <v>2388</v>
      </c>
      <c r="B19" s="2515" t="str">
        <f>'预评函-1'!A26</f>
        <v>——</v>
      </c>
    </row>
    <row r="20" spans="1:48" s="2513" customFormat="1">
      <c r="A20" s="2514" t="s">
        <v>2389</v>
      </c>
      <c r="B20" s="2515" t="str">
        <f>'预评函-1'!A27</f>
        <v>——</v>
      </c>
    </row>
    <row r="21" spans="1:48" s="2529" customFormat="1" ht="15" thickBot="1">
      <c r="A21" s="2536" t="s">
        <v>2390</v>
      </c>
      <c r="B21" s="2537" t="str">
        <f>'预评函-1'!A28</f>
        <v>——</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估价期日：2022年11月30日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23308.880000000001</v>
      </c>
    </row>
    <row r="44" spans="1:2">
      <c r="A44" s="2514" t="s">
        <v>2456</v>
      </c>
      <c r="B44" s="2515" t="str">
        <f>'预评函-2'!O3</f>
        <v>规划建筑面积/㎡</v>
      </c>
    </row>
    <row r="45" spans="1:2">
      <c r="A45" s="2514" t="s">
        <v>2438</v>
      </c>
      <c r="B45" s="2515">
        <f>'预评函-2'!O5</f>
        <v>184715.46</v>
      </c>
    </row>
    <row r="46" spans="1:2">
      <c r="A46" s="2514" t="s">
        <v>2439</v>
      </c>
      <c r="B46" s="2515">
        <f ca="1">'预评函-2'!P5</f>
        <v>20391</v>
      </c>
    </row>
    <row r="47" spans="1:2">
      <c r="A47" s="2514" t="s">
        <v>2440</v>
      </c>
      <c r="B47" s="2515">
        <f ca="1">'预评函-2'!Q5</f>
        <v>2573</v>
      </c>
    </row>
    <row r="48" spans="1:2">
      <c r="A48" s="2514" t="s">
        <v>2441</v>
      </c>
      <c r="B48" s="2515">
        <f ca="1">'预评函-2'!R5</f>
        <v>47529</v>
      </c>
    </row>
    <row r="49" spans="1:2">
      <c r="A49" s="2514" t="s">
        <v>2457</v>
      </c>
      <c r="B49" s="2515" t="str">
        <f>'预评函-2'!A6</f>
        <v>——</v>
      </c>
    </row>
    <row r="50" spans="1:2">
      <c r="A50" s="2514" t="s">
        <v>2442</v>
      </c>
      <c r="B50" s="2515">
        <f ca="1">'预评函-2'!R6</f>
        <v>47529</v>
      </c>
    </row>
    <row r="51" spans="1:2">
      <c r="A51" s="2514" t="s">
        <v>2458</v>
      </c>
      <c r="B51" s="2515" t="str">
        <f>'预评函-2'!A7</f>
        <v>——</v>
      </c>
    </row>
    <row r="52" spans="1:2">
      <c r="A52" s="2514" t="s">
        <v>2443</v>
      </c>
      <c r="B52" s="2515" t="str">
        <f>'预评函-2'!R7</f>
        <v>——</v>
      </c>
    </row>
    <row r="53" spans="1:2">
      <c r="A53" s="2514" t="s">
        <v>2459</v>
      </c>
      <c r="B53" s="2515" t="str">
        <f>'预评函-2'!A8</f>
        <v>——</v>
      </c>
    </row>
    <row r="54" spans="1:2" s="2529" customFormat="1" ht="15" thickBot="1">
      <c r="A54" s="2536" t="s">
        <v>2444</v>
      </c>
      <c r="B54" s="2537">
        <f ca="1">'预评函-2'!R8</f>
        <v>41840</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2.本次评估设定估价对象宗地权属无争议，未被查封或者以其他形式限制其房地产权利，未设定抵押权等他项权利，不涉及第三方权利义务。</v>
      </c>
    </row>
    <row r="60" spans="1:2">
      <c r="A60" s="2514" t="s">
        <v>2398</v>
      </c>
      <c r="B60" s="2515" t="str">
        <f>'预评函-3'!A9</f>
        <v>——</v>
      </c>
    </row>
    <row r="61" spans="1:2">
      <c r="A61" s="2514" t="s">
        <v>2400</v>
      </c>
      <c r="B61" s="2515" t="str">
        <f>'预评函-3'!A10</f>
        <v>——</v>
      </c>
    </row>
    <row r="62" spans="1:2">
      <c r="A62" s="2514" t="s">
        <v>2399</v>
      </c>
      <c r="B62" s="2515" t="str">
        <f>'预评函-3'!A11</f>
        <v>——</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v>
      </c>
    </row>
    <row r="66" spans="1:2">
      <c r="A66" s="2514" t="s">
        <v>2404</v>
      </c>
      <c r="B66" s="25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80" zoomScaleNormal="100" zoomScaleSheetLayoutView="80" workbookViewId="0">
      <selection activeCell="C10" sqref="C10"/>
    </sheetView>
  </sheetViews>
  <sheetFormatPr defaultColWidth="10" defaultRowHeight="14.25"/>
  <cols>
    <col min="1" max="1" width="15.375" style="1565" customWidth="1"/>
    <col min="2" max="2" width="11.375" style="1565" customWidth="1"/>
    <col min="3" max="3" width="12.625" style="1565" customWidth="1"/>
    <col min="4" max="4" width="14.6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38" t="str">
        <f>IF(B10="北京市","北京市",C10)&amp;F10&amp;B16&amp;"国有建设用地使用权"&amp;B9&amp;"预评估"</f>
        <v>出让国有建设用地使用权市场价格预评估</v>
      </c>
      <c r="C1" s="3539"/>
      <c r="D1" s="3539"/>
      <c r="E1" s="3539"/>
      <c r="F1" s="3539"/>
      <c r="G1" s="3539"/>
      <c r="H1" s="3539"/>
      <c r="I1" s="3540"/>
      <c r="J1" s="2978"/>
      <c r="K1" s="2261" t="str">
        <f>IF(B10="北京市","北京市",C10)&amp;F10&amp;B16&amp;"国有建设用地使用权"&amp;B9</f>
        <v>出让国有建设用地使用权市场价格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44895</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3463</v>
      </c>
      <c r="C8" s="1550"/>
      <c r="D8" s="3544" t="s">
        <v>1735</v>
      </c>
      <c r="E8" s="1709" t="s">
        <v>3474</v>
      </c>
      <c r="F8" s="1551"/>
      <c r="G8" s="2979"/>
      <c r="H8" s="2979"/>
      <c r="I8" s="2982"/>
      <c r="J8" s="2978"/>
      <c r="K8" s="2961"/>
      <c r="L8" s="2957"/>
      <c r="M8" s="2957"/>
      <c r="N8" s="2958"/>
      <c r="O8" s="2959"/>
      <c r="P8" s="2958"/>
      <c r="Q8" s="2958"/>
      <c r="R8" s="2958"/>
      <c r="S8" s="2958"/>
      <c r="T8" s="2958"/>
      <c r="U8" s="2958"/>
    </row>
    <row r="9" spans="1:21" ht="15" thickBot="1">
      <c r="A9" s="2903" t="s">
        <v>1734</v>
      </c>
      <c r="B9" s="1552" t="s">
        <v>3464</v>
      </c>
      <c r="C9" s="1553"/>
      <c r="D9" s="3545"/>
      <c r="E9" s="1552" t="s">
        <v>2566</v>
      </c>
      <c r="F9" s="1616"/>
      <c r="G9" s="2983"/>
      <c r="H9" s="2983"/>
      <c r="I9" s="2984"/>
      <c r="J9" s="2978"/>
      <c r="K9" s="2961"/>
      <c r="L9" s="2957"/>
      <c r="M9" s="2957"/>
      <c r="N9" s="2958"/>
      <c r="O9" s="2959"/>
      <c r="P9" s="2958"/>
      <c r="Q9" s="2958"/>
      <c r="R9" s="2958"/>
      <c r="S9" s="2958"/>
      <c r="T9" s="2958"/>
      <c r="U9" s="2958"/>
    </row>
    <row r="10" spans="1:21" ht="15" thickTop="1">
      <c r="A10" s="2904" t="s">
        <v>1790</v>
      </c>
      <c r="B10" s="1592" t="s">
        <v>3116</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3117</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41"/>
      <c r="C12" s="3542"/>
      <c r="D12" s="3543"/>
      <c r="E12" s="1572" t="s">
        <v>1852</v>
      </c>
      <c r="F12" s="3559" t="s">
        <v>2601</v>
      </c>
      <c r="G12" s="3560"/>
      <c r="H12" s="3560"/>
      <c r="I12" s="3561"/>
      <c r="J12" s="2978"/>
      <c r="K12" s="2961"/>
      <c r="L12" s="2957"/>
      <c r="M12" s="2957"/>
      <c r="N12" s="2958"/>
      <c r="O12" s="2959"/>
      <c r="P12" s="2958"/>
      <c r="Q12" s="2958"/>
      <c r="R12" s="2958"/>
      <c r="S12" s="2958"/>
      <c r="T12" s="2958"/>
      <c r="U12" s="2958"/>
    </row>
    <row r="13" spans="1:21">
      <c r="A13" s="1563" t="s">
        <v>1850</v>
      </c>
      <c r="B13" s="3541"/>
      <c r="C13" s="3542"/>
      <c r="D13" s="3543"/>
      <c r="E13" s="1572" t="s">
        <v>1852</v>
      </c>
      <c r="F13" s="3559" t="s">
        <v>2602</v>
      </c>
      <c r="G13" s="3560"/>
      <c r="H13" s="3560"/>
      <c r="I13" s="3561"/>
      <c r="J13" s="2978"/>
      <c r="K13" s="2961"/>
      <c r="L13" s="2957"/>
      <c r="M13" s="2957"/>
      <c r="N13" s="2958"/>
      <c r="O13" s="2959"/>
      <c r="P13" s="2958"/>
      <c r="Q13" s="2958"/>
      <c r="R13" s="2958"/>
      <c r="S13" s="2958"/>
      <c r="T13" s="2958"/>
      <c r="U13" s="2958"/>
    </row>
    <row r="14" spans="1:21">
      <c r="A14" s="1540" t="s">
        <v>1853</v>
      </c>
      <c r="B14" s="1572"/>
      <c r="C14" s="1710" t="s">
        <v>3118</v>
      </c>
      <c r="D14" s="1606" t="str">
        <f>IF(C14="不一致","是否符合证载地类范围","")</f>
        <v/>
      </c>
      <c r="E14" s="1572"/>
      <c r="F14" s="1656" t="s">
        <v>3119</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3120</v>
      </c>
      <c r="C16" s="1572" t="s">
        <v>1739</v>
      </c>
      <c r="D16" s="2407" t="s">
        <v>1740</v>
      </c>
      <c r="E16" s="1595" t="s">
        <v>3121</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65.33</v>
      </c>
      <c r="E19" s="1561">
        <f>IF(B16="出让",IF(E17="","",ROUNDDOWN(MIN((E17-$D$3)/365,E18),2)),E18)</f>
        <v>35.299999999999997</v>
      </c>
      <c r="F19" s="1561" t="str">
        <f>IF(B16="出让",IF(F17="","",ROUNDDOWN(MIN((F17-$D$3)/365,F18),2)),F18)</f>
        <v/>
      </c>
      <c r="G19" s="1561">
        <f>IF(B16="出让",IF(G17="","",ROUNDDOWN(MIN((G17-$D$3)/365,G18),2)),G18)</f>
        <v>45.31</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56"/>
      <c r="E20" s="3557"/>
      <c r="F20" s="3557"/>
      <c r="G20" s="3557"/>
      <c r="H20" s="3557"/>
      <c r="I20" s="3558"/>
      <c r="J20" s="2978"/>
      <c r="K20" s="2961"/>
      <c r="L20" s="2957"/>
      <c r="M20" s="2957"/>
      <c r="N20" s="2958"/>
      <c r="O20" s="2959"/>
      <c r="P20" s="2958"/>
      <c r="Q20" s="2958"/>
      <c r="R20" s="2958"/>
      <c r="S20" s="2958"/>
      <c r="T20" s="2958"/>
      <c r="U20" s="2958"/>
    </row>
    <row r="21" spans="1:21">
      <c r="A21" s="1632" t="s">
        <v>1749</v>
      </c>
      <c r="B21" s="1633" t="s">
        <v>1750</v>
      </c>
      <c r="C21" s="1628">
        <f>'数据-汇总表'!E3</f>
        <v>184715.46</v>
      </c>
      <c r="D21" s="1629" t="s">
        <v>1751</v>
      </c>
      <c r="E21" s="3546" t="s">
        <v>1789</v>
      </c>
      <c r="F21" s="3547"/>
      <c r="G21" s="3547"/>
      <c r="H21" s="3547"/>
      <c r="I21" s="3548"/>
      <c r="J21" s="2978"/>
      <c r="K21" s="2961"/>
      <c r="L21" s="2957"/>
      <c r="M21" s="2957"/>
      <c r="N21" s="2958"/>
      <c r="O21" s="2959"/>
      <c r="P21" s="2958"/>
      <c r="Q21" s="2958"/>
      <c r="R21" s="2958"/>
      <c r="S21" s="2958"/>
      <c r="T21" s="2958"/>
      <c r="U21" s="2958"/>
    </row>
    <row r="22" spans="1:21">
      <c r="A22" s="2716" t="s">
        <v>930</v>
      </c>
      <c r="B22" s="1540" t="s">
        <v>1752</v>
      </c>
      <c r="C22" s="1562">
        <f>'数据-汇总表'!D3</f>
        <v>23308.880000000001</v>
      </c>
      <c r="D22" s="1563" t="s">
        <v>1751</v>
      </c>
      <c r="E22" s="3546" t="s">
        <v>2603</v>
      </c>
      <c r="F22" s="3547"/>
      <c r="G22" s="3547"/>
      <c r="H22" s="3547"/>
      <c r="I22" s="3548"/>
      <c r="J22" s="2978"/>
      <c r="K22" s="2961"/>
      <c r="L22" s="2957"/>
      <c r="M22" s="2957"/>
      <c r="N22" s="2958"/>
      <c r="O22" s="2959"/>
      <c r="P22" s="2958"/>
      <c r="Q22" s="2958"/>
      <c r="R22" s="2958"/>
      <c r="S22" s="2958"/>
      <c r="T22" s="2958"/>
      <c r="U22" s="2958"/>
    </row>
    <row r="23" spans="1:21" ht="29.2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49" t="s">
        <v>1757</v>
      </c>
      <c r="C24" s="3550"/>
      <c r="D24" s="3551" t="s">
        <v>1758</v>
      </c>
      <c r="E24" s="3552"/>
      <c r="F24" s="1581" t="s">
        <v>1759</v>
      </c>
      <c r="G24" s="2978"/>
      <c r="H24" s="2978"/>
      <c r="I24" s="2982"/>
      <c r="J24" s="2978"/>
      <c r="K24" s="3537"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37"/>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37"/>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64" t="s">
        <v>1792</v>
      </c>
      <c r="B31" s="1633" t="s">
        <v>1793</v>
      </c>
      <c r="C31" s="3562"/>
      <c r="D31" s="3563"/>
      <c r="E31" s="2978"/>
      <c r="F31" s="2978"/>
      <c r="G31" s="2978"/>
      <c r="H31" s="2978"/>
      <c r="I31" s="2982"/>
      <c r="J31" s="2978"/>
      <c r="K31" s="2964"/>
      <c r="L31" s="2958"/>
      <c r="M31" s="2958"/>
      <c r="N31" s="2958"/>
      <c r="O31" s="2958"/>
      <c r="P31" s="2958"/>
      <c r="Q31" s="2958"/>
      <c r="R31" s="2958"/>
      <c r="S31" s="2958"/>
      <c r="T31" s="2958"/>
      <c r="U31" s="2958"/>
    </row>
    <row r="32" spans="1:21">
      <c r="A32" s="3564"/>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64"/>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65"/>
      <c r="B34" s="1540" t="s">
        <v>1796</v>
      </c>
      <c r="C34" s="3566"/>
      <c r="D34" s="3567"/>
      <c r="E34" s="2978"/>
      <c r="F34" s="2978"/>
      <c r="G34" s="2978"/>
      <c r="H34" s="2978"/>
      <c r="I34" s="2982"/>
      <c r="J34" s="2978"/>
      <c r="K34" s="2964"/>
      <c r="L34" s="2958"/>
      <c r="M34" s="2958"/>
      <c r="N34" s="2958"/>
      <c r="O34" s="2958"/>
      <c r="P34" s="2958"/>
      <c r="Q34" s="2958"/>
      <c r="R34" s="2958"/>
      <c r="S34" s="2958"/>
      <c r="T34" s="2958"/>
      <c r="U34" s="2958"/>
    </row>
    <row r="35" spans="1:28">
      <c r="A35" s="3568" t="s">
        <v>826</v>
      </c>
      <c r="B35" s="1595"/>
      <c r="C35" s="1642" t="str">
        <f>IF(B35="场地平整","——","具体情况：")</f>
        <v>具体情况：</v>
      </c>
      <c r="D35" s="3570"/>
      <c r="E35" s="3571"/>
      <c r="F35" s="3571"/>
      <c r="G35" s="3571"/>
      <c r="H35" s="3571"/>
      <c r="I35" s="3572"/>
      <c r="J35" s="2978"/>
      <c r="K35" s="2965"/>
      <c r="L35" s="2957"/>
      <c r="M35" s="2957"/>
      <c r="N35" s="2958"/>
      <c r="O35" s="2959"/>
      <c r="P35" s="2958"/>
      <c r="Q35" s="2958"/>
      <c r="R35" s="2958"/>
      <c r="S35" s="2958"/>
      <c r="T35" s="2958"/>
      <c r="U35" s="2958"/>
    </row>
    <row r="36" spans="1:28">
      <c r="A36" s="3564"/>
      <c r="B36" s="3573" t="s">
        <v>1845</v>
      </c>
      <c r="C36" s="3574"/>
      <c r="D36" s="1658"/>
      <c r="E36" s="3575"/>
      <c r="F36" s="3575"/>
      <c r="G36" s="1563" t="str">
        <f>IF(B35="场地未平整","估价结果处理","")</f>
        <v/>
      </c>
      <c r="H36" s="3576"/>
      <c r="I36" s="3576"/>
      <c r="J36" s="2978"/>
      <c r="K36" s="2965"/>
      <c r="L36" s="2957"/>
      <c r="M36" s="2957"/>
      <c r="N36" s="2958"/>
      <c r="O36" s="2959"/>
      <c r="P36" s="2958"/>
      <c r="Q36" s="2958"/>
      <c r="R36" s="2958"/>
      <c r="S36" s="2958"/>
      <c r="T36" s="2958"/>
      <c r="U36" s="2958"/>
    </row>
    <row r="37" spans="1:28" ht="28.5">
      <c r="A37" s="3564"/>
      <c r="B37" s="3553"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64"/>
      <c r="B38" s="3554"/>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65"/>
      <c r="B39" s="3555"/>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36" t="s">
        <v>1776</v>
      </c>
      <c r="T40" s="1604" t="str">
        <f>NUMBERSTRING(7-K40,1)&amp;"通"</f>
        <v>七通</v>
      </c>
      <c r="U40" s="2958"/>
    </row>
    <row r="41" spans="1:28">
      <c r="A41" s="1542"/>
      <c r="B41" s="3569" t="s">
        <v>1520</v>
      </c>
      <c r="C41" s="3569"/>
      <c r="D41" s="3569"/>
      <c r="E41" s="3569"/>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6"/>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6" sqref="AF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'76号规划指标'!E4</f>
        <v>23308.880000000001</v>
      </c>
      <c r="B3" s="22">
        <f>IF(C3="否",G5-AT5,G5)</f>
        <v>184715.46</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184715.46</v>
      </c>
      <c r="H5" s="27">
        <f t="shared" ref="H5:AT5" si="0">SUM(H13:H641)</f>
        <v>178363.59</v>
      </c>
      <c r="I5" s="27">
        <f t="shared" si="0"/>
        <v>100035.04</v>
      </c>
      <c r="J5" s="27">
        <f t="shared" si="0"/>
        <v>0</v>
      </c>
      <c r="K5" s="27">
        <f t="shared" si="0"/>
        <v>23431.62</v>
      </c>
      <c r="L5" s="27">
        <f t="shared" si="0"/>
        <v>0</v>
      </c>
      <c r="M5" s="27">
        <f t="shared" si="0"/>
        <v>2643.8</v>
      </c>
      <c r="N5" s="27">
        <f t="shared" si="0"/>
        <v>0</v>
      </c>
      <c r="O5" s="27">
        <f t="shared" si="0"/>
        <v>52253.13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6351.8700000000008</v>
      </c>
      <c r="AD5" s="27">
        <f t="shared" si="0"/>
        <v>2995.45</v>
      </c>
      <c r="AE5" s="27">
        <f t="shared" si="0"/>
        <v>0</v>
      </c>
      <c r="AF5" s="27">
        <f t="shared" si="0"/>
        <v>0</v>
      </c>
      <c r="AG5" s="27">
        <f t="shared" si="0"/>
        <v>0</v>
      </c>
      <c r="AH5" s="27">
        <f t="shared" si="0"/>
        <v>2190.8000000000002</v>
      </c>
      <c r="AI5" s="27">
        <f t="shared" si="0"/>
        <v>0</v>
      </c>
      <c r="AJ5" s="27">
        <f t="shared" si="0"/>
        <v>0</v>
      </c>
      <c r="AK5" s="27">
        <f t="shared" si="0"/>
        <v>0</v>
      </c>
      <c r="AL5" s="27">
        <f t="shared" si="0"/>
        <v>454.77</v>
      </c>
      <c r="AM5" s="27">
        <f t="shared" si="0"/>
        <v>0</v>
      </c>
      <c r="AN5" s="27">
        <f t="shared" si="0"/>
        <v>710.85</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184715.46</v>
      </c>
      <c r="BA5" s="29">
        <f t="shared" si="1"/>
        <v>178363.59</v>
      </c>
      <c r="BB5" s="29">
        <f t="shared" si="1"/>
        <v>100035.04</v>
      </c>
      <c r="BC5" s="29">
        <f t="shared" si="1"/>
        <v>23431.62</v>
      </c>
      <c r="BD5" s="29">
        <f t="shared" si="1"/>
        <v>2643.8</v>
      </c>
      <c r="BE5" s="29">
        <f t="shared" si="1"/>
        <v>52253.13</v>
      </c>
      <c r="BF5" s="29">
        <f t="shared" si="1"/>
        <v>0</v>
      </c>
      <c r="BG5" s="29">
        <f t="shared" si="1"/>
        <v>0</v>
      </c>
      <c r="BH5" s="29">
        <f t="shared" si="1"/>
        <v>0</v>
      </c>
      <c r="BI5" s="29">
        <f t="shared" si="1"/>
        <v>0</v>
      </c>
      <c r="BJ5" s="29">
        <f t="shared" si="1"/>
        <v>0</v>
      </c>
      <c r="BK5" s="29">
        <f t="shared" si="1"/>
        <v>0</v>
      </c>
      <c r="BL5" s="29">
        <f t="shared" si="1"/>
        <v>6351.8700000000008</v>
      </c>
      <c r="BM5" s="29">
        <f t="shared" si="1"/>
        <v>2995.45</v>
      </c>
      <c r="BN5" s="29">
        <f t="shared" si="1"/>
        <v>0</v>
      </c>
      <c r="BO5" s="29">
        <f t="shared" si="1"/>
        <v>2190.8000000000002</v>
      </c>
      <c r="BP5" s="29">
        <f t="shared" si="1"/>
        <v>0</v>
      </c>
      <c r="BQ5" s="29">
        <f t="shared" si="1"/>
        <v>454.77</v>
      </c>
      <c r="BR5" s="29">
        <f t="shared" si="1"/>
        <v>710.85</v>
      </c>
      <c r="BS5" s="29">
        <f t="shared" si="1"/>
        <v>0</v>
      </c>
      <c r="BT5" s="30">
        <f t="shared" si="1"/>
        <v>0</v>
      </c>
    </row>
    <row r="6" spans="1:72" s="37" customFormat="1" ht="12.75">
      <c r="A6" s="26" t="s">
        <v>169</v>
      </c>
      <c r="B6" s="31"/>
      <c r="C6" s="31"/>
      <c r="D6" s="32"/>
      <c r="E6" s="27">
        <f>H6+AC6+AT6</f>
        <v>23308.879999999997</v>
      </c>
      <c r="F6" s="27" t="s">
        <v>1</v>
      </c>
      <c r="G6" s="27" t="s">
        <v>2</v>
      </c>
      <c r="H6" s="33">
        <f>SUMIF(I$12:AB$12,"总值",I6:AB6)</f>
        <v>22507.35</v>
      </c>
      <c r="I6" s="27">
        <f t="shared" ref="I6:AB6" si="2">ROUND($A$3*I5/$B$3,2)</f>
        <v>12623.22</v>
      </c>
      <c r="J6" s="27">
        <f t="shared" si="2"/>
        <v>0</v>
      </c>
      <c r="K6" s="27">
        <f t="shared" si="2"/>
        <v>2956.79</v>
      </c>
      <c r="L6" s="27">
        <f t="shared" si="2"/>
        <v>0</v>
      </c>
      <c r="M6" s="27">
        <f t="shared" si="2"/>
        <v>333.62</v>
      </c>
      <c r="N6" s="27">
        <f t="shared" si="2"/>
        <v>0</v>
      </c>
      <c r="O6" s="27">
        <f t="shared" si="2"/>
        <v>6593.72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801.53000000000009</v>
      </c>
      <c r="AD6" s="27">
        <f t="shared" ref="AD6:AS6" si="3">ROUND($A$3*AD5/$B$3,2)</f>
        <v>377.99</v>
      </c>
      <c r="AE6" s="27">
        <f t="shared" si="3"/>
        <v>0</v>
      </c>
      <c r="AF6" s="27">
        <f t="shared" si="3"/>
        <v>0</v>
      </c>
      <c r="AG6" s="27">
        <f t="shared" si="3"/>
        <v>0</v>
      </c>
      <c r="AH6" s="27">
        <f t="shared" si="3"/>
        <v>276.45</v>
      </c>
      <c r="AI6" s="27">
        <f t="shared" si="3"/>
        <v>0</v>
      </c>
      <c r="AJ6" s="27">
        <f t="shared" si="3"/>
        <v>0</v>
      </c>
      <c r="AK6" s="27">
        <f t="shared" si="3"/>
        <v>0</v>
      </c>
      <c r="AL6" s="27">
        <f t="shared" si="3"/>
        <v>57.39</v>
      </c>
      <c r="AM6" s="27">
        <f t="shared" si="3"/>
        <v>0</v>
      </c>
      <c r="AN6" s="27">
        <f t="shared" si="3"/>
        <v>89.7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22507.35</v>
      </c>
      <c r="BB6" s="27">
        <f>ROUND($AY$6*BB5/$AZ$5,2)</f>
        <v>12623.22</v>
      </c>
      <c r="BC6" s="27">
        <f t="shared" ref="BC6:BH6" si="4">ROUND($AY$6*BC5/$AZ$5,2)</f>
        <v>2956.79</v>
      </c>
      <c r="BD6" s="27">
        <f t="shared" si="4"/>
        <v>333.62</v>
      </c>
      <c r="BE6" s="27">
        <f t="shared" si="4"/>
        <v>6593.72</v>
      </c>
      <c r="BF6" s="27">
        <f t="shared" si="4"/>
        <v>0</v>
      </c>
      <c r="BG6" s="27">
        <f t="shared" si="4"/>
        <v>0</v>
      </c>
      <c r="BH6" s="27">
        <f t="shared" si="4"/>
        <v>0</v>
      </c>
      <c r="BI6" s="27">
        <f t="shared" ref="BI6:BT6" si="5">ROUND($AY$6*BI5/$AZ$5,2)</f>
        <v>0</v>
      </c>
      <c r="BJ6" s="27">
        <f t="shared" si="5"/>
        <v>0</v>
      </c>
      <c r="BK6" s="27">
        <f t="shared" si="5"/>
        <v>0</v>
      </c>
      <c r="BL6" s="27">
        <f t="shared" si="5"/>
        <v>801.53</v>
      </c>
      <c r="BM6" s="27">
        <f t="shared" si="5"/>
        <v>377.99</v>
      </c>
      <c r="BN6" s="27">
        <f t="shared" si="5"/>
        <v>0</v>
      </c>
      <c r="BO6" s="27">
        <f t="shared" si="5"/>
        <v>276.45</v>
      </c>
      <c r="BP6" s="27">
        <f t="shared" si="5"/>
        <v>0</v>
      </c>
      <c r="BQ6" s="27">
        <f t="shared" si="5"/>
        <v>57.39</v>
      </c>
      <c r="BR6" s="27">
        <f t="shared" si="5"/>
        <v>89.7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3149</v>
      </c>
      <c r="J9" s="51"/>
      <c r="K9" s="2649" t="s">
        <v>3149</v>
      </c>
      <c r="L9" s="51"/>
      <c r="M9" s="2649" t="s">
        <v>3149</v>
      </c>
      <c r="N9" s="51"/>
      <c r="O9" s="59" t="s">
        <v>3152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3121</v>
      </c>
      <c r="L10" s="51"/>
      <c r="M10" s="2651" t="s">
        <v>3121</v>
      </c>
      <c r="N10" s="51"/>
      <c r="O10" s="66" t="s">
        <v>3153</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3150</v>
      </c>
      <c r="L11" s="71"/>
      <c r="M11" s="70" t="s">
        <v>3151</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23308.880000000001</v>
      </c>
      <c r="F13" s="81"/>
      <c r="G13" s="82">
        <f t="shared" ref="G13:G20" si="7">H13+AC13+AT13</f>
        <v>184715.46</v>
      </c>
      <c r="H13" s="33">
        <f t="shared" ref="H13:H20" si="8">SUMIF(I$12:AB$12,"总值",I13:AB13)</f>
        <v>178363.59</v>
      </c>
      <c r="I13" s="2648">
        <f>'76号规划指标'!E7</f>
        <v>100035.04</v>
      </c>
      <c r="J13" s="2648"/>
      <c r="K13" s="2648">
        <f>'76号规划指标'!E9</f>
        <v>23431.62</v>
      </c>
      <c r="L13" s="2648"/>
      <c r="M13" s="2648">
        <f>'76号规划指标'!E8</f>
        <v>2643.8</v>
      </c>
      <c r="N13" s="83"/>
      <c r="O13" s="83">
        <f>'76号规划指标'!E24</f>
        <v>52253.13</v>
      </c>
      <c r="P13" s="83"/>
      <c r="Q13" s="83"/>
      <c r="R13" s="83"/>
      <c r="S13" s="83"/>
      <c r="T13" s="83"/>
      <c r="U13" s="83"/>
      <c r="V13" s="83"/>
      <c r="W13" s="83"/>
      <c r="X13" s="83"/>
      <c r="Y13" s="83"/>
      <c r="Z13" s="83"/>
      <c r="AA13" s="83"/>
      <c r="AB13" s="83"/>
      <c r="AC13" s="27">
        <f t="shared" ref="AC13:AC20" si="9">SUMIF(AD$12:AS$12,"总值",AD13:AS13)</f>
        <v>6351.8700000000008</v>
      </c>
      <c r="AD13" s="2652">
        <f>'76号规划指标'!E10+'76号规划指标'!E11+'76号规划指标'!E13+'76号规划指标'!E14+'76号规划指标'!E15+'76号规划指标'!E16+'76号规划指标'!E17+'76号规划指标'!E19+'76号规划指标'!E20</f>
        <v>2995.45</v>
      </c>
      <c r="AE13" s="2652"/>
      <c r="AF13" s="2652"/>
      <c r="AG13" s="2652"/>
      <c r="AH13" s="2652">
        <f>'76号规划指标'!E12</f>
        <v>2190.8000000000002</v>
      </c>
      <c r="AI13" s="2652"/>
      <c r="AJ13" s="2652"/>
      <c r="AK13" s="2652"/>
      <c r="AL13" s="2652">
        <f>'76号规划指标'!E18+'76号规划指标'!E21+'76号规划指标'!E22</f>
        <v>454.77</v>
      </c>
      <c r="AM13" s="2652"/>
      <c r="AN13" s="2652">
        <f>'76号规划指标'!E25+'76号规划指标'!E26</f>
        <v>710.85</v>
      </c>
      <c r="AO13" s="2652"/>
      <c r="AP13" s="2652"/>
      <c r="AQ13" s="2652"/>
      <c r="AR13" s="2652"/>
      <c r="AS13" s="2652"/>
      <c r="AT13" s="2653"/>
      <c r="AU13" s="2654"/>
      <c r="AV13" s="17">
        <f t="shared" ref="AV13:AX20" si="10">A13</f>
        <v>0</v>
      </c>
      <c r="AW13" s="17">
        <f t="shared" si="10"/>
        <v>0</v>
      </c>
      <c r="AX13" s="17">
        <f t="shared" si="10"/>
        <v>0</v>
      </c>
      <c r="AY13" s="965">
        <f t="shared" ref="AY13:AY20" si="11">ROUND($AY$6*AZ13/$AZ$5,2)</f>
        <v>23308.880000000001</v>
      </c>
      <c r="AZ13" s="27">
        <f t="shared" ref="AZ13:AZ20" si="12">BA13+BL13</f>
        <v>184715.46</v>
      </c>
      <c r="BA13" s="27">
        <f t="shared" ref="BA13:BA20" si="13">SUM(BB13:BK13)</f>
        <v>178363.59</v>
      </c>
      <c r="BB13" s="27">
        <f t="shared" ref="BB13:BB20" si="14">IF($D13="是",I13-J13,0)</f>
        <v>100035.04</v>
      </c>
      <c r="BC13" s="27">
        <f t="shared" ref="BC13:BC20" si="15">IF($D13="是",K13-L13,0)</f>
        <v>23431.62</v>
      </c>
      <c r="BD13" s="27">
        <f t="shared" ref="BD13:BD20" si="16">IF($D13="是",M13-N13,0)</f>
        <v>2643.8</v>
      </c>
      <c r="BE13" s="27">
        <f t="shared" ref="BE13:BE20" si="17">IF($D13="是",O13-P13,0)</f>
        <v>52253.13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6351.8700000000008</v>
      </c>
      <c r="BM13" s="27">
        <f t="shared" ref="BM13:BM20" si="25">IF($D13="是",AD13-AE13,0)</f>
        <v>2995.45</v>
      </c>
      <c r="BN13" s="27">
        <f t="shared" ref="BN13:BN20" si="26">IF($D13="是",AF13-AG13,0)</f>
        <v>0</v>
      </c>
      <c r="BO13" s="27">
        <f t="shared" ref="BO13:BO20" si="27">IF($D13="是",AH13-AI13,0)</f>
        <v>2190.8000000000002</v>
      </c>
      <c r="BP13" s="27">
        <f t="shared" ref="BP13:BP20" si="28">IF($D13="是",AJ13-AK13,0)</f>
        <v>0</v>
      </c>
      <c r="BQ13" s="27">
        <f t="shared" ref="BQ13:BQ20" si="29">IF($D13="是",AL13-AM13,0)</f>
        <v>454.77</v>
      </c>
      <c r="BR13" s="27">
        <f t="shared" ref="BR13:BR20" si="30">IF($D13="是",AN13-AO13,0)</f>
        <v>710.85</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7" t="s">
        <v>0</v>
      </c>
      <c r="B1" s="3577" t="s">
        <v>4</v>
      </c>
      <c r="C1" s="3577" t="s">
        <v>5</v>
      </c>
      <c r="D1" s="3578" t="s">
        <v>40</v>
      </c>
      <c r="E1" s="3578" t="s">
        <v>41</v>
      </c>
      <c r="F1" s="3578"/>
      <c r="G1" s="3578"/>
      <c r="H1" s="3578"/>
      <c r="I1" s="3578"/>
      <c r="J1" s="3578"/>
      <c r="K1" s="3578"/>
      <c r="L1" s="3578"/>
      <c r="M1" s="3578"/>
    </row>
    <row r="2" spans="1:13" ht="27" customHeight="1">
      <c r="A2" s="3577"/>
      <c r="B2" s="3577"/>
      <c r="C2" s="3577"/>
      <c r="D2" s="3578"/>
      <c r="E2" s="3578" t="s">
        <v>24</v>
      </c>
      <c r="F2" s="3578" t="s">
        <v>25</v>
      </c>
      <c r="G2" s="3578"/>
      <c r="H2" s="3578"/>
      <c r="I2" s="3578"/>
      <c r="J2" s="3578" t="s">
        <v>26</v>
      </c>
      <c r="K2" s="3578"/>
      <c r="L2" s="3578"/>
      <c r="M2" s="3578"/>
    </row>
    <row r="3" spans="1:13" ht="28.5">
      <c r="A3" s="3577"/>
      <c r="B3" s="3577"/>
      <c r="C3" s="3577"/>
      <c r="D3" s="3578"/>
      <c r="E3" s="35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8" t="s">
        <v>42</v>
      </c>
      <c r="B9" s="3578"/>
      <c r="C9" s="35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8"/>
  <sheetViews>
    <sheetView workbookViewId="0">
      <selection activeCell="F41" sqref="F41"/>
    </sheetView>
  </sheetViews>
  <sheetFormatPr defaultColWidth="9" defaultRowHeight="12"/>
  <cols>
    <col min="1" max="3" width="9" style="3444"/>
    <col min="4" max="4" width="10.625" style="3444" customWidth="1"/>
    <col min="5" max="5" width="10.125" style="3444" customWidth="1"/>
    <col min="6" max="16384" width="9" style="3444"/>
  </cols>
  <sheetData>
    <row r="4" spans="2:5" ht="13.5" customHeight="1">
      <c r="B4" s="3579" t="s">
        <v>3122</v>
      </c>
      <c r="C4" s="3579"/>
      <c r="D4" s="3579"/>
      <c r="E4" s="3445">
        <v>23308.880000000001</v>
      </c>
    </row>
    <row r="5" spans="2:5" ht="13.5" customHeight="1">
      <c r="B5" s="3579" t="s">
        <v>3123</v>
      </c>
      <c r="C5" s="3579"/>
      <c r="D5" s="3579"/>
      <c r="E5" s="3445">
        <v>184715.46</v>
      </c>
    </row>
    <row r="6" spans="2:5" ht="13.5" customHeight="1">
      <c r="B6" s="3579" t="s">
        <v>3145</v>
      </c>
      <c r="C6" s="3579" t="s">
        <v>3124</v>
      </c>
      <c r="D6" s="3579"/>
      <c r="E6" s="3445">
        <v>131751.48000000001</v>
      </c>
    </row>
    <row r="7" spans="2:5">
      <c r="B7" s="3579"/>
      <c r="C7" s="3579" t="s">
        <v>3145</v>
      </c>
      <c r="D7" s="3445" t="s">
        <v>3125</v>
      </c>
      <c r="E7" s="3445">
        <v>100035.04</v>
      </c>
    </row>
    <row r="8" spans="2:5">
      <c r="B8" s="3579"/>
      <c r="C8" s="3579"/>
      <c r="D8" s="3445" t="s">
        <v>3126</v>
      </c>
      <c r="E8" s="3445">
        <v>2643.8</v>
      </c>
    </row>
    <row r="9" spans="2:5">
      <c r="B9" s="3579"/>
      <c r="C9" s="3579"/>
      <c r="D9" s="3445" t="s">
        <v>3127</v>
      </c>
      <c r="E9" s="3445">
        <v>23431.62</v>
      </c>
    </row>
    <row r="10" spans="2:5">
      <c r="B10" s="3579"/>
      <c r="C10" s="3579"/>
      <c r="D10" s="3445" t="s">
        <v>3128</v>
      </c>
      <c r="E10" s="3446">
        <v>426.64</v>
      </c>
    </row>
    <row r="11" spans="2:5">
      <c r="B11" s="3579"/>
      <c r="C11" s="3579"/>
      <c r="D11" s="3445" t="s">
        <v>3129</v>
      </c>
      <c r="E11" s="3446">
        <v>890.22</v>
      </c>
    </row>
    <row r="12" spans="2:5">
      <c r="B12" s="3579"/>
      <c r="C12" s="3579"/>
      <c r="D12" s="3445" t="s">
        <v>3130</v>
      </c>
      <c r="E12" s="3447">
        <v>2190.8000000000002</v>
      </c>
    </row>
    <row r="13" spans="2:5">
      <c r="B13" s="3579"/>
      <c r="C13" s="3579"/>
      <c r="D13" s="3445" t="s">
        <v>3131</v>
      </c>
      <c r="E13" s="3446">
        <v>376.68</v>
      </c>
    </row>
    <row r="14" spans="2:5">
      <c r="B14" s="3579"/>
      <c r="C14" s="3579"/>
      <c r="D14" s="3445" t="s">
        <v>3132</v>
      </c>
      <c r="E14" s="3446">
        <v>40.32</v>
      </c>
    </row>
    <row r="15" spans="2:5">
      <c r="B15" s="3579"/>
      <c r="C15" s="3579"/>
      <c r="D15" s="3445" t="s">
        <v>3133</v>
      </c>
      <c r="E15" s="3446">
        <v>51.49</v>
      </c>
    </row>
    <row r="16" spans="2:5">
      <c r="B16" s="3579"/>
      <c r="C16" s="3579"/>
      <c r="D16" s="3445" t="s">
        <v>3134</v>
      </c>
      <c r="E16" s="3446">
        <v>1028.5999999999999</v>
      </c>
    </row>
    <row r="17" spans="2:5">
      <c r="B17" s="3579"/>
      <c r="C17" s="3579"/>
      <c r="D17" s="3445" t="s">
        <v>3135</v>
      </c>
      <c r="E17" s="3446">
        <v>50.63</v>
      </c>
    </row>
    <row r="18" spans="2:5">
      <c r="B18" s="3579"/>
      <c r="C18" s="3579"/>
      <c r="D18" s="3445" t="s">
        <v>3136</v>
      </c>
      <c r="E18" s="3448">
        <v>141.34</v>
      </c>
    </row>
    <row r="19" spans="2:5">
      <c r="B19" s="3579"/>
      <c r="C19" s="3579"/>
      <c r="D19" s="3445" t="s">
        <v>3137</v>
      </c>
      <c r="E19" s="3446">
        <v>91.63</v>
      </c>
    </row>
    <row r="20" spans="2:5">
      <c r="B20" s="3579"/>
      <c r="C20" s="3579"/>
      <c r="D20" s="3445" t="s">
        <v>3138</v>
      </c>
      <c r="E20" s="3446">
        <v>39.24</v>
      </c>
    </row>
    <row r="21" spans="2:5">
      <c r="B21" s="3579"/>
      <c r="C21" s="3579"/>
      <c r="D21" s="3445" t="s">
        <v>3139</v>
      </c>
      <c r="E21" s="3448">
        <v>196.21</v>
      </c>
    </row>
    <row r="22" spans="2:5">
      <c r="B22" s="3579"/>
      <c r="C22" s="3579"/>
      <c r="D22" s="3445" t="s">
        <v>3140</v>
      </c>
      <c r="E22" s="3448">
        <v>117.22</v>
      </c>
    </row>
    <row r="23" spans="2:5" ht="13.5" customHeight="1">
      <c r="B23" s="3579"/>
      <c r="C23" s="3579" t="s">
        <v>3141</v>
      </c>
      <c r="D23" s="3579"/>
      <c r="E23" s="3445">
        <v>52963.98</v>
      </c>
    </row>
    <row r="24" spans="2:5">
      <c r="B24" s="3579"/>
      <c r="C24" s="3579" t="s">
        <v>3146</v>
      </c>
      <c r="D24" s="3445" t="s">
        <v>3142</v>
      </c>
      <c r="E24" s="3445">
        <f>E23-E26-E25</f>
        <v>52253.13</v>
      </c>
    </row>
    <row r="25" spans="2:5">
      <c r="B25" s="3579"/>
      <c r="C25" s="3579"/>
      <c r="D25" s="3445" t="s">
        <v>3143</v>
      </c>
      <c r="E25" s="3448">
        <v>202.94</v>
      </c>
    </row>
    <row r="26" spans="2:5">
      <c r="B26" s="3579"/>
      <c r="C26" s="3579"/>
      <c r="D26" s="3445" t="s">
        <v>3144</v>
      </c>
      <c r="E26" s="3448">
        <v>507.91</v>
      </c>
    </row>
    <row r="27" spans="2:5">
      <c r="B27" s="3580" t="s">
        <v>3147</v>
      </c>
      <c r="C27" s="3580"/>
      <c r="D27" s="3580"/>
      <c r="E27" s="3444">
        <v>131640.42000000001</v>
      </c>
    </row>
    <row r="28" spans="2:5">
      <c r="B28" s="3581" t="s">
        <v>3148</v>
      </c>
      <c r="C28" s="3581"/>
      <c r="D28" s="3581"/>
      <c r="E28" s="3444">
        <f>ROUND(E27/E4,2)</f>
        <v>5.65</v>
      </c>
    </row>
  </sheetData>
  <mergeCells count="9">
    <mergeCell ref="B5:D5"/>
    <mergeCell ref="B4:D4"/>
    <mergeCell ref="B6:B26"/>
    <mergeCell ref="B27:D27"/>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6" zoomScale="90" zoomScaleNormal="70" zoomScaleSheetLayoutView="90" workbookViewId="0">
      <selection activeCell="D22" activeCellId="1" sqref="H22 D22"/>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91" t="s">
        <v>203</v>
      </c>
      <c r="B2" s="3591"/>
      <c r="C2" s="3591"/>
      <c r="D2" s="1840" t="s">
        <v>204</v>
      </c>
      <c r="E2" s="106" t="s">
        <v>205</v>
      </c>
      <c r="F2" s="2987"/>
      <c r="G2" s="1143"/>
      <c r="H2" s="1144"/>
      <c r="I2" s="1145" t="s">
        <v>836</v>
      </c>
      <c r="J2" s="2987"/>
      <c r="K2" s="2987"/>
      <c r="L2" s="2987"/>
      <c r="M2" s="2987"/>
      <c r="N2" s="2987"/>
      <c r="O2" s="2987"/>
      <c r="P2" s="2987"/>
    </row>
    <row r="3" spans="1:16" ht="15.75" thickBot="1">
      <c r="A3" s="3592" t="s">
        <v>206</v>
      </c>
      <c r="B3" s="3592"/>
      <c r="C3" s="3592"/>
      <c r="D3" s="107">
        <f>'数据-基础表'!AY6</f>
        <v>23308.880000000001</v>
      </c>
      <c r="E3" s="107">
        <f>'数据-基础表'!AZ5</f>
        <v>184715.46</v>
      </c>
      <c r="F3" s="2987"/>
      <c r="G3" s="278" t="s">
        <v>837</v>
      </c>
      <c r="H3" s="273" t="s">
        <v>838</v>
      </c>
      <c r="I3" s="1841">
        <f>ROUND('数据-基础表'!B3/'数据-基础表'!A3,2)</f>
        <v>7.92</v>
      </c>
      <c r="J3" s="2987"/>
      <c r="K3" s="2987"/>
      <c r="L3" s="2987"/>
      <c r="M3" s="2987"/>
      <c r="N3" s="2987"/>
      <c r="O3" s="2987"/>
      <c r="P3" s="2987"/>
    </row>
    <row r="4" spans="1:16" ht="15">
      <c r="A4" s="3593"/>
      <c r="B4" s="3594"/>
      <c r="C4" s="3595"/>
      <c r="D4" s="108" t="s">
        <v>204</v>
      </c>
      <c r="E4" s="109" t="s">
        <v>205</v>
      </c>
      <c r="F4" s="2987"/>
      <c r="G4" s="1146"/>
      <c r="H4" s="273" t="s">
        <v>839</v>
      </c>
      <c r="I4" s="1841">
        <f>ROUND(SUMIF('数据-基础表'!I9:AS9,"地上",'数据-基础表'!I5:AS5)/'数据-基础表'!A3,2)</f>
        <v>5.65</v>
      </c>
      <c r="J4" s="2987"/>
      <c r="K4" s="2987"/>
      <c r="L4" s="2987"/>
      <c r="M4" s="2987"/>
      <c r="N4" s="2987"/>
      <c r="O4" s="2987"/>
      <c r="P4" s="2987"/>
    </row>
    <row r="5" spans="1:16">
      <c r="A5" s="110" t="s">
        <v>207</v>
      </c>
      <c r="B5" s="3596" t="s">
        <v>230</v>
      </c>
      <c r="C5" s="3596"/>
      <c r="D5" s="111">
        <f>ROUND($D$3*E5/$E$3,2)</f>
        <v>12623.22</v>
      </c>
      <c r="E5" s="112">
        <f>SUMIF('数据-基础表'!$11:$11,"住宅",'数据-基础表'!$5:$5)</f>
        <v>100035.04</v>
      </c>
      <c r="F5" s="2987"/>
      <c r="G5" s="278" t="s">
        <v>840</v>
      </c>
      <c r="H5" s="273" t="s">
        <v>838</v>
      </c>
      <c r="I5" s="1841">
        <f>ROUND(E31/D31,2)</f>
        <v>7.92</v>
      </c>
      <c r="J5" s="2987"/>
      <c r="K5" s="2987"/>
      <c r="L5" s="2987"/>
      <c r="M5" s="2987"/>
      <c r="N5" s="2987"/>
      <c r="O5" s="2987"/>
      <c r="P5" s="2987"/>
    </row>
    <row r="6" spans="1:16" ht="15" thickBot="1">
      <c r="A6" s="113"/>
      <c r="B6" s="3596" t="s">
        <v>208</v>
      </c>
      <c r="C6" s="3596"/>
      <c r="D6" s="111">
        <f>ROUND($D$3*E6/$E$3,2)</f>
        <v>10685.66</v>
      </c>
      <c r="E6" s="112">
        <f>E3-E5</f>
        <v>84680.42</v>
      </c>
      <c r="F6" s="2987"/>
      <c r="G6" s="1146"/>
      <c r="H6" s="273" t="s">
        <v>839</v>
      </c>
      <c r="I6" s="1841">
        <f>ROUND(F31/D31,2)</f>
        <v>5.65</v>
      </c>
      <c r="J6" s="2987"/>
      <c r="K6" s="2987"/>
      <c r="L6" s="2987"/>
      <c r="M6" s="2987"/>
      <c r="N6" s="2987"/>
      <c r="O6" s="2987"/>
      <c r="P6" s="2987"/>
    </row>
    <row r="7" spans="1:16" ht="15">
      <c r="A7" s="3588"/>
      <c r="B7" s="3589"/>
      <c r="C7" s="3590"/>
      <c r="D7" s="108" t="s">
        <v>204</v>
      </c>
      <c r="E7" s="114" t="s">
        <v>231</v>
      </c>
      <c r="F7" s="2987"/>
      <c r="G7" s="1101" t="s">
        <v>1444</v>
      </c>
      <c r="H7" s="1102"/>
      <c r="I7" s="1712">
        <v>5.65</v>
      </c>
      <c r="J7" s="2987"/>
      <c r="K7" s="2987"/>
      <c r="L7" s="2987"/>
      <c r="M7" s="2987"/>
      <c r="N7" s="2987"/>
      <c r="O7" s="2987"/>
      <c r="P7" s="2987"/>
    </row>
    <row r="8" spans="1:16">
      <c r="A8" s="110" t="s">
        <v>209</v>
      </c>
      <c r="B8" s="115" t="s">
        <v>210</v>
      </c>
      <c r="C8" s="111" t="s">
        <v>211</v>
      </c>
      <c r="D8" s="111">
        <f t="shared" ref="D8:D15" si="0">ROUND($D$3*E8/$E$3,2)</f>
        <v>15913.63</v>
      </c>
      <c r="E8" s="116">
        <f>SUMIF('数据-基础表'!BB10:BK10,"地上",'数据-基础表'!BB5:BK5)</f>
        <v>126110.45999999999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6593.72</v>
      </c>
      <c r="E13" s="116">
        <f>SUMPRODUCT(('数据-基础表'!BB10:BK10="地下")*('数据-基础表'!BB11:BK11="车库")*('数据-基础表'!BB5:BK5))</f>
        <v>52253.13</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22507.35</v>
      </c>
      <c r="E16" s="120">
        <f>SUM(E8:E15)</f>
        <v>178363.59</v>
      </c>
      <c r="F16" s="2987"/>
      <c r="G16" s="2988"/>
      <c r="H16" s="937" t="s">
        <v>219</v>
      </c>
      <c r="I16" s="938"/>
      <c r="J16" s="1849"/>
      <c r="K16" s="3582" t="s">
        <v>2283</v>
      </c>
      <c r="L16" s="3583"/>
      <c r="M16" s="3583"/>
      <c r="N16" s="3583"/>
      <c r="O16" s="3583"/>
      <c r="P16" s="3584"/>
    </row>
    <row r="17" spans="1:19" ht="15">
      <c r="A17" s="121" t="s">
        <v>216</v>
      </c>
      <c r="B17" s="122" t="s">
        <v>217</v>
      </c>
      <c r="C17" s="2129" t="s">
        <v>2102</v>
      </c>
      <c r="D17" s="108" t="s">
        <v>204</v>
      </c>
      <c r="E17" s="124" t="s">
        <v>205</v>
      </c>
      <c r="F17" s="125"/>
      <c r="G17" s="1272"/>
      <c r="H17" s="939" t="s">
        <v>218</v>
      </c>
      <c r="I17" s="940" t="s">
        <v>2101</v>
      </c>
      <c r="J17" s="1849"/>
      <c r="K17" s="3585" t="s">
        <v>2284</v>
      </c>
      <c r="L17" s="3586"/>
      <c r="M17" s="3587"/>
      <c r="N17" s="3585" t="s">
        <v>2285</v>
      </c>
      <c r="O17" s="3586"/>
      <c r="P17" s="3587"/>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3154</v>
      </c>
      <c r="D19" s="111">
        <f t="shared" ref="D19:D26" si="1">ROUND($D$3*E19/$E$3,2)</f>
        <v>12623.22</v>
      </c>
      <c r="E19" s="134">
        <f t="shared" ref="E19:E26" si="2">SUM(F19:G19)</f>
        <v>100035.04</v>
      </c>
      <c r="F19" s="2989">
        <f>'数据-基础表'!I13</f>
        <v>100035.04</v>
      </c>
      <c r="G19" s="2990"/>
      <c r="H19" s="943">
        <f>ROUND($D$3*I19/$E$3,2)</f>
        <v>736.94</v>
      </c>
      <c r="I19" s="116">
        <f>IF($I$17="自定义",P19,M19)</f>
        <v>5839.99</v>
      </c>
      <c r="J19" s="1849"/>
      <c r="K19" s="2371">
        <f t="shared" ref="K19:K26" si="3">ROUND(E$28*E19/E$27,2)</f>
        <v>653.74</v>
      </c>
      <c r="L19" s="273">
        <f t="shared" ref="L19:L26" si="4">ROUND(IF(COUNTIF(C19,"*住宅*")&gt;0,E$29*E19/E$32,0),2)</f>
        <v>5186.25</v>
      </c>
      <c r="M19" s="2372">
        <f>K19+L19</f>
        <v>5839.99</v>
      </c>
      <c r="N19" s="2373"/>
      <c r="O19" s="2374"/>
      <c r="P19" s="2375">
        <f>N19+O19</f>
        <v>0</v>
      </c>
      <c r="R19" s="273">
        <f t="shared" ref="R19:S26" si="5">D19+H19</f>
        <v>13360.16</v>
      </c>
      <c r="S19" s="2132">
        <f t="shared" si="5"/>
        <v>105875.03</v>
      </c>
    </row>
    <row r="20" spans="1:19">
      <c r="A20" s="137"/>
      <c r="B20" s="115" t="s">
        <v>226</v>
      </c>
      <c r="C20" s="2655" t="s">
        <v>3155</v>
      </c>
      <c r="D20" s="111">
        <f t="shared" si="1"/>
        <v>333.62</v>
      </c>
      <c r="E20" s="134">
        <f t="shared" si="2"/>
        <v>2643.8</v>
      </c>
      <c r="F20" s="2989">
        <f>'数据-基础表'!M13</f>
        <v>2643.8</v>
      </c>
      <c r="G20" s="2990"/>
      <c r="H20" s="943">
        <f t="shared" ref="H20:H26" si="6">ROUND($D$3*I20/$E$3,2)</f>
        <v>2.1800000000000002</v>
      </c>
      <c r="I20" s="116">
        <f t="shared" ref="I20:I26" si="7">IF($I$17="自定义",P20,M20)</f>
        <v>17.28</v>
      </c>
      <c r="J20" s="1849"/>
      <c r="K20" s="2371">
        <f t="shared" si="3"/>
        <v>17.28</v>
      </c>
      <c r="L20" s="273">
        <f t="shared" si="4"/>
        <v>0</v>
      </c>
      <c r="M20" s="2372">
        <f t="shared" ref="M20:M26" si="8">K20+L20</f>
        <v>17.28</v>
      </c>
      <c r="N20" s="2373"/>
      <c r="O20" s="2374"/>
      <c r="P20" s="2375">
        <f t="shared" ref="P20:P26" si="9">N20+O20</f>
        <v>0</v>
      </c>
      <c r="R20" s="273">
        <f t="shared" si="5"/>
        <v>335.8</v>
      </c>
      <c r="S20" s="2132">
        <f t="shared" si="5"/>
        <v>2661.0800000000004</v>
      </c>
    </row>
    <row r="21" spans="1:19">
      <c r="A21" s="137"/>
      <c r="B21" s="115" t="s">
        <v>226</v>
      </c>
      <c r="C21" s="2655" t="s">
        <v>3156</v>
      </c>
      <c r="D21" s="111">
        <f t="shared" si="1"/>
        <v>2956.79</v>
      </c>
      <c r="E21" s="134">
        <f t="shared" si="2"/>
        <v>23431.62</v>
      </c>
      <c r="F21" s="2989">
        <f>'数据-基础表'!K13</f>
        <v>23431.62</v>
      </c>
      <c r="G21" s="2990"/>
      <c r="H21" s="943">
        <f t="shared" si="6"/>
        <v>19.32</v>
      </c>
      <c r="I21" s="116">
        <f t="shared" si="7"/>
        <v>153.13</v>
      </c>
      <c r="J21" s="1849"/>
      <c r="K21" s="2371">
        <f t="shared" si="3"/>
        <v>153.13</v>
      </c>
      <c r="L21" s="273">
        <f t="shared" si="4"/>
        <v>0</v>
      </c>
      <c r="M21" s="2372">
        <f t="shared" si="8"/>
        <v>153.13</v>
      </c>
      <c r="N21" s="2373"/>
      <c r="O21" s="2374"/>
      <c r="P21" s="2375">
        <f t="shared" si="9"/>
        <v>0</v>
      </c>
      <c r="R21" s="273">
        <f t="shared" si="5"/>
        <v>2976.11</v>
      </c>
      <c r="S21" s="2132">
        <f t="shared" si="5"/>
        <v>23584.75</v>
      </c>
    </row>
    <row r="22" spans="1:19">
      <c r="A22" s="137"/>
      <c r="B22" s="115" t="s">
        <v>226</v>
      </c>
      <c r="C22" s="3449" t="s">
        <v>3157</v>
      </c>
      <c r="D22" s="111">
        <f t="shared" si="1"/>
        <v>6593.72</v>
      </c>
      <c r="E22" s="134">
        <f t="shared" si="2"/>
        <v>52253.13</v>
      </c>
      <c r="F22" s="2991"/>
      <c r="G22" s="2992">
        <f>'数据-基础表'!O13</f>
        <v>52253.13</v>
      </c>
      <c r="H22" s="943">
        <f t="shared" si="6"/>
        <v>43.09</v>
      </c>
      <c r="I22" s="116">
        <f t="shared" si="7"/>
        <v>341.48</v>
      </c>
      <c r="J22" s="1849"/>
      <c r="K22" s="2371">
        <f t="shared" si="3"/>
        <v>341.48</v>
      </c>
      <c r="L22" s="273">
        <f t="shared" si="4"/>
        <v>0</v>
      </c>
      <c r="M22" s="2372">
        <f t="shared" si="8"/>
        <v>341.48</v>
      </c>
      <c r="N22" s="2373"/>
      <c r="O22" s="2374"/>
      <c r="P22" s="2375">
        <f t="shared" si="9"/>
        <v>0</v>
      </c>
      <c r="R22" s="273">
        <f t="shared" si="5"/>
        <v>6636.81</v>
      </c>
      <c r="S22" s="2132">
        <f t="shared" si="5"/>
        <v>52594.61</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22507.350000000002</v>
      </c>
      <c r="E27" s="141">
        <f>IF(SUM(E19:E26)='数据-基础表'!BA5,SUM(E19:E26),IF(F27="地上面积有误","面积有误","地下面积有误"))</f>
        <v>178363.59</v>
      </c>
      <c r="F27" s="134">
        <f>IF(SUM(F19:F26)=E8,SUM(F19:F26),"地上面积有误")</f>
        <v>126110.45999999999</v>
      </c>
      <c r="G27" s="112">
        <f>SUM(G19:G26)</f>
        <v>52253.13</v>
      </c>
      <c r="H27" s="944">
        <f>SUM(H19:H26)</f>
        <v>801.53000000000009</v>
      </c>
      <c r="I27" s="945">
        <f>SUM(I19:I26)</f>
        <v>6351.8799999999992</v>
      </c>
      <c r="J27" s="1849"/>
      <c r="K27" s="2380">
        <f>SUM(K19:K26)</f>
        <v>1165.6300000000001</v>
      </c>
      <c r="L27" s="2381">
        <f>SUM(L19:L26)</f>
        <v>5186.25</v>
      </c>
      <c r="M27" s="2382">
        <f>SUM(M19:M26)</f>
        <v>6351.8799999999992</v>
      </c>
      <c r="N27" s="2380">
        <f t="shared" ref="N27:O27" si="10">SUM(N19:N26)</f>
        <v>0</v>
      </c>
      <c r="O27" s="2381">
        <f t="shared" si="10"/>
        <v>0</v>
      </c>
      <c r="P27" s="2383">
        <f>SUM(P19:P26)</f>
        <v>0</v>
      </c>
      <c r="R27" s="2136">
        <f>IF(SUM(R19:R26)=$D$3,SUM(R19:R26),SUM(R19:R26)&amp;"误差"&amp;ROUND(SUM(R19:R26)-$D$3,2))</f>
        <v>23308.880000000001</v>
      </c>
      <c r="S27" s="273" t="str">
        <f>IF(SUM(S19:S26)=$E$3,SUM(S19:S26),SUM(S19:S26)&amp;"误差"&amp;ROUND(SUM(S19:S26)-E3,2))</f>
        <v>184715.47误差0.01</v>
      </c>
    </row>
    <row r="28" spans="1:19">
      <c r="A28" s="137"/>
      <c r="B28" s="115" t="s">
        <v>227</v>
      </c>
      <c r="C28" s="135" t="s">
        <v>228</v>
      </c>
      <c r="D28" s="111">
        <f>ROUND($D$3*E28/$E$3,2)</f>
        <v>147.09</v>
      </c>
      <c r="E28" s="134">
        <f>SUM(F28:G28)</f>
        <v>1165.6199999999999</v>
      </c>
      <c r="F28" s="142">
        <f>'数据-基础表'!BQ5+'数据-基础表'!BS5</f>
        <v>454.77</v>
      </c>
      <c r="G28" s="143">
        <f>'数据-基础表'!BR5+'数据-基础表'!BT5</f>
        <v>710.85</v>
      </c>
      <c r="H28" s="2987"/>
      <c r="I28" s="2987"/>
      <c r="J28" s="2987"/>
      <c r="K28" s="2987"/>
      <c r="L28" s="2987"/>
      <c r="M28" s="2987"/>
      <c r="N28" s="2987"/>
      <c r="O28" s="2987"/>
      <c r="P28" s="2987"/>
    </row>
    <row r="29" spans="1:19">
      <c r="A29" s="137"/>
      <c r="B29" s="115" t="s">
        <v>227</v>
      </c>
      <c r="C29" s="2144" t="s">
        <v>2109</v>
      </c>
      <c r="D29" s="111">
        <f>ROUND($D$3*E29/$E$3,2)</f>
        <v>654.44000000000005</v>
      </c>
      <c r="E29" s="134">
        <f>SUM(F29:G29)</f>
        <v>5186.25</v>
      </c>
      <c r="F29" s="142">
        <f>'数据-基础表'!BM5+'数据-基础表'!BO5</f>
        <v>5186.25</v>
      </c>
      <c r="G29" s="144">
        <f>'数据-基础表'!BN5+'数据-基础表'!BP5</f>
        <v>0</v>
      </c>
      <c r="H29" s="2987"/>
      <c r="I29" s="2987"/>
      <c r="J29" s="2987"/>
      <c r="K29" s="2987"/>
      <c r="L29" s="2987"/>
      <c r="M29" s="2987"/>
      <c r="N29" s="2987"/>
      <c r="O29" s="2987"/>
      <c r="P29" s="2987"/>
    </row>
    <row r="30" spans="1:19">
      <c r="A30" s="137"/>
      <c r="B30" s="111"/>
      <c r="C30" s="145" t="s">
        <v>215</v>
      </c>
      <c r="D30" s="134">
        <f>SUM(D28:D29)</f>
        <v>801.53000000000009</v>
      </c>
      <c r="E30" s="134">
        <f>SUM(E28:E29)</f>
        <v>6351.87</v>
      </c>
      <c r="F30" s="134">
        <f>SUM(F28:F29)</f>
        <v>5641.02</v>
      </c>
      <c r="G30" s="112">
        <f>SUM(G28:G29)</f>
        <v>710.85</v>
      </c>
      <c r="H30" s="2987"/>
      <c r="I30" s="2987"/>
      <c r="J30" s="2987"/>
      <c r="K30" s="2987"/>
      <c r="L30" s="2987"/>
      <c r="M30" s="2987"/>
      <c r="N30" s="2987"/>
      <c r="O30" s="2987"/>
      <c r="P30" s="2987"/>
    </row>
    <row r="31" spans="1:19" ht="32.25" customHeight="1" thickBot="1">
      <c r="A31" s="1274"/>
      <c r="B31" s="1275" t="s">
        <v>229</v>
      </c>
      <c r="C31" s="2161" t="s">
        <v>2111</v>
      </c>
      <c r="D31" s="1276">
        <f>D27+D30</f>
        <v>23308.880000000001</v>
      </c>
      <c r="E31" s="1276">
        <f>E27+E30</f>
        <v>184715.46</v>
      </c>
      <c r="F31" s="1277">
        <f>F27+F30</f>
        <v>131751.47999999998</v>
      </c>
      <c r="G31" s="1278">
        <f>G27+G30</f>
        <v>52963.979999999996</v>
      </c>
      <c r="H31" s="2987"/>
      <c r="I31" s="2987"/>
      <c r="J31" s="2987"/>
      <c r="K31" s="2987"/>
      <c r="L31" s="2987"/>
      <c r="M31" s="2987"/>
      <c r="N31" s="2987"/>
      <c r="O31" s="2987"/>
      <c r="P31" s="2987"/>
    </row>
    <row r="32" spans="1:19">
      <c r="A32" s="1849"/>
      <c r="B32" s="2173" t="s">
        <v>2110</v>
      </c>
      <c r="C32" s="2408"/>
      <c r="D32" s="1146"/>
      <c r="E32" s="1146">
        <f>SUMIF(C19:C26,"*住宅*",E19:E26)</f>
        <v>100035.04</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J22" sqref="J22"/>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44895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3158</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2703</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65.33</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100035.04</v>
      </c>
      <c r="L6" s="2657">
        <v>2500</v>
      </c>
      <c r="M6" s="175">
        <f t="shared" ref="M6:M14" si="0">ROUND(K6*L6/10000,0)</f>
        <v>25009</v>
      </c>
      <c r="N6" s="2658">
        <v>0</v>
      </c>
      <c r="O6" s="175">
        <f>IF($N$5="成新度","——",ROUND(M6*N6,0))</f>
        <v>0</v>
      </c>
      <c r="P6" s="176">
        <f>IF($N$5="成新度","——",M6-O6)</f>
        <v>25009</v>
      </c>
      <c r="Q6" s="2659">
        <v>0.2</v>
      </c>
      <c r="R6" s="177">
        <f>SUMIF('数据-汇总表'!C$19:C$33,A6,'数据-汇总表'!R$19:R$33)</f>
        <v>13360.16</v>
      </c>
      <c r="S6" s="132">
        <f>IF('数据-汇总表'!$I$17="按面积比例",SUMIF('数据-汇总表'!C$19:C$33,A6,'数据-汇总表'!K$19:K$33),SUMIF('数据-汇总表'!C$19:C$33,A6,'数据-汇总表'!N$19:N$33))</f>
        <v>653.74</v>
      </c>
      <c r="T6" s="2065">
        <f>IF($T$4="按面积比例",IF(ISERROR(ROUND($M$14*S6/S$16,0)),"0",ROUND($M$14*S6/S$16,0)),"需自行计算录入")</f>
        <v>163</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3121</v>
      </c>
      <c r="D7" s="2139">
        <f>SUMIF(项目基本情况!D$15:I$15,C7,项目基本情况!D$18:I$18)</f>
        <v>40</v>
      </c>
      <c r="E7" s="2140">
        <f>IF(B7="","",SUMIF(项目基本情况!D$15:I$15,C7,项目基本情况!D$17:I$17))</f>
        <v>57783</v>
      </c>
      <c r="F7" s="172">
        <f>SUMIF(项目基本情况!D$15:I$15,C7,项目基本情况!D$19:I$19)</f>
        <v>35.299999999999997</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2643.8</v>
      </c>
      <c r="L7" s="2657">
        <f>L6</f>
        <v>2500</v>
      </c>
      <c r="M7" s="175">
        <f t="shared" si="0"/>
        <v>661</v>
      </c>
      <c r="N7" s="2658">
        <v>0</v>
      </c>
      <c r="O7" s="175">
        <f t="shared" ref="O7:O14" si="3">IF($N$5="成新度","——",ROUND(M7*N7,0))</f>
        <v>0</v>
      </c>
      <c r="P7" s="176">
        <f t="shared" ref="P7:P14" si="4">IF($N$5="成新度","——",M7-O7)</f>
        <v>661</v>
      </c>
      <c r="Q7" s="2659">
        <v>0.3</v>
      </c>
      <c r="R7" s="177">
        <f>SUMIF('数据-汇总表'!C$19:C$33,A7,'数据-汇总表'!R$19:R$33)</f>
        <v>335.8</v>
      </c>
      <c r="S7" s="132">
        <f>IF('数据-汇总表'!$I$17="按面积比例",SUMIF('数据-汇总表'!C$19:C$33,A7,'数据-汇总表'!K$19:K$33),SUMIF('数据-汇总表'!C$19:C$33,A7,'数据-汇总表'!N$19:N$33))</f>
        <v>17.28</v>
      </c>
      <c r="T7" s="2065">
        <f t="shared" ref="T7:T13" si="5">IF($T$4="按面积比例",IF(ISERROR(ROUND($M$14*S7/S$16,0)),"0",ROUND($M$14*S7/S$16,0)),"需自行计算录入")</f>
        <v>4</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3121</v>
      </c>
      <c r="D8" s="2139">
        <f>SUMIF(项目基本情况!D$15:I$15,C8,项目基本情况!D$18:I$18)</f>
        <v>40</v>
      </c>
      <c r="E8" s="2140">
        <f>IF(B8="","",SUMIF(项目基本情况!D$15:I$15,C8,项目基本情况!D$17:I$17))</f>
        <v>57783</v>
      </c>
      <c r="F8" s="172">
        <f>SUMIF(项目基本情况!D$15:I$15,C8,项目基本情况!D$19:I$19)</f>
        <v>35.299999999999997</v>
      </c>
      <c r="G8" s="173">
        <f t="shared" si="2"/>
        <v>0.95699999999999996</v>
      </c>
      <c r="H8" s="2656">
        <v>0.05</v>
      </c>
      <c r="I8" s="2656">
        <v>5.5E-2</v>
      </c>
      <c r="J8" s="174">
        <v>7.0000000000000007E-2</v>
      </c>
      <c r="K8" s="177">
        <f>SUMIF('数据-汇总表'!C$19:C$33,'数据-取费表'!A8,'数据-汇总表'!E$19:E$33)</f>
        <v>23431.62</v>
      </c>
      <c r="L8" s="2657">
        <f>L6</f>
        <v>2500</v>
      </c>
      <c r="M8" s="175">
        <f>ROUND(K8*L8/10000,0)</f>
        <v>5858</v>
      </c>
      <c r="N8" s="2658">
        <v>0</v>
      </c>
      <c r="O8" s="175">
        <f t="shared" si="3"/>
        <v>0</v>
      </c>
      <c r="P8" s="176">
        <f t="shared" si="4"/>
        <v>5858</v>
      </c>
      <c r="Q8" s="2659">
        <v>0.2</v>
      </c>
      <c r="R8" s="177">
        <f>SUMIF('数据-汇总表'!C$19:C$33,A8,'数据-汇总表'!R$19:R$33)</f>
        <v>2976.11</v>
      </c>
      <c r="S8" s="132">
        <f>IF('数据-汇总表'!$I$17="按面积比例",SUMIF('数据-汇总表'!C$19:C$33,A8,'数据-汇总表'!K$19:K$33),SUMIF('数据-汇总表'!C$19:C$33,A8,'数据-汇总表'!N$19:N$33))</f>
        <v>153.13</v>
      </c>
      <c r="T8" s="2065">
        <f t="shared" si="5"/>
        <v>38</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3153</v>
      </c>
      <c r="D9" s="2139">
        <f>SUMIF(项目基本情况!D$15:I$15,C9,项目基本情况!D$18:I$18)</f>
        <v>50</v>
      </c>
      <c r="E9" s="2140">
        <f>IF(B9="","",SUMIF(项目基本情况!D$15:I$15,C9,项目基本情况!D$17:I$17))</f>
        <v>61436</v>
      </c>
      <c r="F9" s="172">
        <f>SUMIF(项目基本情况!D$15:I$15,C9,项目基本情况!D$19:I$19)</f>
        <v>45.31</v>
      </c>
      <c r="G9" s="173">
        <f t="shared" si="2"/>
        <v>0.97499999999999998</v>
      </c>
      <c r="H9" s="174">
        <v>0.05</v>
      </c>
      <c r="I9" s="174">
        <v>5.5E-2</v>
      </c>
      <c r="J9" s="174">
        <v>7.0000000000000007E-2</v>
      </c>
      <c r="K9" s="177">
        <f>SUMIF('数据-汇总表'!C$19:C$33,'数据-取费表'!A9,'数据-汇总表'!E$19:E$33)</f>
        <v>52253.13</v>
      </c>
      <c r="L9" s="191">
        <f>L6</f>
        <v>2500</v>
      </c>
      <c r="M9" s="175">
        <f t="shared" si="0"/>
        <v>13063</v>
      </c>
      <c r="N9" s="192">
        <v>0</v>
      </c>
      <c r="O9" s="175">
        <f t="shared" si="3"/>
        <v>0</v>
      </c>
      <c r="P9" s="176">
        <f t="shared" si="4"/>
        <v>13063</v>
      </c>
      <c r="Q9" s="190">
        <v>0.1</v>
      </c>
      <c r="R9" s="177">
        <f>SUMIF('数据-汇总表'!C$19:C$33,A9,'数据-汇总表'!R$19:R$33)</f>
        <v>6636.81</v>
      </c>
      <c r="S9" s="132">
        <f>IF('数据-汇总表'!$I$17="按面积比例",SUMIF('数据-汇总表'!C$19:C$33,A9,'数据-汇总表'!K$19:K$33),SUMIF('数据-汇总表'!C$19:C$33,A9,'数据-汇总表'!N$19:N$33))</f>
        <v>341.48</v>
      </c>
      <c r="T9" s="2065">
        <f t="shared" si="5"/>
        <v>85</v>
      </c>
      <c r="U9" s="178">
        <v>0.5</v>
      </c>
      <c r="V9" s="179">
        <v>0.02</v>
      </c>
      <c r="W9" s="179">
        <v>0.1</v>
      </c>
      <c r="X9" s="2152"/>
      <c r="Y9" s="180">
        <v>1</v>
      </c>
      <c r="Z9" s="181"/>
      <c r="AA9" s="174"/>
      <c r="AB9" s="174"/>
      <c r="AC9" s="2155"/>
      <c r="AD9" s="182"/>
      <c r="AE9" s="941">
        <f t="shared" ca="1" si="6"/>
        <v>42.31</v>
      </c>
      <c r="AF9" s="139"/>
      <c r="AG9" s="1158">
        <f t="shared" si="7"/>
        <v>0</v>
      </c>
      <c r="AH9" s="139"/>
      <c r="AI9" s="185">
        <v>365</v>
      </c>
      <c r="AJ9" s="186"/>
      <c r="AK9" s="187">
        <v>0.01</v>
      </c>
      <c r="AL9" s="188">
        <v>1E-3</v>
      </c>
      <c r="AM9" s="2196">
        <v>0.01</v>
      </c>
      <c r="AN9" s="2198" t="s">
        <v>3442</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1165.6199999999999</v>
      </c>
      <c r="L14" s="191">
        <f>L6</f>
        <v>2500</v>
      </c>
      <c r="M14" s="175">
        <f t="shared" si="0"/>
        <v>291</v>
      </c>
      <c r="N14" s="192">
        <v>0</v>
      </c>
      <c r="O14" s="175">
        <f t="shared" si="3"/>
        <v>0</v>
      </c>
      <c r="P14" s="176">
        <f t="shared" si="4"/>
        <v>291</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5186.25</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0.98099999999999998</v>
      </c>
      <c r="H16" s="201">
        <f>ROUND(SUMPRODUCT(H6:H13,K6:K13)/SUMPRODUCT((H6:H13&gt;0)*(K6:K13)),3)</f>
        <v>0.05</v>
      </c>
      <c r="I16" s="202"/>
      <c r="J16" s="202"/>
      <c r="K16" s="203">
        <f>SUM(K6:K15)</f>
        <v>184715.46</v>
      </c>
      <c r="L16" s="204">
        <f>ROUND(M16*10000/SUM(K6:K14),0)</f>
        <v>2500</v>
      </c>
      <c r="M16" s="204">
        <f>SUM(M6:M14)</f>
        <v>44882</v>
      </c>
      <c r="N16" s="205">
        <f>ROUND(SUMPRODUCT(M6:M14,N6:N14)/M16,3)</f>
        <v>0</v>
      </c>
      <c r="O16" s="204">
        <f>SUM(O6:O14)</f>
        <v>0</v>
      </c>
      <c r="P16" s="204">
        <f>SUM(P6:P14)</f>
        <v>44882</v>
      </c>
      <c r="Q16" s="206">
        <f>ROUND(SUMPRODUCT(Q6:Q13,K6:K13)/SUMPRODUCT((Q6:Q13&gt;0)*(K6:K13)),2)</f>
        <v>0.17</v>
      </c>
      <c r="R16" s="2142">
        <f>SUM(R6:R13)</f>
        <v>23308.880000000001</v>
      </c>
      <c r="S16" s="207">
        <f>SUM(S6:S13)</f>
        <v>1165.6300000000001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0.91900000000000004</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2715</v>
      </c>
      <c r="D19" s="2998"/>
      <c r="E19" s="2997"/>
      <c r="F19" s="2997"/>
      <c r="G19" s="2997"/>
      <c r="H19" s="2997"/>
      <c r="I19" s="2997"/>
      <c r="J19" s="2997"/>
      <c r="K19" s="2996"/>
      <c r="L19" s="2996"/>
      <c r="M19" s="2994"/>
      <c r="N19" s="2994"/>
      <c r="O19" s="2994"/>
      <c r="P19" s="2994"/>
      <c r="Q19" s="3502">
        <f>Q6/B20</f>
        <v>6.6666666666666666E-2</v>
      </c>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3</v>
      </c>
      <c r="C20" s="3009" t="s">
        <v>2124</v>
      </c>
      <c r="D20" s="2998"/>
      <c r="E20" s="2997"/>
      <c r="F20" s="2997"/>
      <c r="G20" s="2997"/>
      <c r="H20" s="2997"/>
      <c r="I20" s="2997"/>
      <c r="J20" s="2997"/>
      <c r="K20" s="2996"/>
      <c r="L20" s="2996"/>
      <c r="M20" s="2994"/>
      <c r="N20" s="2994"/>
      <c r="O20" s="2994"/>
      <c r="P20" s="2994"/>
      <c r="Q20" s="3502">
        <f>Q7/B20</f>
        <v>9.9999999999999992E-2</v>
      </c>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3502">
        <f>Q9/B20</f>
        <v>3.3333333333333333E-2</v>
      </c>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3</v>
      </c>
      <c r="C22" s="2997"/>
      <c r="D22" s="2998"/>
      <c r="E22" s="2997"/>
      <c r="F22" s="2997"/>
      <c r="G22" s="2997"/>
      <c r="H22" s="2997"/>
      <c r="I22" s="2997"/>
      <c r="J22" s="2997"/>
      <c r="K22" s="2996"/>
      <c r="L22" s="2996"/>
      <c r="M22" s="2994"/>
      <c r="N22" s="2994">
        <f ca="1">结果表!G19</f>
        <v>47529</v>
      </c>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2716</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2704</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3495">
        <v>0.1</v>
      </c>
      <c r="C34" s="3012" t="s">
        <v>2705</v>
      </c>
      <c r="D34" s="3013" t="s">
        <v>2712</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2706</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2707</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2708</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2708</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3159</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2713</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2709</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2710</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2717</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2709</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2711</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2714</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97" t="s">
        <v>1462</v>
      </c>
      <c r="B1" s="3598"/>
      <c r="C1" s="3598"/>
      <c r="D1" s="3598"/>
      <c r="E1" s="3598"/>
      <c r="F1" s="3598"/>
      <c r="G1" s="3598"/>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view="pageBreakPreview" zoomScale="80" zoomScaleNormal="80" zoomScaleSheetLayoutView="80" workbookViewId="0">
      <selection activeCell="I16" sqref="I16"/>
    </sheetView>
  </sheetViews>
  <sheetFormatPr defaultColWidth="14.625" defaultRowHeight="13.5"/>
  <cols>
    <col min="1" max="1" width="24.375" style="3091" customWidth="1"/>
    <col min="2" max="11" width="14.625" style="3091"/>
    <col min="12" max="12" width="16.25" style="3091" customWidth="1"/>
    <col min="13" max="16384" width="14.625" style="3091"/>
  </cols>
  <sheetData>
    <row r="1" spans="1:13" ht="16.5">
      <c r="A1" s="3090" t="s">
        <v>2556</v>
      </c>
      <c r="B1" s="3090">
        <f>SUM(B14:B23)</f>
        <v>207928.44999999998</v>
      </c>
      <c r="C1" s="3099"/>
      <c r="D1" s="3099"/>
      <c r="E1" s="3099"/>
      <c r="F1" s="3099"/>
      <c r="G1" s="3100"/>
      <c r="H1" s="3100"/>
      <c r="I1" s="3100"/>
      <c r="J1" s="3100"/>
    </row>
    <row r="2" spans="1:13" ht="16.5">
      <c r="A2" s="3090" t="s">
        <v>2557</v>
      </c>
      <c r="B2" s="3090">
        <f>SUM(C14:C23)</f>
        <v>28164.58</v>
      </c>
      <c r="C2" s="3099"/>
      <c r="D2" s="3099"/>
      <c r="E2" s="3099"/>
      <c r="F2" s="3099"/>
      <c r="G2" s="3100"/>
      <c r="H2" s="3100"/>
      <c r="I2" s="3100"/>
      <c r="J2" s="3100"/>
    </row>
    <row r="3" spans="1:13" ht="16.5">
      <c r="A3" s="3090" t="s">
        <v>2558</v>
      </c>
      <c r="B3" s="3092">
        <f>项目基本情况!D3</f>
        <v>44895</v>
      </c>
      <c r="C3" s="3099"/>
      <c r="D3" s="3099"/>
      <c r="E3" s="3099"/>
      <c r="F3" s="3099"/>
      <c r="G3" s="3100"/>
      <c r="H3" s="3100"/>
      <c r="I3" s="3100"/>
      <c r="J3" s="3100"/>
    </row>
    <row r="4" spans="1:13" ht="33">
      <c r="A4" s="3090" t="s">
        <v>2559</v>
      </c>
      <c r="B4" s="3090" t="s">
        <v>2560</v>
      </c>
      <c r="C4" s="3090" t="s">
        <v>2561</v>
      </c>
      <c r="D4" s="3090" t="s">
        <v>2562</v>
      </c>
      <c r="E4" s="3099"/>
      <c r="F4" s="3099"/>
      <c r="G4" s="3100"/>
      <c r="H4" s="3100"/>
      <c r="I4" s="3100"/>
      <c r="J4" s="3100"/>
    </row>
    <row r="5" spans="1:13" ht="16.5">
      <c r="A5" s="3090" t="s">
        <v>2563</v>
      </c>
      <c r="B5" s="3090">
        <f ca="1">SUM(D14:D23)</f>
        <v>54916</v>
      </c>
      <c r="C5" s="3090">
        <f ca="1">ROUND(B5*10000/$B$1,0)</f>
        <v>2641</v>
      </c>
      <c r="D5" s="3090">
        <f ca="1">ROUND(B5*10000/$B$2,0)</f>
        <v>19498</v>
      </c>
      <c r="E5" s="3099"/>
      <c r="F5" s="3099"/>
      <c r="G5" s="3100"/>
      <c r="H5" s="3100"/>
      <c r="I5" s="3100"/>
      <c r="J5" s="3100"/>
    </row>
    <row r="6" spans="1:13" ht="16.5">
      <c r="A6" s="3090" t="s">
        <v>2564</v>
      </c>
      <c r="B6" s="3090">
        <f ca="1">SUM(G14:G23)</f>
        <v>54916</v>
      </c>
      <c r="C6" s="3090">
        <f t="shared" ref="C6:C8" ca="1" si="0">ROUND(B6*10000/$B$1,0)</f>
        <v>2641</v>
      </c>
      <c r="D6" s="3090">
        <f t="shared" ref="D6:D8" ca="1" si="1">ROUND(B6*10000/$B$2,0)</f>
        <v>19498</v>
      </c>
      <c r="E6" s="3099"/>
      <c r="F6" s="3099"/>
      <c r="G6" s="3100"/>
      <c r="H6" s="3100"/>
      <c r="I6" s="3100"/>
      <c r="J6" s="3100"/>
    </row>
    <row r="7" spans="1:13" ht="16.5">
      <c r="A7" s="3090" t="s">
        <v>2565</v>
      </c>
      <c r="B7" s="3090">
        <f>SUM(H14:H23)</f>
        <v>0</v>
      </c>
      <c r="C7" s="3090">
        <f t="shared" si="0"/>
        <v>0</v>
      </c>
      <c r="D7" s="3090">
        <f t="shared" si="1"/>
        <v>0</v>
      </c>
      <c r="E7" s="3099"/>
      <c r="F7" s="3099"/>
      <c r="G7" s="3100"/>
      <c r="H7" s="3100"/>
      <c r="I7" s="3100"/>
      <c r="J7" s="3100"/>
    </row>
    <row r="8" spans="1:13" ht="16.5">
      <c r="A8" s="3090" t="s">
        <v>2566</v>
      </c>
      <c r="B8" s="3090">
        <f ca="1">SUM(I14:I23)</f>
        <v>48296</v>
      </c>
      <c r="C8" s="3090">
        <f t="shared" ca="1" si="0"/>
        <v>2323</v>
      </c>
      <c r="D8" s="3090">
        <f t="shared" ca="1" si="1"/>
        <v>17148</v>
      </c>
      <c r="E8" s="3099"/>
      <c r="F8" s="3099"/>
      <c r="G8" s="3100"/>
      <c r="H8" s="3100"/>
      <c r="I8" s="3100"/>
      <c r="J8" s="3100"/>
    </row>
    <row r="9" spans="1:13" ht="16.5">
      <c r="A9" s="3090" t="s">
        <v>2567</v>
      </c>
      <c r="B9" s="3098"/>
      <c r="C9" s="3099"/>
      <c r="D9" s="3099"/>
      <c r="E9" s="3099"/>
      <c r="F9" s="3099"/>
      <c r="G9" s="3100"/>
      <c r="H9" s="3100"/>
      <c r="I9" s="3100"/>
      <c r="J9" s="3100"/>
    </row>
    <row r="10" spans="1:13" ht="16.5">
      <c r="A10" s="3090" t="s">
        <v>2568</v>
      </c>
      <c r="B10" s="3098"/>
      <c r="C10" s="3099"/>
      <c r="D10" s="3099"/>
      <c r="E10" s="3099"/>
      <c r="F10" s="3099"/>
      <c r="G10" s="3100"/>
      <c r="H10" s="3100"/>
      <c r="I10" s="3100"/>
      <c r="J10" s="3100"/>
    </row>
    <row r="11" spans="1:13" ht="16.5">
      <c r="A11" s="3090" t="s">
        <v>2585</v>
      </c>
      <c r="B11" s="3098"/>
      <c r="C11" s="3099"/>
      <c r="D11" s="3099"/>
      <c r="E11" s="3099"/>
      <c r="F11" s="3099"/>
      <c r="G11" s="3100"/>
      <c r="H11" s="3100"/>
      <c r="I11" s="3100"/>
      <c r="J11" s="3100"/>
    </row>
    <row r="12" spans="1:13" ht="16.5">
      <c r="A12" s="3099"/>
      <c r="B12" s="3099"/>
      <c r="C12" s="3099"/>
      <c r="D12" s="3099"/>
      <c r="E12" s="3099"/>
      <c r="F12" s="3099"/>
      <c r="G12" s="3100"/>
      <c r="H12" s="3100"/>
      <c r="I12" s="3100"/>
      <c r="J12" s="3100"/>
    </row>
    <row r="13" spans="1:13" ht="33">
      <c r="A13" s="3093" t="s">
        <v>2584</v>
      </c>
      <c r="B13" s="3094" t="s">
        <v>2556</v>
      </c>
      <c r="C13" s="3094" t="s">
        <v>2557</v>
      </c>
      <c r="D13" s="3094" t="s">
        <v>2569</v>
      </c>
      <c r="E13" s="3090" t="s">
        <v>2583</v>
      </c>
      <c r="F13" s="3090" t="s">
        <v>2562</v>
      </c>
      <c r="G13" s="3094" t="s">
        <v>2570</v>
      </c>
      <c r="H13" s="3094" t="s">
        <v>2571</v>
      </c>
      <c r="I13" s="3094" t="s">
        <v>2572</v>
      </c>
      <c r="J13" s="3500" t="s">
        <v>3466</v>
      </c>
      <c r="K13" s="3501" t="s">
        <v>3467</v>
      </c>
      <c r="L13" s="3501" t="s">
        <v>3468</v>
      </c>
    </row>
    <row r="14" spans="1:13" ht="16.5">
      <c r="A14" s="3095" t="s">
        <v>2582</v>
      </c>
      <c r="B14" s="3096">
        <f>结果表!L38</f>
        <v>184715.46</v>
      </c>
      <c r="C14" s="3096">
        <f>结果表!K38</f>
        <v>23308.880000000001</v>
      </c>
      <c r="D14" s="3096">
        <f ca="1">结果表!C42</f>
        <v>47529</v>
      </c>
      <c r="E14" s="3096">
        <f ca="1">ROUND(D14*10000/B14,0)</f>
        <v>2573</v>
      </c>
      <c r="F14" s="3096">
        <f ca="1">ROUND(D14*10000/C14,0)</f>
        <v>20391</v>
      </c>
      <c r="G14" s="3096">
        <f ca="1">结果表!C44</f>
        <v>47529</v>
      </c>
      <c r="H14" s="3096" t="str">
        <f>结果表!C45</f>
        <v>——</v>
      </c>
      <c r="I14" s="3096">
        <f ca="1">结果表!C46</f>
        <v>41840</v>
      </c>
      <c r="J14" s="3498">
        <f ca="1">D14/(C14/666.67)</f>
        <v>1359.402872639097</v>
      </c>
      <c r="K14" s="3499">
        <f ca="1">D14*10000/'数据-汇总表'!F27</f>
        <v>3768.8388417582491</v>
      </c>
      <c r="L14" s="3091">
        <f ca="1">D14/'剩余法-待开发'!M7</f>
        <v>0.37688388417582491</v>
      </c>
      <c r="M14" s="3091">
        <f ca="1">D14/'剩余法-待开发'!C6</f>
        <v>0.31357581595423928</v>
      </c>
    </row>
    <row r="15" spans="1:13" ht="16.5">
      <c r="A15" s="3095" t="s">
        <v>2573</v>
      </c>
      <c r="B15" s="3097">
        <f>[2]系统读取表!$B$14</f>
        <v>23212.99</v>
      </c>
      <c r="C15" s="3097">
        <f>[2]系统读取表!$C$14</f>
        <v>4855.7</v>
      </c>
      <c r="D15" s="3097">
        <f>[2]系统读取表!$D$14</f>
        <v>7387</v>
      </c>
      <c r="E15" s="3096">
        <f t="shared" ref="E15:E23" si="2">ROUND(D15*10000/B15,0)</f>
        <v>3182</v>
      </c>
      <c r="F15" s="3096">
        <f t="shared" ref="F15:F23" si="3">ROUND(D15*10000/C15,0)</f>
        <v>15213</v>
      </c>
      <c r="G15" s="2672">
        <f>D15</f>
        <v>7387</v>
      </c>
      <c r="H15" s="2672"/>
      <c r="I15" s="3097">
        <f ca="1">[3]系统读取表!$I$14</f>
        <v>6456</v>
      </c>
      <c r="J15" s="3498">
        <f>D15/(C15/666.67)</f>
        <v>1014.208309821447</v>
      </c>
      <c r="K15" s="3499">
        <f>D15*10000/'[2]数据-汇总表'!$F$27</f>
        <v>4447.4922573777676</v>
      </c>
      <c r="L15" s="3091">
        <f>D15/'[2]剩余法-待开发'!$M$10</f>
        <v>0.37253517575268547</v>
      </c>
      <c r="M15" s="3091">
        <f>D15/'[2]剩余法-待开发'!$C$6</f>
        <v>0.34996209967784725</v>
      </c>
    </row>
    <row r="16" spans="1:13"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row r="36" spans="12:12">
      <c r="L36" s="3494"/>
    </row>
    <row r="37" spans="12:12">
      <c r="L37" s="349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7" zoomScale="85" zoomScaleNormal="100" zoomScaleSheetLayoutView="85" zoomScalePageLayoutView="80" workbookViewId="0">
      <selection activeCell="C103" sqref="C103"/>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43" t="str">
        <f>项目基本情况!K2</f>
        <v>出让国有建设用地使用权</v>
      </c>
      <c r="B2" s="3644"/>
      <c r="C2" s="3645"/>
      <c r="D2" s="3645"/>
      <c r="E2" s="3645"/>
      <c r="F2" s="3645"/>
      <c r="G2" s="3644"/>
      <c r="H2" s="3644"/>
      <c r="I2" s="3646"/>
      <c r="J2" s="1864"/>
      <c r="K2" s="1863"/>
      <c r="L2" s="1863"/>
      <c r="M2" s="1863"/>
      <c r="N2" s="1863"/>
      <c r="O2" s="1863"/>
      <c r="P2" s="1863"/>
      <c r="Q2" s="1863"/>
      <c r="R2" s="1863"/>
      <c r="S2" s="1863"/>
      <c r="T2" s="1863"/>
      <c r="U2" s="1863"/>
      <c r="V2" s="1863"/>
    </row>
    <row r="3" spans="1:22" ht="14.25">
      <c r="A3" s="3654" t="s">
        <v>298</v>
      </c>
      <c r="B3" s="3655"/>
      <c r="C3" s="3655"/>
      <c r="D3" s="3655"/>
      <c r="E3" s="3655"/>
      <c r="F3" s="3655"/>
      <c r="G3" s="3655"/>
      <c r="H3" s="3655"/>
      <c r="I3" s="3655"/>
      <c r="J3" s="1864"/>
      <c r="K3" s="1863"/>
      <c r="L3" s="1863"/>
      <c r="M3" s="1863"/>
      <c r="N3" s="1863"/>
      <c r="O3" s="1863"/>
      <c r="P3" s="1863"/>
      <c r="Q3" s="1863"/>
      <c r="R3" s="1863"/>
      <c r="S3" s="1863"/>
      <c r="T3" s="1863"/>
      <c r="U3" s="1863"/>
      <c r="V3" s="1863"/>
    </row>
    <row r="4" spans="1:22" ht="14.25">
      <c r="A4" s="256" t="s">
        <v>299</v>
      </c>
      <c r="B4" s="257" t="s">
        <v>300</v>
      </c>
      <c r="C4" s="258" t="s">
        <v>3458</v>
      </c>
      <c r="D4" s="258" t="s">
        <v>3459</v>
      </c>
      <c r="E4" s="3618" t="s">
        <v>301</v>
      </c>
      <c r="F4" s="3660"/>
      <c r="G4" s="3660"/>
      <c r="H4" s="3660"/>
      <c r="I4" s="3619"/>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47" t="s">
        <v>302</v>
      </c>
      <c r="B5" s="3648">
        <v>25</v>
      </c>
      <c r="C5" s="3656"/>
      <c r="D5" s="3659"/>
      <c r="E5" s="259" t="s">
        <v>303</v>
      </c>
      <c r="F5" s="260"/>
      <c r="G5" s="260"/>
      <c r="H5" s="260"/>
      <c r="I5" s="261"/>
      <c r="J5" s="1864"/>
      <c r="K5" s="1863"/>
      <c r="L5" s="1863"/>
      <c r="M5" s="1863"/>
      <c r="N5" s="1863"/>
      <c r="O5" s="1863"/>
      <c r="P5" s="1863"/>
      <c r="Q5" s="1863"/>
      <c r="R5" s="1863"/>
      <c r="S5" s="1863"/>
      <c r="T5" s="1863"/>
      <c r="U5" s="1863"/>
      <c r="V5" s="1863"/>
    </row>
    <row r="6" spans="1:22" ht="14.25">
      <c r="A6" s="3647"/>
      <c r="B6" s="3648"/>
      <c r="C6" s="3657"/>
      <c r="D6" s="3659"/>
      <c r="E6" s="259" t="s">
        <v>304</v>
      </c>
      <c r="F6" s="260"/>
      <c r="G6" s="260"/>
      <c r="H6" s="260"/>
      <c r="I6" s="261"/>
      <c r="J6" s="1864"/>
      <c r="K6" s="1863"/>
      <c r="L6" s="1863"/>
      <c r="M6" s="1863"/>
      <c r="N6" s="1863"/>
      <c r="O6" s="1863"/>
      <c r="P6" s="1863"/>
      <c r="Q6" s="1863"/>
      <c r="R6" s="1863"/>
      <c r="S6" s="1863"/>
      <c r="T6" s="1863"/>
      <c r="U6" s="1863"/>
      <c r="V6" s="1863"/>
    </row>
    <row r="7" spans="1:22" ht="14.25">
      <c r="A7" s="3647"/>
      <c r="B7" s="3648"/>
      <c r="C7" s="3658"/>
      <c r="D7" s="3659"/>
      <c r="E7" s="259" t="s">
        <v>305</v>
      </c>
      <c r="F7" s="260"/>
      <c r="G7" s="260"/>
      <c r="H7" s="260"/>
      <c r="I7" s="261"/>
      <c r="J7" s="1864"/>
      <c r="K7" s="1863"/>
      <c r="L7" s="1863"/>
      <c r="M7" s="1863"/>
      <c r="N7" s="1863"/>
      <c r="O7" s="1863"/>
      <c r="P7" s="1863"/>
      <c r="Q7" s="1863"/>
      <c r="R7" s="1863"/>
      <c r="S7" s="1863"/>
      <c r="T7" s="1863"/>
      <c r="U7" s="1863"/>
      <c r="V7" s="1863"/>
    </row>
    <row r="8" spans="1:22" ht="14.25">
      <c r="A8" s="3647" t="s">
        <v>306</v>
      </c>
      <c r="B8" s="3648">
        <v>15</v>
      </c>
      <c r="C8" s="3656"/>
      <c r="D8" s="3659"/>
      <c r="E8" s="259" t="s">
        <v>307</v>
      </c>
      <c r="F8" s="260"/>
      <c r="G8" s="260"/>
      <c r="H8" s="260"/>
      <c r="I8" s="261"/>
      <c r="J8" s="1864"/>
      <c r="K8" s="1863"/>
      <c r="L8" s="1863"/>
      <c r="M8" s="1863"/>
      <c r="N8" s="1863"/>
      <c r="O8" s="1863"/>
      <c r="P8" s="1863"/>
      <c r="Q8" s="1863"/>
      <c r="R8" s="1863"/>
      <c r="S8" s="1863"/>
      <c r="T8" s="1863"/>
      <c r="U8" s="1863"/>
      <c r="V8" s="1863"/>
    </row>
    <row r="9" spans="1:22" ht="14.25">
      <c r="A9" s="3647"/>
      <c r="B9" s="3648"/>
      <c r="C9" s="3658"/>
      <c r="D9" s="3659"/>
      <c r="E9" s="259" t="s">
        <v>308</v>
      </c>
      <c r="F9" s="260"/>
      <c r="G9" s="260"/>
      <c r="H9" s="260"/>
      <c r="I9" s="261"/>
      <c r="J9" s="1864"/>
      <c r="K9" s="1863"/>
      <c r="L9" s="1863"/>
      <c r="M9" s="1863"/>
      <c r="N9" s="1863"/>
      <c r="O9" s="1863"/>
      <c r="P9" s="1863"/>
      <c r="Q9" s="1863"/>
      <c r="R9" s="1863"/>
      <c r="S9" s="1863"/>
      <c r="T9" s="1863"/>
      <c r="U9" s="1863"/>
      <c r="V9" s="1863"/>
    </row>
    <row r="10" spans="1:22" ht="14.25">
      <c r="A10" s="3647" t="s">
        <v>309</v>
      </c>
      <c r="B10" s="3648">
        <v>15</v>
      </c>
      <c r="C10" s="3656"/>
      <c r="D10" s="3659"/>
      <c r="E10" s="259" t="s">
        <v>310</v>
      </c>
      <c r="F10" s="260"/>
      <c r="G10" s="260"/>
      <c r="H10" s="260"/>
      <c r="I10" s="261"/>
      <c r="J10" s="1864"/>
      <c r="K10" s="1863"/>
      <c r="L10" s="1863"/>
      <c r="M10" s="1863"/>
      <c r="N10" s="1863"/>
      <c r="O10" s="1863"/>
      <c r="P10" s="1863"/>
      <c r="Q10" s="1863"/>
      <c r="R10" s="1863"/>
      <c r="S10" s="1863"/>
      <c r="T10" s="1863"/>
      <c r="U10" s="1863"/>
      <c r="V10" s="1863"/>
    </row>
    <row r="11" spans="1:22" ht="14.25">
      <c r="A11" s="3647"/>
      <c r="B11" s="3648"/>
      <c r="C11" s="3658"/>
      <c r="D11" s="3659"/>
      <c r="E11" s="259" t="s">
        <v>311</v>
      </c>
      <c r="F11" s="260"/>
      <c r="G11" s="260"/>
      <c r="H11" s="260"/>
      <c r="I11" s="261"/>
      <c r="J11" s="1864"/>
      <c r="K11" s="1863"/>
      <c r="L11" s="1863"/>
      <c r="M11" s="1863"/>
      <c r="N11" s="1863"/>
      <c r="O11" s="1863"/>
      <c r="P11" s="1863"/>
      <c r="Q11" s="1863"/>
      <c r="R11" s="1863"/>
      <c r="S11" s="1863"/>
      <c r="T11" s="1863"/>
      <c r="U11" s="1863"/>
      <c r="V11" s="1863"/>
    </row>
    <row r="12" spans="1:22" ht="14.25">
      <c r="A12" s="3647" t="s">
        <v>312</v>
      </c>
      <c r="B12" s="3648">
        <v>15</v>
      </c>
      <c r="C12" s="3656"/>
      <c r="D12" s="3659"/>
      <c r="E12" s="259" t="s">
        <v>313</v>
      </c>
      <c r="F12" s="260"/>
      <c r="G12" s="260"/>
      <c r="H12" s="260"/>
      <c r="I12" s="261"/>
      <c r="J12" s="1864"/>
      <c r="K12" s="1863"/>
      <c r="L12" s="1863"/>
      <c r="M12" s="1863"/>
      <c r="N12" s="1863"/>
      <c r="O12" s="1863"/>
      <c r="P12" s="1863"/>
      <c r="Q12" s="1863"/>
      <c r="R12" s="1863"/>
      <c r="S12" s="1863"/>
      <c r="T12" s="1863"/>
      <c r="U12" s="1863"/>
      <c r="V12" s="1863"/>
    </row>
    <row r="13" spans="1:22" ht="14.25">
      <c r="A13" s="3647"/>
      <c r="B13" s="3648"/>
      <c r="C13" s="3658"/>
      <c r="D13" s="3659"/>
      <c r="E13" s="259" t="s">
        <v>314</v>
      </c>
      <c r="F13" s="260"/>
      <c r="G13" s="260"/>
      <c r="H13" s="260"/>
      <c r="I13" s="261"/>
      <c r="J13" s="1864"/>
      <c r="K13" s="1863"/>
      <c r="L13" s="1863"/>
      <c r="M13" s="1863"/>
      <c r="N13" s="1863"/>
      <c r="O13" s="1863"/>
      <c r="P13" s="1863"/>
      <c r="Q13" s="1863"/>
      <c r="R13" s="1863"/>
      <c r="S13" s="1863"/>
      <c r="T13" s="1863"/>
      <c r="U13" s="1863"/>
      <c r="V13" s="1863"/>
    </row>
    <row r="14" spans="1:22" ht="14.25">
      <c r="A14" s="3647" t="s">
        <v>315</v>
      </c>
      <c r="B14" s="3648">
        <v>30</v>
      </c>
      <c r="C14" s="3656">
        <v>5</v>
      </c>
      <c r="D14" s="3659">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647"/>
      <c r="B15" s="3648"/>
      <c r="C15" s="3657"/>
      <c r="D15" s="3659"/>
      <c r="E15" s="259" t="s">
        <v>317</v>
      </c>
      <c r="F15" s="260"/>
      <c r="G15" s="260"/>
      <c r="H15" s="260"/>
      <c r="I15" s="261"/>
      <c r="J15" s="1864"/>
      <c r="K15" s="1863"/>
      <c r="L15" s="1863"/>
      <c r="M15" s="1863"/>
      <c r="N15" s="1863"/>
      <c r="O15" s="1863"/>
      <c r="P15" s="1863"/>
      <c r="Q15" s="1863"/>
      <c r="R15" s="1863"/>
      <c r="S15" s="1863"/>
      <c r="T15" s="1863"/>
      <c r="U15" s="1863"/>
      <c r="V15" s="1863"/>
    </row>
    <row r="16" spans="1:22" ht="14.25">
      <c r="A16" s="3647"/>
      <c r="B16" s="3648"/>
      <c r="C16" s="3658"/>
      <c r="D16" s="3659"/>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61" t="s">
        <v>2693</v>
      </c>
      <c r="F18" s="3662"/>
      <c r="G18" s="3662"/>
      <c r="H18" s="3662"/>
      <c r="I18" s="3662"/>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44782</v>
      </c>
      <c r="D19" s="269">
        <f ca="1">SUMIF(INDIRECT("'"&amp;D4&amp;"'"&amp;"!A:A"),结果表!B19,INDIRECT("'"&amp;D4&amp;"'"&amp;"!B:B"))</f>
        <v>50276</v>
      </c>
      <c r="E19" s="266" t="s">
        <v>323</v>
      </c>
      <c r="F19" s="267" t="s">
        <v>322</v>
      </c>
      <c r="G19" s="270">
        <f ca="1">ROUND(C19*$C$18+D19*$D$18,0)</f>
        <v>47529</v>
      </c>
      <c r="H19" s="271" t="s">
        <v>324</v>
      </c>
      <c r="I19" s="309"/>
      <c r="J19" s="1863"/>
      <c r="K19" s="1863">
        <f ca="1">G19/'剩余法-待开发'!C6</f>
        <v>0.31357581595423928</v>
      </c>
      <c r="L19" s="1863">
        <f ca="1">G19/('剩余法-待开发'!C10+'剩余法-待开发'!D10+'剩余法-待开发'!E10)</f>
        <v>0.33694172692471291</v>
      </c>
      <c r="M19" s="1863"/>
      <c r="N19" s="1863"/>
      <c r="O19" s="1863"/>
      <c r="P19" s="1863"/>
      <c r="Q19" s="1863"/>
      <c r="R19" s="1863"/>
      <c r="S19" s="1863"/>
      <c r="T19" s="1863"/>
      <c r="U19" s="1863"/>
      <c r="V19" s="1863"/>
    </row>
    <row r="20" spans="1:26" ht="15">
      <c r="A20" s="272"/>
      <c r="B20" s="273" t="s">
        <v>325</v>
      </c>
      <c r="C20" s="274">
        <f ca="1">SUMIF(INDIRECT("'"&amp;C4&amp;"'"&amp;"!A:A"),结果表!B20,INDIRECT("'"&amp;C4&amp;"'"&amp;"!B:B"))</f>
        <v>2424</v>
      </c>
      <c r="D20" s="275">
        <f ca="1">SUMIF(INDIRECT("'"&amp;D4&amp;"'"&amp;"!A:A"),结果表!B20,INDIRECT("'"&amp;D4&amp;"'"&amp;"!B:B"))</f>
        <v>2722</v>
      </c>
      <c r="E20" s="272"/>
      <c r="F20" s="273" t="s">
        <v>325</v>
      </c>
      <c r="G20" s="276">
        <f ca="1">ROUND(C20*$C$18+D20*$D$18,0)</f>
        <v>2573</v>
      </c>
      <c r="H20" s="277" t="s">
        <v>326</v>
      </c>
      <c r="I20" s="309"/>
      <c r="J20" s="1863"/>
      <c r="K20" s="1863">
        <f ca="1">G19*10000/'数据-汇总表'!F27</f>
        <v>3768.8388417582491</v>
      </c>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19212</v>
      </c>
      <c r="D21" s="149">
        <f ca="1">SUMIF(INDIRECT("'"&amp;D4&amp;"'"&amp;"!A:A"),结果表!B21,INDIRECT("'"&amp;D4&amp;"'"&amp;"!B:B"))</f>
        <v>21569</v>
      </c>
      <c r="E21" s="272"/>
      <c r="F21" s="278" t="s">
        <v>327</v>
      </c>
      <c r="G21" s="280">
        <f ca="1">ROUND(C21*$C$18+D21*$D$18,0)</f>
        <v>20391</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0.12268322093698369</v>
      </c>
      <c r="E22" s="282"/>
      <c r="F22" s="283"/>
      <c r="G22" s="284">
        <f ca="1">ROUND(G19/('数据-汇总表'!D3/666.67),0)</f>
        <v>1359</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20"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67"/>
      <c r="B25" s="1237" t="s">
        <v>331</v>
      </c>
      <c r="C25" s="288">
        <f>IF(B30=0,0,C30)</f>
        <v>0</v>
      </c>
      <c r="D25" s="289"/>
      <c r="E25" s="309"/>
      <c r="F25" s="309"/>
      <c r="G25" s="309"/>
      <c r="H25" s="309"/>
      <c r="I25" s="309"/>
      <c r="J25" s="1863"/>
      <c r="K25" s="1171" t="str">
        <f ca="1">项目基本情况!B16&amp;"国有建设用地使用权价格："&amp;O38&amp;"万元"</f>
        <v>出让国有建设用地使用权价格：47529万元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大写金额：人民币肆亿柒仟伍佰贰拾玖万元整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单位面积地价：20391元/平方米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楼面地价：2573元/平方米</v>
      </c>
      <c r="L28" s="1168"/>
      <c r="M28" s="1168"/>
      <c r="N28" s="1168"/>
      <c r="O28" s="1167"/>
      <c r="P28" s="1863"/>
      <c r="V28" s="1863"/>
    </row>
    <row r="29" spans="1:26" ht="18">
      <c r="A29" s="291"/>
      <c r="B29" s="292"/>
      <c r="C29" s="292"/>
      <c r="D29" s="293"/>
      <c r="E29" s="309"/>
      <c r="F29" s="309"/>
      <c r="G29" s="309"/>
      <c r="H29" s="309"/>
      <c r="I29" s="309"/>
      <c r="J29" s="1863"/>
      <c r="K29" s="1174" t="str">
        <f ca="1">IF(OR(项目基本情况!E8="抵押价格",项目基本情况!E8="已注销及未注销"),"抵押价格："&amp;O39&amp;"万元","——")</f>
        <v>抵押价格：47529万元</v>
      </c>
      <c r="L29" s="1168"/>
      <c r="M29" s="1168"/>
      <c r="N29" s="1168"/>
      <c r="O29" s="1167"/>
      <c r="P29" s="1863"/>
      <c r="V29" s="1863"/>
    </row>
    <row r="30" spans="1:26" ht="18.75" thickBot="1">
      <c r="A30" s="2715" t="s">
        <v>336</v>
      </c>
      <c r="B30" s="307"/>
      <c r="C30" s="307"/>
      <c r="D30" s="308"/>
      <c r="E30" s="2908" t="s">
        <v>2694</v>
      </c>
      <c r="F30" s="309"/>
      <c r="G30" s="309"/>
      <c r="H30" s="309"/>
      <c r="I30" s="309"/>
      <c r="J30" s="1863"/>
      <c r="K30" s="1174" t="str">
        <f ca="1">IF(K29="——","——","大写金额：人民币"&amp;NUMBERSTRING(INT(O39*10000),2)&amp;"元整")</f>
        <v>大写金额：人民币肆亿柒仟伍佰贰拾玖万元整</v>
      </c>
      <c r="L30" s="1168"/>
      <c r="M30" s="1168"/>
      <c r="N30" s="1168"/>
      <c r="O30" s="1167"/>
      <c r="P30" s="1863"/>
      <c r="V30" s="1863"/>
    </row>
    <row r="31" spans="1:26" ht="24" customHeight="1" thickBot="1">
      <c r="A31" s="3663" t="s">
        <v>2695</v>
      </c>
      <c r="B31" s="3663"/>
      <c r="C31" s="3663"/>
      <c r="D31" s="3663"/>
      <c r="E31" s="3663"/>
      <c r="F31" s="3663"/>
      <c r="G31" s="3663"/>
      <c r="H31" s="3663"/>
      <c r="I31" s="3663"/>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9" t="s">
        <v>1487</v>
      </c>
      <c r="C32" s="264">
        <f ca="1">G19-C24</f>
        <v>47529</v>
      </c>
      <c r="D32" s="2910" t="s">
        <v>1488</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6" t="s">
        <v>1489</v>
      </c>
      <c r="C33" s="262">
        <f ca="1">ROUND(C32*10000/'数据-汇总表'!E3,0)</f>
        <v>2573</v>
      </c>
      <c r="D33" s="1287" t="s">
        <v>1490</v>
      </c>
      <c r="E33" s="3620" t="s">
        <v>338</v>
      </c>
      <c r="F33" s="294" t="s">
        <v>339</v>
      </c>
      <c r="G33" s="295"/>
      <c r="H33" s="949"/>
      <c r="I33" s="1175"/>
      <c r="J33" s="1863"/>
      <c r="K33" s="1174" t="str">
        <f ca="1">IF(项目基本情况!E9="——","——","抵押净值："&amp;C46&amp;"万元")</f>
        <v>抵押净值：41840万元</v>
      </c>
      <c r="L33" s="1168"/>
      <c r="M33" s="1168"/>
      <c r="N33" s="1168"/>
      <c r="O33" s="1167"/>
      <c r="P33" s="1863"/>
      <c r="V33" s="1863"/>
    </row>
    <row r="34" spans="1:26" s="1170" customFormat="1" ht="18.75" thickBot="1">
      <c r="A34" s="298"/>
      <c r="B34" s="1288" t="s">
        <v>1491</v>
      </c>
      <c r="C34" s="262">
        <f ca="1">ROUND(C32*10000/'数据-汇总表'!D3,0)</f>
        <v>20391</v>
      </c>
      <c r="D34" s="1289" t="s">
        <v>1490</v>
      </c>
      <c r="E34" s="3621"/>
      <c r="F34" s="127" t="s">
        <v>341</v>
      </c>
      <c r="G34" s="297"/>
      <c r="H34" s="105"/>
      <c r="I34" s="309"/>
      <c r="J34" s="1863"/>
      <c r="K34" s="1177" t="str">
        <f ca="1">IF(K33="——","——","大写金额：人民币"&amp;NUMBERSTRING(INT(O41*10000),2)&amp;"元整")</f>
        <v>大写金额：人民币肆亿壹仟捌佰肆拾万元整</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1359</v>
      </c>
      <c r="D35" s="1292" t="s">
        <v>1492</v>
      </c>
      <c r="E35" s="3622"/>
      <c r="F35" s="299" t="s">
        <v>342</v>
      </c>
      <c r="G35" s="951"/>
      <c r="H35" s="950" t="s">
        <v>343</v>
      </c>
      <c r="I35" s="309"/>
      <c r="J35" s="1863"/>
      <c r="K35" s="3626" t="s">
        <v>350</v>
      </c>
      <c r="L35" s="3626" t="s">
        <v>351</v>
      </c>
      <c r="M35" s="1180" t="s">
        <v>352</v>
      </c>
      <c r="N35" s="3626" t="s">
        <v>353</v>
      </c>
      <c r="O35" s="3626" t="s">
        <v>354</v>
      </c>
      <c r="P35" s="1863"/>
      <c r="V35" s="1863"/>
    </row>
    <row r="36" spans="1:26" ht="16.5" customHeight="1">
      <c r="A36" s="301" t="s">
        <v>344</v>
      </c>
      <c r="B36" s="302" t="s">
        <v>333</v>
      </c>
      <c r="C36" s="303" t="s">
        <v>345</v>
      </c>
      <c r="D36" s="303" t="s">
        <v>346</v>
      </c>
      <c r="E36" s="304" t="s">
        <v>347</v>
      </c>
      <c r="F36" s="309"/>
      <c r="G36" s="309"/>
      <c r="H36" s="309"/>
      <c r="I36" s="309"/>
      <c r="J36" s="1865"/>
      <c r="K36" s="3627"/>
      <c r="L36" s="3627"/>
      <c r="M36" s="1182" t="s">
        <v>355</v>
      </c>
      <c r="N36" s="3627"/>
      <c r="O36" s="3627"/>
      <c r="P36" s="1863"/>
      <c r="V36" s="1863"/>
    </row>
    <row r="37" spans="1:26" ht="16.5" customHeight="1" thickBot="1">
      <c r="A37" s="1176" t="s">
        <v>348</v>
      </c>
      <c r="B37" s="305"/>
      <c r="C37" s="292"/>
      <c r="D37" s="292"/>
      <c r="E37" s="293"/>
      <c r="F37" s="309"/>
      <c r="G37" s="309"/>
      <c r="H37" s="309"/>
      <c r="I37" s="309"/>
      <c r="J37" s="1865"/>
      <c r="K37" s="3628"/>
      <c r="L37" s="3628"/>
      <c r="M37" s="1183"/>
      <c r="N37" s="3628"/>
      <c r="O37" s="3628"/>
      <c r="P37" s="1863"/>
      <c r="V37" s="1863"/>
    </row>
    <row r="38" spans="1:26" ht="16.5" customHeight="1" thickBot="1">
      <c r="A38" s="1176" t="s">
        <v>349</v>
      </c>
      <c r="B38" s="305"/>
      <c r="C38" s="292"/>
      <c r="D38" s="292"/>
      <c r="E38" s="293"/>
      <c r="F38" s="309"/>
      <c r="G38" s="309"/>
      <c r="H38" s="309"/>
      <c r="I38" s="309"/>
      <c r="J38" s="1865"/>
      <c r="K38" s="1184">
        <f>'数据-汇总表'!D3</f>
        <v>23308.880000000001</v>
      </c>
      <c r="L38" s="1185">
        <f>'数据-汇总表'!E3</f>
        <v>184715.46</v>
      </c>
      <c r="M38" s="1185">
        <f ca="1">C34</f>
        <v>20391</v>
      </c>
      <c r="N38" s="1185">
        <f ca="1">C33</f>
        <v>2573</v>
      </c>
      <c r="O38" s="1186">
        <f ca="1">C32</f>
        <v>47529</v>
      </c>
      <c r="P38" s="1863"/>
      <c r="V38" s="1863"/>
    </row>
    <row r="39" spans="1:26" ht="16.5" customHeight="1" thickBot="1">
      <c r="A39" s="1181"/>
      <c r="B39" s="306"/>
      <c r="C39" s="307"/>
      <c r="D39" s="307"/>
      <c r="E39" s="308"/>
      <c r="F39" s="309"/>
      <c r="G39" s="309"/>
      <c r="H39" s="309"/>
      <c r="I39" s="309"/>
      <c r="J39" s="1865"/>
      <c r="K39" s="3639" t="str">
        <f>MID(A44,3,LEN(A44)-2)</f>
        <v>抵押价格</v>
      </c>
      <c r="L39" s="3640"/>
      <c r="M39" s="3640"/>
      <c r="N39" s="3641"/>
      <c r="O39" s="1294">
        <f ca="1">C44</f>
        <v>47529</v>
      </c>
      <c r="P39" s="1863"/>
      <c r="V39" s="1863"/>
    </row>
    <row r="40" spans="1:26" ht="19.5" thickBot="1">
      <c r="A40" s="104" t="s">
        <v>851</v>
      </c>
      <c r="B40" s="309"/>
      <c r="C40" s="309"/>
      <c r="D40" s="309"/>
      <c r="E40" s="309"/>
      <c r="F40" s="309"/>
      <c r="G40" s="309"/>
      <c r="H40" s="309"/>
      <c r="I40" s="309"/>
      <c r="J40" s="1865"/>
      <c r="K40" s="3639" t="str">
        <f t="shared" ref="K40:K41" si="0">MID(A45,3,LEN(A45)-2)</f>
        <v/>
      </c>
      <c r="L40" s="3640"/>
      <c r="M40" s="3640"/>
      <c r="N40" s="3641"/>
      <c r="O40" s="1294" t="str">
        <f>C45</f>
        <v>——</v>
      </c>
      <c r="P40" s="1863"/>
      <c r="V40" s="1863"/>
    </row>
    <row r="41" spans="1:26" ht="16.5" thickBot="1">
      <c r="A41" s="310" t="s">
        <v>356</v>
      </c>
      <c r="B41" s="311"/>
      <c r="C41" s="312" t="s">
        <v>357</v>
      </c>
      <c r="D41" s="313" t="s">
        <v>358</v>
      </c>
      <c r="E41" s="313" t="s">
        <v>359</v>
      </c>
      <c r="F41" s="314" t="s">
        <v>360</v>
      </c>
      <c r="G41" s="309"/>
      <c r="H41" s="309"/>
      <c r="I41" s="309"/>
      <c r="J41" s="1865"/>
      <c r="K41" s="3639" t="str">
        <f t="shared" si="0"/>
        <v>抵押净值</v>
      </c>
      <c r="L41" s="3640"/>
      <c r="M41" s="3640"/>
      <c r="N41" s="3641"/>
      <c r="O41" s="1294">
        <f ca="1">C46</f>
        <v>41840</v>
      </c>
      <c r="P41" s="1863"/>
      <c r="V41" s="1863"/>
    </row>
    <row r="42" spans="1:26" ht="29.25">
      <c r="A42" s="3668" t="s">
        <v>1858</v>
      </c>
      <c r="B42" s="3669"/>
      <c r="C42" s="262">
        <f ca="1">C32</f>
        <v>47529</v>
      </c>
      <c r="D42" s="315">
        <f ca="1">C33</f>
        <v>2573</v>
      </c>
      <c r="E42" s="315">
        <f ca="1">C34</f>
        <v>20391</v>
      </c>
      <c r="F42" s="316">
        <f ca="1">C35</f>
        <v>1359</v>
      </c>
      <c r="G42" s="309"/>
      <c r="H42" s="309"/>
      <c r="I42" s="317"/>
      <c r="J42" s="1865"/>
      <c r="K42" s="1187" t="s">
        <v>361</v>
      </c>
      <c r="L42" s="1882" t="s">
        <v>362</v>
      </c>
      <c r="M42" s="1188" t="s">
        <v>363</v>
      </c>
      <c r="N42" s="1883" t="s">
        <v>364</v>
      </c>
      <c r="O42" s="1884" t="s">
        <v>365</v>
      </c>
      <c r="P42" s="1863"/>
      <c r="V42" s="1863"/>
    </row>
    <row r="43" spans="1:26" ht="30">
      <c r="A43" s="3678" t="s">
        <v>2446</v>
      </c>
      <c r="B43" s="3679"/>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44782</v>
      </c>
      <c r="M43" s="1191">
        <f>C18</f>
        <v>0.5</v>
      </c>
      <c r="N43" s="1192">
        <f ca="1">IF(N42="测算结果/万元",G19,G20)</f>
        <v>47529</v>
      </c>
      <c r="O43" s="1193">
        <f ca="1">IF(O42="最终结果/万元",C32,C33)</f>
        <v>47529</v>
      </c>
      <c r="P43" s="1863"/>
      <c r="V43" s="1863"/>
    </row>
    <row r="44" spans="1:26" ht="30.75" thickBot="1">
      <c r="A44" s="3668" t="str">
        <f>IF(OR(项目基本情况!E8="抵押价格",项目基本情况!E8="已注销及未注销"),"3.抵押价格","——")</f>
        <v>3.抵押价格</v>
      </c>
      <c r="B44" s="3669"/>
      <c r="C44" s="262">
        <f ca="1">IF(A44="——","——",C42-C43)</f>
        <v>47529</v>
      </c>
      <c r="D44" s="315">
        <f ca="1">ROUND(C44*10000/'数据-汇总表'!E3,0)</f>
        <v>2573</v>
      </c>
      <c r="E44" s="315">
        <f ca="1">ROUND(C44*10000/'数据-汇总表'!D3,0)</f>
        <v>20391</v>
      </c>
      <c r="F44" s="316">
        <f ca="1">ROUND(C44/('数据-汇总表'!D3/666.67),0)</f>
        <v>1359</v>
      </c>
      <c r="G44" s="309"/>
      <c r="H44" s="309"/>
      <c r="I44" s="317"/>
      <c r="J44" s="1865"/>
      <c r="K44" s="1194" t="str">
        <f>D4</f>
        <v>剩余法-待开发</v>
      </c>
      <c r="L44" s="1195">
        <f ca="1">IF(L42="估价结果/万元",D19,D20)</f>
        <v>50276</v>
      </c>
      <c r="M44" s="1196">
        <f>D18</f>
        <v>0.5</v>
      </c>
      <c r="N44" s="1197"/>
      <c r="O44" s="1198"/>
      <c r="P44" s="1863"/>
      <c r="V44" s="1863"/>
    </row>
    <row r="45" spans="1:26" ht="15">
      <c r="A45" s="3673" t="str">
        <f>IF(项目基本情况!E8="已注销及未注销","4.抵押担保权已注销时的抵押价格",IF(项目基本情况!E8="已注销","3.抵押担保权已注销时的抵押价格","——"))</f>
        <v>——</v>
      </c>
      <c r="B45" s="3674"/>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70" t="str">
        <f>IF(项目基本情况!E9="抵押净值",IF(A45="——","4.抵押净值","5.抵押净值"),"——")</f>
        <v>4.抵押净值</v>
      </c>
      <c r="B46" s="3671"/>
      <c r="C46" s="318">
        <f ca="1">IF(A46="——","——",O79)</f>
        <v>41840</v>
      </c>
      <c r="D46" s="315">
        <f ca="1">ROUND(C46*10000/'数据-汇总表'!E3,0)</f>
        <v>2265</v>
      </c>
      <c r="E46" s="315">
        <f ca="1">ROUND(C46*10000/'数据-汇总表'!D3,0)</f>
        <v>17950</v>
      </c>
      <c r="F46" s="316">
        <f ca="1">ROUND(C46/('数据-汇总表'!D3/666.67),0)</f>
        <v>1197</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31" t="s">
        <v>374</v>
      </c>
      <c r="B63" s="3632"/>
      <c r="C63" s="3633"/>
      <c r="D63" s="339">
        <f ca="1">ROUND(C42*F63,0)</f>
        <v>47529</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75" t="s">
        <v>378</v>
      </c>
      <c r="B64" s="3676"/>
      <c r="C64" s="3676"/>
      <c r="D64" s="3676"/>
      <c r="E64" s="3676"/>
      <c r="F64" s="3676"/>
      <c r="G64" s="3677"/>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72" t="s">
        <v>386</v>
      </c>
      <c r="B66" s="3638"/>
      <c r="C66" s="3638"/>
      <c r="D66" s="259">
        <f ca="1">IF(H66="情况1",0,IF(H66="情况2",D70,IF(H66="情况3",D71,IF(H66="情况4",D72))))</f>
        <v>2535</v>
      </c>
      <c r="E66" s="962" t="str">
        <f>IF(H66="情况4","(销售额-原购置价)×税（费）率","销售额×税（费）率")</f>
        <v>销售额×税（费）率</v>
      </c>
      <c r="F66" s="348">
        <f>IF(H66="情况1","免征",'数据-取费表'!B41)</f>
        <v>5.6000000000000001E-2</v>
      </c>
      <c r="G66" s="349" t="s">
        <v>387</v>
      </c>
      <c r="H66" s="189" t="s">
        <v>3469</v>
      </c>
      <c r="I66" s="1204"/>
      <c r="J66" s="1869"/>
      <c r="K66" s="1207">
        <v>1</v>
      </c>
      <c r="L66" s="3599" t="s">
        <v>385</v>
      </c>
      <c r="M66" s="3600"/>
      <c r="N66" s="2264"/>
      <c r="O66" s="2265"/>
      <c r="P66" s="2266"/>
      <c r="Q66" s="1863"/>
      <c r="R66" s="1863"/>
      <c r="S66" s="1863"/>
      <c r="T66" s="1863"/>
      <c r="U66" s="1863"/>
      <c r="V66" s="1863"/>
    </row>
    <row r="67" spans="1:22" ht="25.5" customHeight="1">
      <c r="A67" s="350" t="s">
        <v>389</v>
      </c>
      <c r="B67" s="3650" t="s">
        <v>390</v>
      </c>
      <c r="C67" s="3650"/>
      <c r="D67" s="351">
        <v>0</v>
      </c>
      <c r="E67" s="41" t="s">
        <v>391</v>
      </c>
      <c r="F67" s="62" t="s">
        <v>21</v>
      </c>
      <c r="G67" s="3634"/>
      <c r="H67" s="2911" t="s">
        <v>2696</v>
      </c>
      <c r="I67" s="2913"/>
      <c r="J67" s="1870"/>
      <c r="K67" s="1842">
        <v>2</v>
      </c>
      <c r="L67" s="3604" t="s">
        <v>388</v>
      </c>
      <c r="M67" s="3604"/>
      <c r="N67" s="1241">
        <f>'数据-取费表'!B2</f>
        <v>44895</v>
      </c>
      <c r="O67" s="1241"/>
      <c r="P67" s="1241"/>
      <c r="Q67" s="1863"/>
      <c r="R67" s="1863"/>
      <c r="S67" s="1863"/>
      <c r="T67" s="1863"/>
      <c r="U67" s="1863"/>
      <c r="V67" s="1863"/>
    </row>
    <row r="68" spans="1:22" ht="25.5" customHeight="1">
      <c r="A68" s="352"/>
      <c r="B68" s="3650" t="s">
        <v>393</v>
      </c>
      <c r="C68" s="3650"/>
      <c r="D68" s="353"/>
      <c r="E68" s="77"/>
      <c r="F68" s="354"/>
      <c r="G68" s="3635"/>
      <c r="H68" s="2912" t="s">
        <v>2697</v>
      </c>
      <c r="I68" s="2913"/>
      <c r="J68" s="1870"/>
      <c r="K68" s="1842">
        <v>3</v>
      </c>
      <c r="L68" s="3604" t="s">
        <v>392</v>
      </c>
      <c r="M68" s="3604"/>
      <c r="N68" s="1209">
        <f ca="1">C42</f>
        <v>47529</v>
      </c>
      <c r="O68" s="1209"/>
      <c r="P68" s="1209"/>
      <c r="Q68" s="1863"/>
      <c r="R68" s="1863"/>
      <c r="S68" s="1863"/>
      <c r="T68" s="1863"/>
      <c r="U68" s="1863"/>
      <c r="V68" s="1863"/>
    </row>
    <row r="69" spans="1:22" ht="23.45" customHeight="1">
      <c r="A69" s="355"/>
      <c r="B69" s="3650" t="s">
        <v>394</v>
      </c>
      <c r="C69" s="3650"/>
      <c r="D69" s="356"/>
      <c r="E69" s="73"/>
      <c r="F69" s="354"/>
      <c r="G69" s="3636"/>
      <c r="H69" s="2912" t="s">
        <v>2698</v>
      </c>
      <c r="I69" s="2913"/>
      <c r="J69" s="1870"/>
      <c r="K69" s="1210">
        <v>4</v>
      </c>
      <c r="L69" s="3605" t="s">
        <v>2595</v>
      </c>
      <c r="M69" s="3606"/>
      <c r="N69" s="1211">
        <f ca="1">C44</f>
        <v>47529</v>
      </c>
      <c r="O69" s="1211"/>
      <c r="P69" s="1211"/>
      <c r="Q69" s="1863"/>
      <c r="R69" s="1863"/>
      <c r="S69" s="1863"/>
      <c r="T69" s="1863"/>
      <c r="U69" s="1863"/>
      <c r="V69" s="1863"/>
    </row>
    <row r="70" spans="1:22" ht="24" customHeight="1">
      <c r="A70" s="357" t="s">
        <v>395</v>
      </c>
      <c r="B70" s="3650" t="s">
        <v>396</v>
      </c>
      <c r="C70" s="3650"/>
      <c r="D70" s="356">
        <f ca="1">ROUND(D63*'数据-取费表'!B41/(1+'数据-取费表'!C42),0)</f>
        <v>2535</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649" t="s">
        <v>2726</v>
      </c>
      <c r="C71" s="3666"/>
      <c r="D71" s="356">
        <f ca="1">ROUND(D63*'数据-取费表'!B41/(1+'数据-取费表'!C42),0)</f>
        <v>2535</v>
      </c>
      <c r="E71" s="17" t="s">
        <v>397</v>
      </c>
      <c r="F71" s="358">
        <f>'数据-取费表'!B41</f>
        <v>5.6000000000000001E-2</v>
      </c>
      <c r="G71" s="359"/>
      <c r="H71" s="309"/>
      <c r="I71" s="1208"/>
      <c r="J71" s="1870"/>
      <c r="K71" s="2679" t="s">
        <v>398</v>
      </c>
      <c r="L71" s="3607" t="s">
        <v>399</v>
      </c>
      <c r="M71" s="3607"/>
      <c r="N71" s="2679" t="s">
        <v>400</v>
      </c>
      <c r="O71" s="2679" t="s">
        <v>401</v>
      </c>
      <c r="P71" s="2679" t="s">
        <v>402</v>
      </c>
      <c r="Q71" s="1863"/>
      <c r="R71" s="1863"/>
      <c r="S71" s="1863"/>
      <c r="T71" s="1863"/>
      <c r="U71" s="1863"/>
      <c r="V71" s="1863"/>
    </row>
    <row r="72" spans="1:22" ht="12" customHeight="1">
      <c r="A72" s="357" t="s">
        <v>405</v>
      </c>
      <c r="B72" s="3649" t="s">
        <v>2727</v>
      </c>
      <c r="C72" s="3666"/>
      <c r="D72" s="356">
        <f ca="1">C86</f>
        <v>2535</v>
      </c>
      <c r="E72" s="73" t="s">
        <v>406</v>
      </c>
      <c r="F72" s="358">
        <f>'数据-取费表'!B41</f>
        <v>5.6000000000000001E-2</v>
      </c>
      <c r="G72" s="359"/>
      <c r="H72" s="1214"/>
      <c r="I72" s="1208"/>
      <c r="J72" s="1870"/>
      <c r="K72" s="1842">
        <v>1</v>
      </c>
      <c r="L72" s="3603" t="s">
        <v>404</v>
      </c>
      <c r="M72" s="3603"/>
      <c r="N72" s="1212">
        <f ca="1">D66</f>
        <v>2535</v>
      </c>
      <c r="O72" s="1726" t="str">
        <f>E66</f>
        <v>销售额×税（费）率</v>
      </c>
      <c r="P72" s="1213">
        <f>F66</f>
        <v>5.6000000000000001E-2</v>
      </c>
      <c r="Q72" s="1863"/>
      <c r="R72" s="1863"/>
      <c r="S72" s="1863"/>
      <c r="T72" s="1863"/>
      <c r="U72" s="1863"/>
      <c r="V72" s="1863"/>
    </row>
    <row r="73" spans="1:22" ht="24" customHeight="1">
      <c r="A73" s="3637" t="s">
        <v>408</v>
      </c>
      <c r="B73" s="3638"/>
      <c r="C73" s="3638"/>
      <c r="D73" s="360">
        <f ca="1">IF(H73="个人住宅",0,ROUND(D63*I73,0))</f>
        <v>24</v>
      </c>
      <c r="E73" s="17" t="s">
        <v>409</v>
      </c>
      <c r="F73" s="358">
        <f>IF(H73="正常",I73,"免征")</f>
        <v>5.0000000000000001E-4</v>
      </c>
      <c r="G73" s="359"/>
      <c r="H73" s="189" t="s">
        <v>3379</v>
      </c>
      <c r="I73" s="358">
        <f>'数据-取费表'!B49</f>
        <v>5.0000000000000001E-4</v>
      </c>
      <c r="J73" s="1870"/>
      <c r="K73" s="1842">
        <v>2</v>
      </c>
      <c r="L73" s="3603" t="s">
        <v>407</v>
      </c>
      <c r="M73" s="3603"/>
      <c r="N73" s="1212">
        <f t="shared" ref="N73:P74" ca="1" si="1">D73</f>
        <v>24</v>
      </c>
      <c r="O73" s="1726" t="str">
        <f t="shared" si="1"/>
        <v>销售额×税（费）率</v>
      </c>
      <c r="P73" s="1213">
        <f t="shared" si="1"/>
        <v>5.0000000000000001E-4</v>
      </c>
      <c r="Q73" s="1863"/>
      <c r="R73" s="1863"/>
      <c r="S73" s="1863"/>
      <c r="T73" s="1863"/>
      <c r="U73" s="1863"/>
      <c r="V73" s="1863"/>
    </row>
    <row r="74" spans="1:22" ht="24.75">
      <c r="A74" s="3637" t="s">
        <v>411</v>
      </c>
      <c r="B74" s="3638"/>
      <c r="C74" s="3638"/>
      <c r="D74" s="360">
        <f ca="1">IF(H74="个人住宅",D75,D76)</f>
        <v>3130</v>
      </c>
      <c r="E74" s="17" t="s">
        <v>412</v>
      </c>
      <c r="F74" s="358" t="str">
        <f>IF(H74="正常",F76,"免征")</f>
        <v>——</v>
      </c>
      <c r="G74" s="952" t="s">
        <v>413</v>
      </c>
      <c r="H74" s="361" t="s">
        <v>3379</v>
      </c>
      <c r="I74" s="42"/>
      <c r="J74" s="1870"/>
      <c r="K74" s="1842">
        <v>3</v>
      </c>
      <c r="L74" s="3603" t="s">
        <v>410</v>
      </c>
      <c r="M74" s="3603"/>
      <c r="N74" s="1212">
        <f t="shared" ca="1" si="1"/>
        <v>3130</v>
      </c>
      <c r="O74" s="1726" t="str">
        <f t="shared" si="1"/>
        <v>增值额×税（费）率</v>
      </c>
      <c r="P74" s="1215" t="str">
        <f t="shared" si="1"/>
        <v>——</v>
      </c>
      <c r="Q74" s="1863"/>
      <c r="R74" s="1863"/>
      <c r="S74" s="1863"/>
      <c r="T74" s="1863"/>
      <c r="U74" s="1863"/>
      <c r="V74" s="1863"/>
    </row>
    <row r="75" spans="1:22" ht="12.75">
      <c r="A75" s="357" t="s">
        <v>414</v>
      </c>
      <c r="B75" s="3618" t="s">
        <v>415</v>
      </c>
      <c r="C75" s="3619"/>
      <c r="D75" s="362">
        <v>0</v>
      </c>
      <c r="E75" s="41" t="s">
        <v>416</v>
      </c>
      <c r="F75" s="363"/>
      <c r="G75" s="359"/>
      <c r="H75" s="42"/>
      <c r="I75" s="42"/>
      <c r="J75" s="1870"/>
      <c r="K75" s="2673" t="str">
        <f>IF(H77="非个人房产","",4)</f>
        <v/>
      </c>
      <c r="L75" s="3603" t="str">
        <f>IF(H77="非个人房产","——","个人所得税")</f>
        <v>——</v>
      </c>
      <c r="M75" s="3603"/>
      <c r="N75" s="1216" t="str">
        <f>D77</f>
        <v>——</v>
      </c>
      <c r="O75" s="1739" t="str">
        <f>E77</f>
        <v>——</v>
      </c>
      <c r="P75" s="1217" t="str">
        <f>F77</f>
        <v>——</v>
      </c>
      <c r="Q75" s="1863"/>
      <c r="R75" s="1863"/>
      <c r="S75" s="1863"/>
      <c r="T75" s="1863"/>
      <c r="U75" s="1863"/>
      <c r="V75" s="1863"/>
    </row>
    <row r="76" spans="1:22" ht="24.75">
      <c r="A76" s="357" t="s">
        <v>395</v>
      </c>
      <c r="B76" s="3618" t="s">
        <v>418</v>
      </c>
      <c r="C76" s="3660"/>
      <c r="D76" s="360">
        <f ca="1">IF(H76="转让取得",C99,C115)</f>
        <v>3130</v>
      </c>
      <c r="E76" s="17" t="s">
        <v>419</v>
      </c>
      <c r="F76" s="53" t="s">
        <v>21</v>
      </c>
      <c r="G76" s="359"/>
      <c r="H76" s="361" t="s">
        <v>3470</v>
      </c>
      <c r="I76" s="42"/>
      <c r="J76" s="1870"/>
      <c r="K76" s="2673" t="str">
        <f>IF(项目基本情况!K6="上海银行",IF(K75="",4,K75+1),"")</f>
        <v/>
      </c>
      <c r="L76" s="3614" t="str">
        <f>IF(项目基本情况!K6="上海银行","其他处置费用","")</f>
        <v/>
      </c>
      <c r="M76" s="3615"/>
      <c r="N76" s="1212" t="str">
        <f>IF(项目基本情况!K6="上海银行",N89,"")</f>
        <v/>
      </c>
      <c r="O76" s="3616" t="str">
        <f>IF(项目基本情况!K6="上海银行","包含处置中涉及的律师、诉讼、拍卖、评估等费用","")</f>
        <v/>
      </c>
      <c r="P76" s="3617"/>
      <c r="Q76" s="1863"/>
      <c r="R76" s="1863"/>
      <c r="S76" s="1863"/>
      <c r="T76" s="1863"/>
      <c r="U76" s="1863"/>
      <c r="V76" s="1863"/>
    </row>
    <row r="77" spans="1:22" ht="24.75" thickBot="1">
      <c r="A77" s="3629" t="s">
        <v>421</v>
      </c>
      <c r="B77" s="3630"/>
      <c r="C77" s="3630"/>
      <c r="D77" s="2916" t="str">
        <f>IF(H77="非个人房产","——",IF(H77="个人住宅（满五唯一有凭证）",0,IF(H77="个人其他（无凭证）",ROUND(D63*F77,0),ROUND(C84*F77,0))))</f>
        <v>——</v>
      </c>
      <c r="E77" s="2917" t="str">
        <f>IF(H77="非个人房产","——",IF(H77="个人其他（无凭证）","销售额×税（费）率",IF(H77="个人住宅（满五唯一有凭证）","免征","差额计税")))</f>
        <v>——</v>
      </c>
      <c r="F77" s="2918" t="str">
        <f>IF(OR(H77="非个人房产",H77="个人住宅（满五唯一有凭证）"),"——",IF(H77="个人其他（有凭证）",20%,1%))</f>
        <v>——</v>
      </c>
      <c r="G77" s="953" t="s">
        <v>413</v>
      </c>
      <c r="H77" s="2915" t="s">
        <v>3471</v>
      </c>
      <c r="I77" s="2914" t="s">
        <v>2699</v>
      </c>
      <c r="J77" s="1870"/>
      <c r="K77" s="3625">
        <f>IF(AND(K75="",K76=""),4,IF(项目基本情况!K6="上海银行",K76+1,K75+1))</f>
        <v>4</v>
      </c>
      <c r="L77" s="3603" t="s">
        <v>2596</v>
      </c>
      <c r="M77" s="2678" t="s">
        <v>417</v>
      </c>
      <c r="N77" s="1218"/>
      <c r="O77" s="1219">
        <f ca="1">SUMIF(N72:N76,"&lt;9e307")</f>
        <v>5689</v>
      </c>
      <c r="P77" s="1220"/>
      <c r="Q77" s="2676">
        <f ca="1">O77/N69</f>
        <v>0.11969534389530602</v>
      </c>
      <c r="R77" s="1863"/>
      <c r="S77" s="1863"/>
      <c r="T77" s="1863"/>
      <c r="U77" s="1863"/>
      <c r="V77" s="1863"/>
    </row>
    <row r="78" spans="1:22" ht="12" customHeight="1">
      <c r="A78" s="1221"/>
      <c r="B78" s="309"/>
      <c r="C78" s="309"/>
      <c r="D78" s="309"/>
      <c r="E78" s="42"/>
      <c r="F78" s="42"/>
      <c r="G78" s="42"/>
      <c r="H78" s="972"/>
      <c r="I78" s="309"/>
      <c r="J78" s="1870"/>
      <c r="K78" s="3625"/>
      <c r="L78" s="3603"/>
      <c r="M78" s="2678" t="s">
        <v>420</v>
      </c>
      <c r="N78" s="1218"/>
      <c r="O78" s="1219" t="str">
        <f ca="1">NUMBERSTRING(INT(O77*10000),2)&amp;"元整"</f>
        <v>伍仟陆佰捌拾玖万元整</v>
      </c>
      <c r="P78" s="1220"/>
      <c r="Q78" s="1863"/>
      <c r="R78" s="1863"/>
      <c r="S78" s="1863"/>
      <c r="T78" s="1863"/>
      <c r="U78" s="1863"/>
      <c r="V78" s="1863"/>
    </row>
    <row r="79" spans="1:22" ht="13.5" thickBot="1">
      <c r="A79" s="3680" t="s">
        <v>422</v>
      </c>
      <c r="B79" s="3680"/>
      <c r="C79" s="3680"/>
      <c r="D79" s="3680"/>
      <c r="E79" s="3680"/>
      <c r="F79" s="42"/>
      <c r="G79" s="42"/>
      <c r="H79" s="972"/>
      <c r="I79" s="309"/>
      <c r="J79" s="1870"/>
      <c r="K79" s="3601">
        <f>K77+1</f>
        <v>5</v>
      </c>
      <c r="L79" s="3603" t="s">
        <v>2597</v>
      </c>
      <c r="M79" s="2678" t="s">
        <v>417</v>
      </c>
      <c r="N79" s="1218"/>
      <c r="O79" s="1219">
        <f ca="1">N69-O77</f>
        <v>41840</v>
      </c>
      <c r="P79" s="1220"/>
      <c r="Q79" s="1863"/>
      <c r="R79" s="1863"/>
      <c r="S79" s="1863"/>
      <c r="T79" s="1863"/>
      <c r="U79" s="1863"/>
      <c r="V79" s="1863"/>
    </row>
    <row r="80" spans="1:22" ht="25.5">
      <c r="A80" s="3611" t="s">
        <v>423</v>
      </c>
      <c r="B80" s="3612"/>
      <c r="C80" s="963"/>
      <c r="D80" s="963" t="s">
        <v>424</v>
      </c>
      <c r="E80" s="364" t="s">
        <v>425</v>
      </c>
      <c r="F80" s="42"/>
      <c r="G80" s="42"/>
      <c r="H80" s="972"/>
      <c r="I80" s="309"/>
      <c r="J80" s="1863"/>
      <c r="K80" s="3602"/>
      <c r="L80" s="3603"/>
      <c r="M80" s="2678" t="s">
        <v>420</v>
      </c>
      <c r="N80" s="1218"/>
      <c r="O80" s="1219" t="str">
        <f ca="1">NUMBERSTRING(INT(O79*10000),2)&amp;"元整"</f>
        <v>肆亿壹仟捌佰肆拾万元整</v>
      </c>
      <c r="P80" s="1220"/>
      <c r="Q80" s="1863"/>
      <c r="R80" s="1863"/>
      <c r="S80" s="1863"/>
      <c r="T80" s="1863"/>
      <c r="U80" s="1863"/>
      <c r="V80" s="1863"/>
    </row>
    <row r="81" spans="1:26" ht="13.5" thickBot="1">
      <c r="A81" s="375" t="s">
        <v>1622</v>
      </c>
      <c r="B81" s="365" t="s">
        <v>426</v>
      </c>
      <c r="C81" s="366">
        <f ca="1">ROUND((C82+C83)/(1+'数据-取费表'!C42),0)</f>
        <v>45266</v>
      </c>
      <c r="D81" s="367"/>
      <c r="E81" s="368"/>
      <c r="F81" s="42"/>
      <c r="G81" s="42"/>
      <c r="H81" s="972"/>
      <c r="I81" s="309"/>
      <c r="J81" s="1863"/>
      <c r="K81" s="2673">
        <f>K79+1</f>
        <v>6</v>
      </c>
      <c r="L81" s="3623" t="s">
        <v>2598</v>
      </c>
      <c r="M81" s="3624"/>
      <c r="N81" s="1222"/>
      <c r="O81" s="1223">
        <f ca="1">ROUND(O79*10000/'数据-汇总表'!E3,0)</f>
        <v>2265</v>
      </c>
      <c r="P81" s="1224"/>
      <c r="Q81" s="1863"/>
      <c r="R81" s="1863"/>
      <c r="S81" s="1863"/>
      <c r="T81" s="1863"/>
      <c r="U81" s="1863"/>
      <c r="V81" s="1863"/>
    </row>
    <row r="82" spans="1:26" ht="13.5" thickTop="1">
      <c r="A82" s="369" t="s">
        <v>1623</v>
      </c>
      <c r="B82" s="370" t="s">
        <v>427</v>
      </c>
      <c r="C82" s="371">
        <f ca="1">D63</f>
        <v>47529</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13" t="s">
        <v>2586</v>
      </c>
      <c r="L83" s="2684" t="s">
        <v>2587</v>
      </c>
      <c r="M83" s="2674">
        <f ca="1">IF(N69&gt;10000,N69*0.5%,IF(AND(N69&gt;1000,N69&lt;=10000),N69*1%,IF(AND(N69&gt;100,N69&lt;=1000),N69*3%,IF(AND(N69&gt;10,N69&lt;=100),N69*5%,N69*8%))))</f>
        <v>237.64500000000001</v>
      </c>
      <c r="N83" s="53">
        <f ca="1">ROUND(M83,1)</f>
        <v>237.6</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13"/>
      <c r="L84" s="2684" t="s">
        <v>2588</v>
      </c>
      <c r="M84" s="2674">
        <f ca="1">IF(N69&gt;2000,N69*0.5%,IF(AND(N69&gt;1000,N69&lt;=2000),N69*0.6%,IF(AND(N69&gt;500,N69&lt;=1000),N69*0.7%,IF(AND(N69&gt;200,N69&lt;=500),N69*0.8%,IF(AND(N69&gt;100,N69&lt;=200),N69*0.9%,IF(AND(N69&gt;50,N69&lt;=100),N69*1%,IF(AND(N69&gt;20,N69&lt;=50),N69*1.5%,IF(AND(N69&gt;10,N69&lt;=20),N69*2%,IF(AND(N69&gt;1,N69&lt;=10),N69*2.5%)))))))))</f>
        <v>237.64500000000001</v>
      </c>
      <c r="N84" s="53">
        <f t="shared" ref="N84:N85" ca="1" si="2">ROUND(M84,1)</f>
        <v>237.6</v>
      </c>
      <c r="O84" s="1863" t="s">
        <v>2589</v>
      </c>
      <c r="P84" s="1863"/>
      <c r="Q84" s="1863"/>
      <c r="R84" s="1863"/>
      <c r="S84" s="1863"/>
      <c r="T84" s="1863"/>
      <c r="U84" s="1863"/>
      <c r="V84" s="1863"/>
    </row>
    <row r="85" spans="1:26" ht="12.75">
      <c r="A85" s="375" t="s">
        <v>1626</v>
      </c>
      <c r="B85" s="376" t="s">
        <v>430</v>
      </c>
      <c r="C85" s="379">
        <f ca="1">C81-C84</f>
        <v>45266</v>
      </c>
      <c r="D85" s="372" t="s">
        <v>19</v>
      </c>
      <c r="E85" s="373"/>
      <c r="F85" s="42"/>
      <c r="G85" s="42"/>
      <c r="H85" s="972"/>
      <c r="I85" s="309"/>
      <c r="J85" s="1863"/>
      <c r="K85" s="3613"/>
      <c r="L85" s="2684" t="s">
        <v>2590</v>
      </c>
      <c r="M85" s="2674">
        <f ca="1">IF(N69&gt;1000,N69*0.1%,IF(AND(N69&gt;500,N69&lt;=1000),N69*0.5%,IF(AND(N69&gt;50,N69&lt;=500),N69*1%,IF(AND(N69&gt;1,N69&lt;=50),N69*1.5%))))</f>
        <v>47.529000000000003</v>
      </c>
      <c r="N85" s="53">
        <f t="shared" ca="1" si="2"/>
        <v>47.5</v>
      </c>
      <c r="O85" s="1863" t="s">
        <v>2589</v>
      </c>
      <c r="P85" s="1863"/>
      <c r="Q85" s="1863"/>
      <c r="R85" s="1863"/>
      <c r="S85" s="1863"/>
      <c r="T85" s="1863"/>
      <c r="U85" s="1863"/>
      <c r="V85" s="1863"/>
    </row>
    <row r="86" spans="1:26" ht="13.5" thickBot="1">
      <c r="A86" s="380" t="s">
        <v>1627</v>
      </c>
      <c r="B86" s="381" t="s">
        <v>431</v>
      </c>
      <c r="C86" s="382">
        <f ca="1">IF(C85&lt;=0,0,ROUND(C85*D86,0))</f>
        <v>2535</v>
      </c>
      <c r="D86" s="383">
        <f>'数据-取费表'!B41</f>
        <v>5.6000000000000001E-2</v>
      </c>
      <c r="E86" s="384"/>
      <c r="F86" s="42"/>
      <c r="G86" s="42"/>
      <c r="H86" s="972"/>
      <c r="I86" s="309"/>
      <c r="J86" s="1863"/>
      <c r="K86" s="3613"/>
      <c r="L86" s="2684" t="s">
        <v>2591</v>
      </c>
      <c r="M86" s="2674">
        <f ca="1">N69*0.5%</f>
        <v>237.64500000000001</v>
      </c>
      <c r="N86" s="53">
        <f ca="1">IF(M86&gt;0.5,0.5,ROUND(M86,0))</f>
        <v>0.5</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13"/>
      <c r="L87" s="2684" t="s">
        <v>2593</v>
      </c>
      <c r="M87" s="2674">
        <f ca="1">IF(N69&gt;=10000,(8.25+(N69-10000)*0.01%),IF(AND(N69&gt;=8000,N69&lt;10000),(7.85+(N69-8000)*0.02%),IF(AND(N69&gt;=5000,N69&lt;8000),(6.65+(N69-5000)*0.04%),IF(AND(N69&gt;=2000,N69&lt;5000),(4.25+(PN69-2000)*0.08%),IF(AND(N69&gt;=1000,N69&lt;2000),(2.75+(N69-1000)*0.15%),IF(AND(N69&gt;=100,N69&lt;1000),(0.5+(N69-100)*0.25%),IF(AND(N69&gt;0,N69&lt;100),N69*0.5%)))))))</f>
        <v>12.0029</v>
      </c>
      <c r="N87" s="53">
        <f ca="1">ROUND(M87*0.9,1)</f>
        <v>10.8</v>
      </c>
      <c r="O87" s="2677"/>
      <c r="P87" s="1863"/>
      <c r="Q87" s="1863"/>
      <c r="R87" s="1863"/>
      <c r="S87" s="1863"/>
      <c r="T87" s="1863"/>
      <c r="U87" s="1863"/>
      <c r="V87" s="1863"/>
      <c r="W87" s="290"/>
      <c r="X87" s="290"/>
      <c r="Y87" s="290"/>
      <c r="Z87" s="290"/>
    </row>
    <row r="88" spans="1:26" s="1230" customFormat="1" ht="15" thickBot="1">
      <c r="A88" s="3652" t="s">
        <v>432</v>
      </c>
      <c r="B88" s="3653"/>
      <c r="C88" s="3653"/>
      <c r="D88" s="3653"/>
      <c r="E88" s="3653"/>
      <c r="F88" s="3653"/>
      <c r="G88" s="3653"/>
      <c r="H88" s="3653"/>
      <c r="I88" s="1231"/>
      <c r="J88" s="1871"/>
      <c r="K88" s="3613"/>
      <c r="L88" s="2684" t="s">
        <v>2594</v>
      </c>
      <c r="M88" s="2674">
        <f ca="1">IF(N69&gt;10000,N69*0.5%,IF(AND(N69&gt;5000,N69&lt;=10000),N69*1%,IF(AND(N69&gt;1000,N69&lt;=5000),N69*2%,IF(AND(N69&gt;200,N69&lt;=1000),N69*3%,N69*5%))))</f>
        <v>237.64500000000001</v>
      </c>
      <c r="N88" s="53">
        <f ca="1">ROUND(M88,1)</f>
        <v>237.6</v>
      </c>
      <c r="O88" s="2677"/>
      <c r="P88" s="1868"/>
      <c r="Q88" s="1868"/>
      <c r="R88" s="1868"/>
      <c r="S88" s="1868"/>
      <c r="T88" s="1868"/>
      <c r="U88" s="1868"/>
      <c r="V88" s="1868"/>
      <c r="W88" s="1872"/>
      <c r="X88" s="1872"/>
      <c r="Y88" s="1872"/>
      <c r="Z88" s="1872"/>
    </row>
    <row r="89" spans="1:26" s="1230" customFormat="1" ht="14.25">
      <c r="A89" s="3611" t="s">
        <v>423</v>
      </c>
      <c r="B89" s="3612"/>
      <c r="C89" s="963"/>
      <c r="D89" s="963" t="s">
        <v>424</v>
      </c>
      <c r="E89" s="385" t="s">
        <v>433</v>
      </c>
      <c r="F89" s="386"/>
      <c r="G89" s="386"/>
      <c r="H89" s="387"/>
      <c r="I89" s="1232"/>
      <c r="J89" s="1873"/>
      <c r="K89" s="3613"/>
      <c r="L89" s="2684" t="s">
        <v>27</v>
      </c>
      <c r="M89" s="2675"/>
      <c r="N89" s="53">
        <f ca="1">ROUND(SUM(N83:N88),0)</f>
        <v>772</v>
      </c>
      <c r="O89" s="2685">
        <f ca="1">N89/N69</f>
        <v>1.6242714974015863E-2</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45266</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272</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t="s">
        <v>3472</v>
      </c>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649" t="s">
        <v>441</v>
      </c>
      <c r="F94" s="3650"/>
      <c r="G94" s="3650"/>
      <c r="H94" s="3651"/>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t="s">
        <v>3473</v>
      </c>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272</v>
      </c>
      <c r="D96" s="400">
        <f>'数据-取费表'!B43</f>
        <v>6.000000000000001E-3</v>
      </c>
      <c r="E96" s="3608" t="s">
        <v>2214</v>
      </c>
      <c r="F96" s="3609"/>
      <c r="G96" s="3609"/>
      <c r="H96" s="3610"/>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44994</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165.41911764705881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26901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52" t="s">
        <v>448</v>
      </c>
      <c r="B101" s="3653"/>
      <c r="C101" s="3653"/>
      <c r="D101" s="3653"/>
      <c r="E101" s="3653"/>
      <c r="F101" s="3653"/>
      <c r="G101" s="3653"/>
      <c r="H101" s="3653"/>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11" t="s">
        <v>423</v>
      </c>
      <c r="B102" s="3612"/>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45266</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34833</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31419</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v>30196</v>
      </c>
      <c r="D106" s="400"/>
      <c r="E106" s="411" t="s">
        <v>451</v>
      </c>
      <c r="F106" s="955"/>
      <c r="G106" s="412" t="s">
        <v>452</v>
      </c>
      <c r="H106" s="413" t="s">
        <v>3475</v>
      </c>
      <c r="I106" s="11"/>
      <c r="J106" s="1868"/>
      <c r="K106" s="3149" t="s">
        <v>2719</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1223</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664" t="s">
        <v>2691</v>
      </c>
      <c r="H108" s="3665"/>
      <c r="I108" s="2774"/>
      <c r="J108" s="1868"/>
      <c r="K108" s="3149" t="s">
        <v>2720</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42" t="s">
        <v>456</v>
      </c>
      <c r="F109" s="3609"/>
      <c r="G109" s="3609"/>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3142</v>
      </c>
      <c r="D110" s="3180">
        <v>0.1</v>
      </c>
      <c r="E110" s="3642" t="s">
        <v>458</v>
      </c>
      <c r="F110" s="3609"/>
      <c r="G110" s="3609"/>
      <c r="H110" s="3610"/>
      <c r="I110" s="11"/>
      <c r="J110" s="1868"/>
      <c r="K110" s="3150" t="s">
        <v>2721</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272</v>
      </c>
      <c r="D111" s="400">
        <f>'数据-取费表'!B43</f>
        <v>6.000000000000001E-3</v>
      </c>
      <c r="E111" s="3608" t="s">
        <v>2214</v>
      </c>
      <c r="F111" s="3609"/>
      <c r="G111" s="3609"/>
      <c r="H111" s="3610"/>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42" t="s">
        <v>2233</v>
      </c>
      <c r="F112" s="3609"/>
      <c r="G112" s="3609"/>
      <c r="H112" s="3610"/>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10433</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0.29951482789308986</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3130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8:H20"/>
  <sheetViews>
    <sheetView topLeftCell="E1" workbookViewId="0">
      <selection activeCell="I24" sqref="I24"/>
    </sheetView>
  </sheetViews>
  <sheetFormatPr defaultRowHeight="13.5"/>
  <cols>
    <col min="6" max="6" width="5.875" customWidth="1"/>
    <col min="7" max="7" width="13.25" customWidth="1"/>
    <col min="8" max="8" width="48.5" customWidth="1"/>
  </cols>
  <sheetData>
    <row r="8" spans="6:8">
      <c r="F8" s="3579" t="str">
        <f>结果表!K64</f>
        <v>预计处置时需缴纳的各项地价、税费清单计算明细表</v>
      </c>
      <c r="G8" s="3579"/>
      <c r="H8" s="3579"/>
    </row>
    <row r="9" spans="6:8">
      <c r="F9" s="3579" t="str">
        <f>结果表!N65</f>
        <v>估价对象基本情况</v>
      </c>
      <c r="G9" s="3579"/>
      <c r="H9" s="3579"/>
    </row>
    <row r="10" spans="6:8">
      <c r="F10" s="3503">
        <f>结果表!K66</f>
        <v>1</v>
      </c>
      <c r="G10" s="3503" t="str">
        <f>结果表!L66</f>
        <v>估价对象</v>
      </c>
      <c r="H10" s="3503" t="s">
        <v>3477</v>
      </c>
    </row>
    <row r="11" spans="6:8">
      <c r="F11" s="3503">
        <f>结果表!K67</f>
        <v>2</v>
      </c>
      <c r="G11" s="3503" t="str">
        <f>结果表!L67</f>
        <v>价值时点</v>
      </c>
      <c r="H11" s="3504">
        <f>结果表!N67</f>
        <v>44895</v>
      </c>
    </row>
    <row r="12" spans="6:8">
      <c r="F12" s="3503">
        <f>结果表!K68</f>
        <v>3</v>
      </c>
      <c r="G12" s="3503" t="str">
        <f>结果表!L68</f>
        <v>评估总值</v>
      </c>
      <c r="H12" s="3503">
        <f ca="1">结果表!N68</f>
        <v>47529</v>
      </c>
    </row>
    <row r="13" spans="6:8">
      <c r="F13" s="3503">
        <f>结果表!K69</f>
        <v>4</v>
      </c>
      <c r="G13" s="3503" t="str">
        <f>结果表!L69</f>
        <v>土地抵押价格</v>
      </c>
      <c r="H13" s="3503">
        <f ca="1">结果表!N69</f>
        <v>47529</v>
      </c>
    </row>
    <row r="14" spans="6:8">
      <c r="F14" s="3579" t="str">
        <f>结果表!N70</f>
        <v>处置时需缴纳的相关税费</v>
      </c>
      <c r="G14" s="3579"/>
      <c r="H14" s="3579"/>
    </row>
    <row r="15" spans="6:8">
      <c r="F15" s="3503" t="str">
        <f>结果表!K71</f>
        <v>序号</v>
      </c>
      <c r="G15" s="3503" t="str">
        <f>结果表!L71</f>
        <v>税（费）种</v>
      </c>
      <c r="H15" s="3503" t="s">
        <v>3476</v>
      </c>
    </row>
    <row r="16" spans="6:8">
      <c r="F16" s="3503">
        <f>结果表!K72</f>
        <v>1</v>
      </c>
      <c r="G16" s="3503" t="str">
        <f>结果表!L72</f>
        <v>增值税及附加</v>
      </c>
      <c r="H16" s="3503">
        <f ca="1">结果表!N72</f>
        <v>2535</v>
      </c>
    </row>
    <row r="17" spans="6:8">
      <c r="F17" s="3503">
        <f>结果表!K73</f>
        <v>2</v>
      </c>
      <c r="G17" s="3503" t="str">
        <f>结果表!L73</f>
        <v>印花税</v>
      </c>
      <c r="H17" s="3503">
        <f ca="1">结果表!N73</f>
        <v>24</v>
      </c>
    </row>
    <row r="18" spans="6:8">
      <c r="F18" s="3503">
        <f>结果表!K74</f>
        <v>3</v>
      </c>
      <c r="G18" s="3503" t="str">
        <f>结果表!L74</f>
        <v>土地增值税</v>
      </c>
      <c r="H18" s="3503">
        <f ca="1">结果表!N74</f>
        <v>3130</v>
      </c>
    </row>
    <row r="19" spans="6:8">
      <c r="F19" s="3503">
        <f>结果表!K77</f>
        <v>4</v>
      </c>
      <c r="G19" s="3503" t="str">
        <f>结果表!L77</f>
        <v>合计</v>
      </c>
      <c r="H19" s="3503">
        <f ca="1">结果表!O77</f>
        <v>5689</v>
      </c>
    </row>
    <row r="20" spans="6:8">
      <c r="F20" s="3503">
        <f>结果表!K79</f>
        <v>5</v>
      </c>
      <c r="G20" s="3503" t="str">
        <f>结果表!L79</f>
        <v>抵押净值</v>
      </c>
      <c r="H20" s="3503">
        <f ca="1">结果表!O79</f>
        <v>41840</v>
      </c>
    </row>
  </sheetData>
  <mergeCells count="3">
    <mergeCell ref="F8:H8"/>
    <mergeCell ref="F9:H9"/>
    <mergeCell ref="F14:H14"/>
  </mergeCells>
  <phoneticPr fontId="22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505" t="str">
        <f>项目基本情况!B1</f>
        <v>出让国有建设用地使用权市场价格预评估</v>
      </c>
      <c r="C37" s="3505"/>
      <c r="D37" s="3505"/>
      <c r="E37" s="3505"/>
      <c r="F37" s="3505"/>
      <c r="G37" s="3505"/>
      <c r="H37" s="3505"/>
      <c r="I37" s="3505"/>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zoomScaleSheetLayoutView="70" workbookViewId="0">
      <selection activeCell="C5" sqref="C5"/>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44782</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2424</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19212</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1281</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704" t="s">
        <v>505</v>
      </c>
      <c r="D6" s="3705"/>
      <c r="E6" s="3704" t="s">
        <v>506</v>
      </c>
      <c r="F6" s="3705"/>
      <c r="G6" s="3704" t="s">
        <v>507</v>
      </c>
      <c r="H6" s="3705"/>
      <c r="I6" s="3704" t="s">
        <v>508</v>
      </c>
      <c r="J6" s="3705"/>
      <c r="K6" s="491" t="s">
        <v>509</v>
      </c>
      <c r="L6" s="1967"/>
      <c r="M6" s="1966"/>
      <c r="N6" s="1966"/>
      <c r="O6" s="1968"/>
      <c r="P6" s="3706" t="s">
        <v>510</v>
      </c>
      <c r="Q6" s="3707"/>
      <c r="R6" s="3690" t="s">
        <v>506</v>
      </c>
      <c r="S6" s="3691"/>
      <c r="T6" s="3690" t="s">
        <v>507</v>
      </c>
      <c r="U6" s="3691"/>
      <c r="V6" s="3712" t="s">
        <v>508</v>
      </c>
      <c r="W6" s="3712"/>
      <c r="X6" s="1455"/>
      <c r="Y6" s="3690" t="s">
        <v>510</v>
      </c>
      <c r="Z6" s="3691"/>
      <c r="AA6" s="3685" t="s">
        <v>506</v>
      </c>
      <c r="AB6" s="3686" t="s">
        <v>507</v>
      </c>
      <c r="AC6" s="3685" t="s">
        <v>508</v>
      </c>
    </row>
    <row r="7" spans="1:30" ht="20.25">
      <c r="A7" s="492"/>
      <c r="B7" s="493"/>
      <c r="C7" s="3715" t="s">
        <v>2630</v>
      </c>
      <c r="D7" s="3716"/>
      <c r="E7" s="3719" t="str">
        <f>土地案例!$A$9</f>
        <v>宋固街(民富路)西、顺昌路(北岗路)北</v>
      </c>
      <c r="F7" s="3720"/>
      <c r="G7" s="3715" t="str">
        <f>土地案例!A31</f>
        <v>槐荫街南、弯月路西</v>
      </c>
      <c r="H7" s="3716"/>
      <c r="I7" s="3719" t="str">
        <f>土地案例!$A$18</f>
        <v>关庙街(风茂街)南、民和北街(许庄路)西</v>
      </c>
      <c r="J7" s="3720"/>
      <c r="K7" s="491"/>
      <c r="L7" s="1967"/>
      <c r="M7" s="1966"/>
      <c r="N7" s="1966"/>
      <c r="O7" s="1968"/>
      <c r="P7" s="3708"/>
      <c r="Q7" s="3709"/>
      <c r="R7" s="3692"/>
      <c r="S7" s="3693"/>
      <c r="T7" s="3692"/>
      <c r="U7" s="3693"/>
      <c r="V7" s="3712"/>
      <c r="W7" s="3712"/>
      <c r="X7" s="1455"/>
      <c r="Y7" s="3692"/>
      <c r="Z7" s="3693"/>
      <c r="AA7" s="3686"/>
      <c r="AB7" s="3686"/>
      <c r="AC7" s="3686"/>
    </row>
    <row r="8" spans="1:30" ht="21" thickBot="1">
      <c r="A8" s="492"/>
      <c r="B8" s="493"/>
      <c r="C8" s="3717" t="s">
        <v>2634</v>
      </c>
      <c r="D8" s="3718"/>
      <c r="E8" s="3717" t="s">
        <v>2634</v>
      </c>
      <c r="F8" s="3718"/>
      <c r="G8" s="3713" t="s">
        <v>2634</v>
      </c>
      <c r="H8" s="3714"/>
      <c r="I8" s="3713" t="s">
        <v>2634</v>
      </c>
      <c r="J8" s="3714"/>
      <c r="K8" s="491" t="s">
        <v>511</v>
      </c>
      <c r="L8" s="1967"/>
      <c r="M8" s="1966"/>
      <c r="N8" s="1966"/>
      <c r="O8" s="1968"/>
      <c r="P8" s="3710"/>
      <c r="Q8" s="3711"/>
      <c r="R8" s="3692"/>
      <c r="S8" s="3693"/>
      <c r="T8" s="3694"/>
      <c r="U8" s="3695"/>
      <c r="V8" s="3712"/>
      <c r="W8" s="3712"/>
      <c r="X8" s="1455"/>
      <c r="Y8" s="3694"/>
      <c r="Z8" s="3695"/>
      <c r="AA8" s="3687"/>
      <c r="AB8" s="3687"/>
      <c r="AC8" s="3687"/>
    </row>
    <row r="9" spans="1:30" s="1165" customFormat="1" ht="21" thickBot="1">
      <c r="A9" s="2548"/>
      <c r="B9" s="2555" t="s">
        <v>512</v>
      </c>
      <c r="C9" s="2547">
        <f>'数据-取费表'!B2</f>
        <v>44895</v>
      </c>
      <c r="D9" s="497">
        <v>100</v>
      </c>
      <c r="E9" s="498" t="str">
        <f>土地案例!$K$9</f>
        <v>2022-09-21</v>
      </c>
      <c r="F9" s="499">
        <f>SUMIF(71:71,YEAR(E9)&amp;"-"&amp;INT((MONTH(E9)+2)/3),72:72)</f>
        <v>99.5</v>
      </c>
      <c r="G9" s="500" t="str">
        <f>土地案例!K31</f>
        <v>2021-03-12</v>
      </c>
      <c r="H9" s="497">
        <f>SUMIF(71:71,YEAR(G9)&amp;"-"&amp;INT((MONTH(G9)+2)/3),72:72)</f>
        <v>96.5</v>
      </c>
      <c r="I9" s="500" t="str">
        <f>土地案例!$K$18</f>
        <v>2021-12-27</v>
      </c>
      <c r="J9" s="497">
        <f>SUMIF(71:71,YEAR(I9)&amp;"-"&amp;INT((MONTH(I9)+2)/3),72:72)</f>
        <v>98</v>
      </c>
      <c r="K9" s="501"/>
      <c r="L9" s="1969"/>
      <c r="M9" s="1966"/>
      <c r="N9" s="1966"/>
      <c r="O9" s="1970"/>
      <c r="P9" s="3688" t="s">
        <v>513</v>
      </c>
      <c r="Q9" s="3697"/>
      <c r="R9" s="1456" t="s">
        <v>8</v>
      </c>
      <c r="S9" s="1457">
        <f t="shared" ref="S9:S17" si="0">F9</f>
        <v>99.5</v>
      </c>
      <c r="T9" s="1456" t="s">
        <v>8</v>
      </c>
      <c r="U9" s="1457">
        <f t="shared" ref="U9:U17" si="1">H9</f>
        <v>96.5</v>
      </c>
      <c r="V9" s="1456" t="s">
        <v>8</v>
      </c>
      <c r="W9" s="1457">
        <f t="shared" ref="W9:W17" si="2">J9</f>
        <v>98</v>
      </c>
      <c r="X9" s="1458"/>
      <c r="Y9" s="3688" t="s">
        <v>513</v>
      </c>
      <c r="Z9" s="3689"/>
      <c r="AA9" s="1459">
        <f>D9/F9</f>
        <v>1.0050251256281406</v>
      </c>
      <c r="AB9" s="1459">
        <f>D9/H9</f>
        <v>1.0362694300518134</v>
      </c>
      <c r="AC9" s="1459">
        <f>D9/J9</f>
        <v>1.0204081632653061</v>
      </c>
    </row>
    <row r="10" spans="1:30" s="1165" customFormat="1" ht="21" thickBot="1">
      <c r="A10" s="2549"/>
      <c r="B10" s="2556" t="s">
        <v>514</v>
      </c>
      <c r="C10" s="828" t="s">
        <v>515</v>
      </c>
      <c r="D10" s="497">
        <v>100</v>
      </c>
      <c r="E10" s="502" t="s">
        <v>3379</v>
      </c>
      <c r="F10" s="499">
        <f>SUMIF(74:74,E10,75:75)-SUMIF(74:74,C10,75:75)+100</f>
        <v>100</v>
      </c>
      <c r="G10" s="3473" t="s">
        <v>3384</v>
      </c>
      <c r="H10" s="497">
        <f>SUMIF(74:74,G10,75:75)-SUMIF(74:74,C10,75:75)+100</f>
        <v>100</v>
      </c>
      <c r="I10" s="3473" t="s">
        <v>3389</v>
      </c>
      <c r="J10" s="497">
        <f>SUMIF(74:74,I10,75:75)-SUMIF(74:74,C10,75:75)+100</f>
        <v>100</v>
      </c>
      <c r="K10" s="501"/>
      <c r="L10" s="1969"/>
      <c r="M10" s="1966"/>
      <c r="N10" s="1966"/>
      <c r="O10" s="1970"/>
      <c r="P10" s="3688" t="s">
        <v>516</v>
      </c>
      <c r="Q10" s="3689"/>
      <c r="R10" s="1456" t="s">
        <v>8</v>
      </c>
      <c r="S10" s="1457">
        <f t="shared" si="0"/>
        <v>100</v>
      </c>
      <c r="T10" s="1456" t="s">
        <v>8</v>
      </c>
      <c r="U10" s="1457">
        <f t="shared" si="1"/>
        <v>100</v>
      </c>
      <c r="V10" s="1456" t="s">
        <v>8</v>
      </c>
      <c r="W10" s="1457">
        <f t="shared" si="2"/>
        <v>100</v>
      </c>
      <c r="X10" s="1458"/>
      <c r="Y10" s="3688" t="s">
        <v>516</v>
      </c>
      <c r="Z10" s="3689"/>
      <c r="AA10" s="1459">
        <f t="shared" ref="AA10:AA47" si="3">D10/F10</f>
        <v>1</v>
      </c>
      <c r="AB10" s="1459">
        <f t="shared" ref="AB10:AB47" si="4">D10/H10</f>
        <v>1</v>
      </c>
      <c r="AC10" s="1459">
        <f t="shared" ref="AC10:AC47" si="5">D10/J10</f>
        <v>1</v>
      </c>
    </row>
    <row r="11" spans="1:30" s="1165" customFormat="1" ht="20.25">
      <c r="A11" s="2550"/>
      <c r="B11" s="2557" t="s">
        <v>2472</v>
      </c>
      <c r="C11" s="3478" t="s">
        <v>3398</v>
      </c>
      <c r="D11" s="252">
        <v>100</v>
      </c>
      <c r="E11" s="3479" t="s">
        <v>901</v>
      </c>
      <c r="F11" s="252">
        <f>SUMIF(76:76,E11,77:77)-SUMIF(76:76,C11,77:77)+100</f>
        <v>105</v>
      </c>
      <c r="G11" s="3479" t="s">
        <v>3400</v>
      </c>
      <c r="H11" s="252">
        <f>SUMIF(76:76,G11,77:77)-SUMIF(76:76,C11,77:77)+100</f>
        <v>100</v>
      </c>
      <c r="I11" s="3479" t="s">
        <v>3401</v>
      </c>
      <c r="J11" s="252">
        <f>SUMIF(76:76,I11,77:77)-SUMIF(76:76,C11,77:77)+100</f>
        <v>100</v>
      </c>
      <c r="K11" s="501"/>
      <c r="L11" s="1969"/>
      <c r="M11" s="1966"/>
      <c r="N11" s="1966"/>
      <c r="O11" s="1971"/>
      <c r="P11" s="3696" t="s">
        <v>518</v>
      </c>
      <c r="Q11" s="1096" t="str">
        <f t="shared" ref="Q11:Q17" si="6">B11</f>
        <v>用途</v>
      </c>
      <c r="R11" s="1456" t="s">
        <v>8</v>
      </c>
      <c r="S11" s="1457">
        <f t="shared" si="0"/>
        <v>105</v>
      </c>
      <c r="T11" s="1456" t="s">
        <v>8</v>
      </c>
      <c r="U11" s="1457">
        <f t="shared" si="1"/>
        <v>100</v>
      </c>
      <c r="V11" s="1456" t="s">
        <v>8</v>
      </c>
      <c r="W11" s="1457">
        <f t="shared" si="2"/>
        <v>100</v>
      </c>
      <c r="X11" s="1458"/>
      <c r="Y11" s="3648" t="s">
        <v>519</v>
      </c>
      <c r="Z11" s="1095" t="str">
        <f t="shared" ref="Z11:Z17" si="7">Q11</f>
        <v>用途</v>
      </c>
      <c r="AA11" s="1459">
        <f t="shared" si="3"/>
        <v>0.95238095238095233</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96"/>
      <c r="Q12" s="1096" t="str">
        <f t="shared" si="6"/>
        <v>土地使用年限（年）</v>
      </c>
      <c r="R12" s="1456" t="s">
        <v>8</v>
      </c>
      <c r="S12" s="1457">
        <f t="shared" si="0"/>
        <v>102</v>
      </c>
      <c r="T12" s="1456" t="s">
        <v>8</v>
      </c>
      <c r="U12" s="1457">
        <f t="shared" si="1"/>
        <v>102</v>
      </c>
      <c r="V12" s="1456" t="s">
        <v>8</v>
      </c>
      <c r="W12" s="1457">
        <f t="shared" si="2"/>
        <v>102</v>
      </c>
      <c r="X12" s="1458"/>
      <c r="Y12" s="3648"/>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5.65</v>
      </c>
      <c r="D13" s="253">
        <v>100</v>
      </c>
      <c r="E13" s="510">
        <v>3.65</v>
      </c>
      <c r="F13" s="253">
        <f>LOOKUP(E13,81:81,82:82)-LOOKUP(C13,81:81,82:82)+100</f>
        <v>108</v>
      </c>
      <c r="G13" s="511">
        <v>3.6</v>
      </c>
      <c r="H13" s="253">
        <f>LOOKUP(G13,81:81,82:82)-LOOKUP(C13,81:81,82:82)+100</f>
        <v>108</v>
      </c>
      <c r="I13" s="510">
        <v>4.2</v>
      </c>
      <c r="J13" s="253">
        <f>LOOKUP(I13,81:81,82:82)-LOOKUP(C13,81:81,82:82)+100</f>
        <v>106</v>
      </c>
      <c r="K13" s="512">
        <v>2</v>
      </c>
      <c r="L13" s="1974"/>
      <c r="M13" s="1966"/>
      <c r="N13" s="1966"/>
      <c r="O13" s="1975"/>
      <c r="P13" s="3696"/>
      <c r="Q13" s="1096" t="str">
        <f t="shared" si="6"/>
        <v>容积率</v>
      </c>
      <c r="R13" s="1456" t="s">
        <v>8</v>
      </c>
      <c r="S13" s="1457">
        <f t="shared" si="0"/>
        <v>108</v>
      </c>
      <c r="T13" s="1456" t="s">
        <v>8</v>
      </c>
      <c r="U13" s="1457">
        <f t="shared" si="1"/>
        <v>108</v>
      </c>
      <c r="V13" s="1456" t="s">
        <v>8</v>
      </c>
      <c r="W13" s="1457">
        <f t="shared" si="2"/>
        <v>106</v>
      </c>
      <c r="X13" s="1458"/>
      <c r="Y13" s="3648"/>
      <c r="Z13" s="1095" t="str">
        <f t="shared" si="7"/>
        <v>容积率</v>
      </c>
      <c r="AA13" s="1459">
        <f t="shared" si="3"/>
        <v>0.92592592592592593</v>
      </c>
      <c r="AB13" s="1459">
        <f t="shared" si="4"/>
        <v>0.92592592592592593</v>
      </c>
      <c r="AC13" s="1459">
        <f t="shared" si="5"/>
        <v>0.94339622641509435</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96"/>
      <c r="Q14" s="1096" t="str">
        <f t="shared" si="6"/>
        <v>配建</v>
      </c>
      <c r="R14" s="1456" t="s">
        <v>8</v>
      </c>
      <c r="S14" s="1457">
        <f t="shared" si="0"/>
        <v>100</v>
      </c>
      <c r="T14" s="1456" t="s">
        <v>8</v>
      </c>
      <c r="U14" s="1457">
        <f t="shared" si="1"/>
        <v>100</v>
      </c>
      <c r="V14" s="1456" t="s">
        <v>8</v>
      </c>
      <c r="W14" s="1457">
        <f t="shared" si="2"/>
        <v>100</v>
      </c>
      <c r="X14" s="1458"/>
      <c r="Y14" s="3648"/>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96"/>
      <c r="Q15" s="1096">
        <f t="shared" si="6"/>
        <v>111</v>
      </c>
      <c r="R15" s="1456" t="s">
        <v>8</v>
      </c>
      <c r="S15" s="1457">
        <f t="shared" si="0"/>
        <v>100</v>
      </c>
      <c r="T15" s="1456" t="s">
        <v>8</v>
      </c>
      <c r="U15" s="1457">
        <f t="shared" si="1"/>
        <v>100</v>
      </c>
      <c r="V15" s="1456" t="s">
        <v>8</v>
      </c>
      <c r="W15" s="1457">
        <f t="shared" si="2"/>
        <v>100</v>
      </c>
      <c r="X15" s="1458"/>
      <c r="Y15" s="3648"/>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96"/>
      <c r="Q16" s="1096">
        <f t="shared" si="6"/>
        <v>111</v>
      </c>
      <c r="R16" s="1456" t="s">
        <v>8</v>
      </c>
      <c r="S16" s="1457">
        <f t="shared" si="0"/>
        <v>100</v>
      </c>
      <c r="T16" s="1456" t="s">
        <v>8</v>
      </c>
      <c r="U16" s="1457">
        <f t="shared" si="1"/>
        <v>100</v>
      </c>
      <c r="V16" s="1456" t="s">
        <v>8</v>
      </c>
      <c r="W16" s="1457">
        <f t="shared" si="2"/>
        <v>100</v>
      </c>
      <c r="X16" s="1458"/>
      <c r="Y16" s="3648"/>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98" t="s">
        <v>523</v>
      </c>
      <c r="Q17" s="1460" t="str">
        <f t="shared" si="6"/>
        <v>居住社区成熟度</v>
      </c>
      <c r="R17" s="1461" t="s">
        <v>8</v>
      </c>
      <c r="S17" s="1462">
        <f t="shared" si="0"/>
        <v>100</v>
      </c>
      <c r="T17" s="1461" t="s">
        <v>8</v>
      </c>
      <c r="U17" s="1462">
        <f t="shared" si="1"/>
        <v>100</v>
      </c>
      <c r="V17" s="1461" t="s">
        <v>8</v>
      </c>
      <c r="W17" s="1462">
        <f t="shared" si="2"/>
        <v>100</v>
      </c>
      <c r="X17" s="1455"/>
      <c r="Y17" s="3698" t="s">
        <v>523</v>
      </c>
      <c r="Z17" s="1463" t="str">
        <f t="shared" si="7"/>
        <v>居住社区成熟度</v>
      </c>
      <c r="AA17" s="1464">
        <f t="shared" si="3"/>
        <v>1</v>
      </c>
      <c r="AB17" s="1464">
        <f t="shared" si="4"/>
        <v>1</v>
      </c>
      <c r="AC17" s="1464">
        <f t="shared" si="5"/>
        <v>1</v>
      </c>
    </row>
    <row r="18" spans="1:29" ht="20.25">
      <c r="A18" s="509"/>
      <c r="B18" s="530"/>
      <c r="C18" s="3470" t="s">
        <v>3381</v>
      </c>
      <c r="D18" s="534"/>
      <c r="E18" s="3464" t="s">
        <v>3381</v>
      </c>
      <c r="F18" s="532"/>
      <c r="G18" s="3474" t="s">
        <v>3381</v>
      </c>
      <c r="H18" s="536"/>
      <c r="I18" s="3464" t="s">
        <v>3381</v>
      </c>
      <c r="J18" s="532"/>
      <c r="K18" s="508"/>
      <c r="L18" s="1976"/>
      <c r="M18" s="1966"/>
      <c r="N18" s="1966"/>
      <c r="O18" s="1975"/>
      <c r="P18" s="3699"/>
      <c r="Q18" s="1460"/>
      <c r="R18" s="1461"/>
      <c r="S18" s="1462"/>
      <c r="T18" s="1461"/>
      <c r="U18" s="1462"/>
      <c r="V18" s="1461"/>
      <c r="W18" s="1462"/>
      <c r="X18" s="1455"/>
      <c r="Y18" s="3699"/>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699"/>
      <c r="Q19" s="1460" t="str">
        <f>B19</f>
        <v>商业繁华度</v>
      </c>
      <c r="R19" s="1461" t="s">
        <v>8</v>
      </c>
      <c r="S19" s="1462">
        <f>F19</f>
        <v>100</v>
      </c>
      <c r="T19" s="1461" t="s">
        <v>8</v>
      </c>
      <c r="U19" s="1462">
        <f>H19</f>
        <v>100</v>
      </c>
      <c r="V19" s="1461" t="s">
        <v>8</v>
      </c>
      <c r="W19" s="1462">
        <f>J19</f>
        <v>100</v>
      </c>
      <c r="X19" s="1455"/>
      <c r="Y19" s="3699"/>
      <c r="Z19" s="1463" t="str">
        <f>Q19</f>
        <v>商业繁华度</v>
      </c>
      <c r="AA19" s="1464">
        <f t="shared" si="3"/>
        <v>1</v>
      </c>
      <c r="AB19" s="1464">
        <f t="shared" si="4"/>
        <v>1</v>
      </c>
      <c r="AC19" s="1464">
        <f t="shared" si="5"/>
        <v>1</v>
      </c>
    </row>
    <row r="20" spans="1:29" ht="20.25">
      <c r="A20" s="509"/>
      <c r="B20" s="543"/>
      <c r="C20" s="3471" t="s">
        <v>3381</v>
      </c>
      <c r="D20" s="540"/>
      <c r="E20" s="3465" t="s">
        <v>3381</v>
      </c>
      <c r="F20" s="536"/>
      <c r="G20" s="3475" t="s">
        <v>3381</v>
      </c>
      <c r="H20" s="532"/>
      <c r="I20" s="3465" t="s">
        <v>3381</v>
      </c>
      <c r="J20" s="532"/>
      <c r="K20" s="508"/>
      <c r="L20" s="1976"/>
      <c r="M20" s="1966"/>
      <c r="N20" s="1966"/>
      <c r="O20" s="1975"/>
      <c r="P20" s="3699"/>
      <c r="Q20" s="1460"/>
      <c r="R20" s="1461"/>
      <c r="S20" s="1462"/>
      <c r="T20" s="1461"/>
      <c r="U20" s="1462"/>
      <c r="V20" s="1461"/>
      <c r="W20" s="1462"/>
      <c r="X20" s="1455"/>
      <c r="Y20" s="3699"/>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699"/>
      <c r="Q21" s="1460" t="str">
        <f>B21</f>
        <v>办公集聚程度</v>
      </c>
      <c r="R21" s="1461" t="s">
        <v>8</v>
      </c>
      <c r="S21" s="1462">
        <f>F21</f>
        <v>100</v>
      </c>
      <c r="T21" s="1461" t="s">
        <v>8</v>
      </c>
      <c r="U21" s="1462">
        <f>H21</f>
        <v>100</v>
      </c>
      <c r="V21" s="1461" t="s">
        <v>8</v>
      </c>
      <c r="W21" s="1462">
        <f>J21</f>
        <v>100</v>
      </c>
      <c r="X21" s="1455"/>
      <c r="Y21" s="3699"/>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699"/>
      <c r="Q22" s="1460"/>
      <c r="R22" s="1461"/>
      <c r="S22" s="1462"/>
      <c r="T22" s="1461"/>
      <c r="U22" s="1462"/>
      <c r="V22" s="1461"/>
      <c r="W22" s="1462"/>
      <c r="X22" s="1455"/>
      <c r="Y22" s="3699"/>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699"/>
      <c r="Q23" s="1460" t="str">
        <f>B23</f>
        <v>交通便捷度</v>
      </c>
      <c r="R23" s="1461" t="s">
        <v>8</v>
      </c>
      <c r="S23" s="1462">
        <f>F23</f>
        <v>100</v>
      </c>
      <c r="T23" s="1461" t="s">
        <v>8</v>
      </c>
      <c r="U23" s="1462">
        <f>H23</f>
        <v>100</v>
      </c>
      <c r="V23" s="1461" t="s">
        <v>8</v>
      </c>
      <c r="W23" s="1462">
        <f>J23</f>
        <v>100</v>
      </c>
      <c r="X23" s="1455"/>
      <c r="Y23" s="3699"/>
      <c r="Z23" s="1463" t="str">
        <f>Q23</f>
        <v>交通便捷度</v>
      </c>
      <c r="AA23" s="1464">
        <f t="shared" si="3"/>
        <v>1</v>
      </c>
      <c r="AB23" s="1464">
        <f t="shared" si="4"/>
        <v>1</v>
      </c>
      <c r="AC23" s="1464">
        <f t="shared" si="5"/>
        <v>1</v>
      </c>
    </row>
    <row r="24" spans="1:29" ht="20.25">
      <c r="A24" s="509"/>
      <c r="B24" s="555"/>
      <c r="C24" s="3470" t="s">
        <v>3381</v>
      </c>
      <c r="D24" s="534"/>
      <c r="E24" s="535" t="s">
        <v>3380</v>
      </c>
      <c r="F24" s="532"/>
      <c r="G24" s="3474" t="s">
        <v>3381</v>
      </c>
      <c r="H24" s="532"/>
      <c r="I24" s="3464" t="s">
        <v>3381</v>
      </c>
      <c r="J24" s="532"/>
      <c r="K24" s="508"/>
      <c r="L24" s="1976"/>
      <c r="M24" s="1966"/>
      <c r="N24" s="1966"/>
      <c r="O24" s="1975"/>
      <c r="P24" s="3699"/>
      <c r="Q24" s="1460"/>
      <c r="R24" s="1461"/>
      <c r="S24" s="1462"/>
      <c r="T24" s="1461"/>
      <c r="U24" s="1462"/>
      <c r="V24" s="1461"/>
      <c r="W24" s="1462"/>
      <c r="X24" s="1455"/>
      <c r="Y24" s="3699"/>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699"/>
      <c r="Q25" s="1460" t="str">
        <f t="shared" ref="Q25:Q39" si="8">B25</f>
        <v>区域土地利用方向</v>
      </c>
      <c r="R25" s="1461" t="s">
        <v>8</v>
      </c>
      <c r="S25" s="1462">
        <f>F25</f>
        <v>100</v>
      </c>
      <c r="T25" s="1461" t="s">
        <v>8</v>
      </c>
      <c r="U25" s="1462">
        <f>H25</f>
        <v>100</v>
      </c>
      <c r="V25" s="1461" t="s">
        <v>8</v>
      </c>
      <c r="W25" s="1462">
        <f>J25</f>
        <v>100</v>
      </c>
      <c r="X25" s="1455"/>
      <c r="Y25" s="3699"/>
      <c r="Z25" s="1463" t="str">
        <f>Q25</f>
        <v>区域土地利用方向</v>
      </c>
      <c r="AA25" s="1464">
        <f t="shared" si="3"/>
        <v>1</v>
      </c>
      <c r="AB25" s="1464">
        <f t="shared" si="4"/>
        <v>1</v>
      </c>
      <c r="AC25" s="1464">
        <f t="shared" si="5"/>
        <v>1</v>
      </c>
    </row>
    <row r="26" spans="1:29" ht="20.25">
      <c r="A26" s="492"/>
      <c r="B26" s="975"/>
      <c r="C26" s="3470" t="s">
        <v>3381</v>
      </c>
      <c r="D26" s="534"/>
      <c r="E26" s="3464" t="s">
        <v>3381</v>
      </c>
      <c r="F26" s="532"/>
      <c r="G26" s="3474" t="s">
        <v>3381</v>
      </c>
      <c r="H26" s="532"/>
      <c r="I26" s="3464" t="s">
        <v>3381</v>
      </c>
      <c r="J26" s="532"/>
      <c r="K26" s="508"/>
      <c r="L26" s="1976"/>
      <c r="M26" s="1966"/>
      <c r="N26" s="1966"/>
      <c r="O26" s="1975"/>
      <c r="P26" s="3699"/>
      <c r="Q26" s="1460"/>
      <c r="R26" s="1461"/>
      <c r="S26" s="1462"/>
      <c r="T26" s="1461"/>
      <c r="U26" s="1462"/>
      <c r="V26" s="1461"/>
      <c r="W26" s="1462"/>
      <c r="X26" s="1455"/>
      <c r="Y26" s="3699"/>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699"/>
      <c r="Q27" s="1460" t="str">
        <f t="shared" si="8"/>
        <v>自然及人文环境状况</v>
      </c>
      <c r="R27" s="1461" t="s">
        <v>8</v>
      </c>
      <c r="S27" s="1462">
        <f>F27</f>
        <v>100</v>
      </c>
      <c r="T27" s="1461" t="s">
        <v>8</v>
      </c>
      <c r="U27" s="1462">
        <f>H27</f>
        <v>100</v>
      </c>
      <c r="V27" s="1461" t="s">
        <v>8</v>
      </c>
      <c r="W27" s="1462">
        <f>J27</f>
        <v>100</v>
      </c>
      <c r="X27" s="1455"/>
      <c r="Y27" s="3699"/>
      <c r="Z27" s="1463" t="str">
        <f>Q27</f>
        <v>自然及人文环境状况</v>
      </c>
      <c r="AA27" s="1464">
        <f t="shared" si="3"/>
        <v>1</v>
      </c>
      <c r="AB27" s="1464">
        <f t="shared" si="4"/>
        <v>1</v>
      </c>
      <c r="AC27" s="1464">
        <f t="shared" si="5"/>
        <v>1</v>
      </c>
    </row>
    <row r="28" spans="1:29" ht="20.25">
      <c r="A28" s="492"/>
      <c r="B28" s="543"/>
      <c r="C28" s="3470" t="s">
        <v>3381</v>
      </c>
      <c r="D28" s="534"/>
      <c r="E28" s="3466" t="s">
        <v>3381</v>
      </c>
      <c r="F28" s="532"/>
      <c r="G28" s="3470" t="s">
        <v>3381</v>
      </c>
      <c r="H28" s="532"/>
      <c r="I28" s="3466" t="s">
        <v>3390</v>
      </c>
      <c r="J28" s="532"/>
      <c r="K28" s="508"/>
      <c r="L28" s="1976"/>
      <c r="M28" s="1966"/>
      <c r="N28" s="1966"/>
      <c r="O28" s="1975"/>
      <c r="P28" s="3699"/>
      <c r="Q28" s="1460"/>
      <c r="R28" s="1461"/>
      <c r="S28" s="1462"/>
      <c r="T28" s="1461"/>
      <c r="U28" s="1462"/>
      <c r="V28" s="1461"/>
      <c r="W28" s="1462"/>
      <c r="X28" s="1455"/>
      <c r="Y28" s="3699"/>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699"/>
      <c r="Q29" s="1096" t="str">
        <f t="shared" si="8"/>
        <v>公共配套设施</v>
      </c>
      <c r="R29" s="1456" t="s">
        <v>8</v>
      </c>
      <c r="S29" s="1457">
        <f>F29</f>
        <v>100</v>
      </c>
      <c r="T29" s="1456" t="s">
        <v>8</v>
      </c>
      <c r="U29" s="1457">
        <f>H29</f>
        <v>100</v>
      </c>
      <c r="V29" s="1456" t="s">
        <v>8</v>
      </c>
      <c r="W29" s="1457">
        <f>J29</f>
        <v>100</v>
      </c>
      <c r="X29" s="1458"/>
      <c r="Y29" s="3699"/>
      <c r="Z29" s="1095" t="str">
        <f>Q29</f>
        <v>公共配套设施</v>
      </c>
      <c r="AA29" s="1464">
        <f>D29/F29</f>
        <v>1</v>
      </c>
      <c r="AB29" s="1464">
        <f>D29/H29</f>
        <v>1</v>
      </c>
      <c r="AC29" s="1464">
        <f>D29/J29</f>
        <v>1</v>
      </c>
    </row>
    <row r="30" spans="1:29" s="1165" customFormat="1" ht="20.25">
      <c r="A30" s="554"/>
      <c r="B30" s="543"/>
      <c r="C30" s="3472" t="s">
        <v>3381</v>
      </c>
      <c r="D30" s="534"/>
      <c r="E30" s="3466" t="s">
        <v>3381</v>
      </c>
      <c r="F30" s="532"/>
      <c r="G30" s="3470" t="s">
        <v>3381</v>
      </c>
      <c r="H30" s="532"/>
      <c r="I30" s="3466" t="s">
        <v>3381</v>
      </c>
      <c r="J30" s="532"/>
      <c r="K30" s="508"/>
      <c r="L30" s="1969"/>
      <c r="M30" s="1966"/>
      <c r="N30" s="1966"/>
      <c r="O30" s="1971"/>
      <c r="P30" s="3699"/>
      <c r="Q30" s="1096"/>
      <c r="R30" s="1456"/>
      <c r="S30" s="1457"/>
      <c r="T30" s="1456"/>
      <c r="U30" s="1457"/>
      <c r="V30" s="1456"/>
      <c r="W30" s="1457"/>
      <c r="X30" s="1458"/>
      <c r="Y30" s="3699"/>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699"/>
      <c r="Q31" s="2348" t="str">
        <f t="shared" ref="Q31" si="9">B31</f>
        <v>基础设施水平</v>
      </c>
      <c r="R31" s="1456" t="s">
        <v>8</v>
      </c>
      <c r="S31" s="1457">
        <f>F31</f>
        <v>100</v>
      </c>
      <c r="T31" s="1456" t="s">
        <v>8</v>
      </c>
      <c r="U31" s="1457">
        <f>H31</f>
        <v>100</v>
      </c>
      <c r="V31" s="1456" t="s">
        <v>8</v>
      </c>
      <c r="W31" s="1457">
        <f>J31</f>
        <v>100</v>
      </c>
      <c r="X31" s="1458"/>
      <c r="Y31" s="3699"/>
      <c r="Z31" s="2347" t="str">
        <f>Q31</f>
        <v>基础设施水平</v>
      </c>
      <c r="AA31" s="1464">
        <f>D31/F31</f>
        <v>1</v>
      </c>
      <c r="AB31" s="1464">
        <f>D31/H31</f>
        <v>1</v>
      </c>
      <c r="AC31" s="1464">
        <f>D31/J31</f>
        <v>1</v>
      </c>
    </row>
    <row r="32" spans="1:29" s="1165" customFormat="1" ht="20.25">
      <c r="A32" s="554"/>
      <c r="B32" s="543"/>
      <c r="C32" s="3472" t="s">
        <v>3382</v>
      </c>
      <c r="D32" s="534"/>
      <c r="E32" s="3467" t="s">
        <v>3382</v>
      </c>
      <c r="F32" s="532"/>
      <c r="G32" s="3472" t="s">
        <v>3382</v>
      </c>
      <c r="H32" s="532"/>
      <c r="I32" s="3472" t="s">
        <v>3391</v>
      </c>
      <c r="J32" s="532"/>
      <c r="K32" s="508"/>
      <c r="L32" s="1969"/>
      <c r="M32" s="1966"/>
      <c r="N32" s="1966"/>
      <c r="O32" s="1971"/>
      <c r="P32" s="3699"/>
      <c r="Q32" s="2348"/>
      <c r="R32" s="1456"/>
      <c r="S32" s="1457"/>
      <c r="T32" s="1456"/>
      <c r="U32" s="1457"/>
      <c r="V32" s="1456"/>
      <c r="W32" s="1457"/>
      <c r="X32" s="1458"/>
      <c r="Y32" s="3699"/>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99"/>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99"/>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99"/>
      <c r="Q34" s="1460" t="str">
        <f t="shared" si="8"/>
        <v>毗邻道路的类型与等级</v>
      </c>
      <c r="R34" s="1461" t="s">
        <v>8</v>
      </c>
      <c r="S34" s="1462">
        <f t="shared" si="10"/>
        <v>100</v>
      </c>
      <c r="T34" s="1461" t="s">
        <v>8</v>
      </c>
      <c r="U34" s="1462">
        <f t="shared" si="11"/>
        <v>100</v>
      </c>
      <c r="V34" s="1461" t="s">
        <v>8</v>
      </c>
      <c r="W34" s="1462">
        <f t="shared" si="12"/>
        <v>100</v>
      </c>
      <c r="X34" s="1455"/>
      <c r="Y34" s="3699"/>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699"/>
      <c r="Q35" s="1460"/>
      <c r="R35" s="1461"/>
      <c r="S35" s="1462"/>
      <c r="T35" s="1461"/>
      <c r="U35" s="1462"/>
      <c r="V35" s="1461"/>
      <c r="W35" s="1462"/>
      <c r="X35" s="1455"/>
      <c r="Y35" s="3699"/>
      <c r="Z35" s="1463"/>
      <c r="AA35" s="1464">
        <v>1</v>
      </c>
      <c r="AB35" s="1464">
        <v>1</v>
      </c>
      <c r="AC35" s="1464">
        <v>1</v>
      </c>
    </row>
    <row r="36" spans="1:29" ht="20.25">
      <c r="A36" s="509"/>
      <c r="B36" s="559" t="s">
        <v>532</v>
      </c>
      <c r="C36" s="3469" t="s">
        <v>3383</v>
      </c>
      <c r="D36" s="552">
        <v>100</v>
      </c>
      <c r="E36" s="3468" t="s">
        <v>1385</v>
      </c>
      <c r="F36" s="517">
        <f>SUMIF(109:109,E36,110:110)-SUMIF(109:109,C36,110:110)+100</f>
        <v>98</v>
      </c>
      <c r="G36" s="3469" t="s">
        <v>3385</v>
      </c>
      <c r="H36" s="517">
        <f>SUMIF(109:109,G36,110:110)-SUMIF(109:109,C36,110:110)+100</f>
        <v>96</v>
      </c>
      <c r="I36" s="3468" t="s">
        <v>3392</v>
      </c>
      <c r="J36" s="517">
        <f>SUMIF(109:109,I36,110:110)-SUMIF(109:109,C36,110:110)+100</f>
        <v>98</v>
      </c>
      <c r="K36" s="561">
        <v>2</v>
      </c>
      <c r="L36" s="1976"/>
      <c r="M36" s="1966"/>
      <c r="N36" s="1966"/>
      <c r="O36" s="1975"/>
      <c r="P36" s="3699"/>
      <c r="Q36" s="1460" t="str">
        <f t="shared" si="8"/>
        <v>土地级别</v>
      </c>
      <c r="R36" s="1461" t="s">
        <v>8</v>
      </c>
      <c r="S36" s="1462">
        <f t="shared" si="10"/>
        <v>98</v>
      </c>
      <c r="T36" s="1461" t="s">
        <v>8</v>
      </c>
      <c r="U36" s="1462">
        <f t="shared" si="11"/>
        <v>96</v>
      </c>
      <c r="V36" s="1461" t="s">
        <v>8</v>
      </c>
      <c r="W36" s="1462">
        <f t="shared" si="12"/>
        <v>98</v>
      </c>
      <c r="X36" s="1455"/>
      <c r="Y36" s="3699"/>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99"/>
      <c r="Q37" s="1460">
        <f t="shared" si="8"/>
        <v>111</v>
      </c>
      <c r="R37" s="1461" t="s">
        <v>8</v>
      </c>
      <c r="S37" s="1462">
        <f t="shared" si="10"/>
        <v>100</v>
      </c>
      <c r="T37" s="1461" t="s">
        <v>8</v>
      </c>
      <c r="U37" s="1462">
        <f t="shared" si="11"/>
        <v>100</v>
      </c>
      <c r="V37" s="1461" t="s">
        <v>8</v>
      </c>
      <c r="W37" s="1462">
        <f t="shared" si="12"/>
        <v>100</v>
      </c>
      <c r="X37" s="1455"/>
      <c r="Y37" s="3699"/>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700" t="s">
        <v>533</v>
      </c>
      <c r="Q38" s="1460">
        <f t="shared" si="8"/>
        <v>111</v>
      </c>
      <c r="R38" s="1461" t="s">
        <v>8</v>
      </c>
      <c r="S38" s="1462">
        <f t="shared" si="10"/>
        <v>100</v>
      </c>
      <c r="T38" s="1461" t="s">
        <v>8</v>
      </c>
      <c r="U38" s="1462">
        <f t="shared" si="11"/>
        <v>100</v>
      </c>
      <c r="V38" s="1461" t="s">
        <v>8</v>
      </c>
      <c r="W38" s="1462">
        <f t="shared" si="12"/>
        <v>100</v>
      </c>
      <c r="X38" s="1455"/>
      <c r="Y38" s="3701"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701"/>
      <c r="Q39" s="1460">
        <f t="shared" si="8"/>
        <v>111</v>
      </c>
      <c r="R39" s="1465" t="s">
        <v>8</v>
      </c>
      <c r="S39" s="1466">
        <f t="shared" si="10"/>
        <v>100</v>
      </c>
      <c r="T39" s="1465" t="s">
        <v>8</v>
      </c>
      <c r="U39" s="1466">
        <f t="shared" si="11"/>
        <v>100</v>
      </c>
      <c r="V39" s="1465" t="s">
        <v>8</v>
      </c>
      <c r="W39" s="1466">
        <f t="shared" si="12"/>
        <v>100</v>
      </c>
      <c r="X39" s="1467"/>
      <c r="Y39" s="3701"/>
      <c r="Z39" s="1468">
        <f t="shared" si="13"/>
        <v>111</v>
      </c>
      <c r="AA39" s="1464">
        <f t="shared" si="3"/>
        <v>1</v>
      </c>
      <c r="AB39" s="1464">
        <f t="shared" si="4"/>
        <v>1</v>
      </c>
      <c r="AC39" s="1464">
        <f t="shared" si="5"/>
        <v>1</v>
      </c>
    </row>
    <row r="40" spans="1:29" ht="20.25">
      <c r="A40" s="2544" t="s">
        <v>2471</v>
      </c>
      <c r="B40" s="572" t="s">
        <v>535</v>
      </c>
      <c r="C40" s="573">
        <f>'数据-基础表'!A3</f>
        <v>23308.880000000001</v>
      </c>
      <c r="D40" s="574">
        <v>100</v>
      </c>
      <c r="E40" s="573">
        <f>土地案例!$D$9</f>
        <v>26176.63</v>
      </c>
      <c r="F40" s="574">
        <f>LOOKUP(E40,118:118,119:119)-LOOKUP(C40,118:118,119:119)+100</f>
        <v>100</v>
      </c>
      <c r="G40" s="573">
        <f>土地案例!D31</f>
        <v>33558.800000000003</v>
      </c>
      <c r="H40" s="574">
        <f>LOOKUP(G40,118:118,119:119)-LOOKUP(C40,118:118,119:119)+100</f>
        <v>100</v>
      </c>
      <c r="I40" s="575">
        <f>土地案例!$D$18</f>
        <v>25523.57</v>
      </c>
      <c r="J40" s="574">
        <f>LOOKUP(I40,118:118,119:119)-LOOKUP(C40,118:118,119:119)+100</f>
        <v>100</v>
      </c>
      <c r="K40" s="558"/>
      <c r="L40" s="1976"/>
      <c r="M40" s="1966"/>
      <c r="N40" s="1966"/>
      <c r="O40" s="1975"/>
      <c r="P40" s="3701"/>
      <c r="Q40" s="1460" t="str">
        <f>B40</f>
        <v>宗地面积</v>
      </c>
      <c r="R40" s="1461" t="s">
        <v>8</v>
      </c>
      <c r="S40" s="1462">
        <f t="shared" si="10"/>
        <v>100</v>
      </c>
      <c r="T40" s="1461" t="s">
        <v>8</v>
      </c>
      <c r="U40" s="1462">
        <f t="shared" si="11"/>
        <v>100</v>
      </c>
      <c r="V40" s="1461" t="s">
        <v>8</v>
      </c>
      <c r="W40" s="1462">
        <f t="shared" si="12"/>
        <v>100</v>
      </c>
      <c r="X40" s="1455"/>
      <c r="Y40" s="3701"/>
      <c r="Z40" s="1463" t="str">
        <f t="shared" si="13"/>
        <v>宗地面积</v>
      </c>
      <c r="AA40" s="1464">
        <f t="shared" si="3"/>
        <v>1</v>
      </c>
      <c r="AB40" s="1464">
        <f t="shared" si="4"/>
        <v>1</v>
      </c>
      <c r="AC40" s="1464">
        <f t="shared" si="5"/>
        <v>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701"/>
      <c r="Q41" s="1460" t="str">
        <f t="shared" ref="Q41:Q47" si="14">B41</f>
        <v>宗地形状</v>
      </c>
      <c r="R41" s="1461" t="s">
        <v>8</v>
      </c>
      <c r="S41" s="1462">
        <f t="shared" si="10"/>
        <v>100</v>
      </c>
      <c r="T41" s="1461" t="s">
        <v>8</v>
      </c>
      <c r="U41" s="1462">
        <f t="shared" si="11"/>
        <v>100</v>
      </c>
      <c r="V41" s="1461" t="s">
        <v>8</v>
      </c>
      <c r="W41" s="1462">
        <f t="shared" si="12"/>
        <v>100</v>
      </c>
      <c r="X41" s="1455"/>
      <c r="Y41" s="3701"/>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701"/>
      <c r="Q42" s="1460" t="str">
        <f t="shared" si="14"/>
        <v>临街宽度及深度</v>
      </c>
      <c r="R42" s="1461" t="s">
        <v>8</v>
      </c>
      <c r="S42" s="1462">
        <f t="shared" si="10"/>
        <v>100</v>
      </c>
      <c r="T42" s="1461" t="s">
        <v>8</v>
      </c>
      <c r="U42" s="1462">
        <f t="shared" si="11"/>
        <v>100</v>
      </c>
      <c r="V42" s="1461" t="s">
        <v>8</v>
      </c>
      <c r="W42" s="1462">
        <f t="shared" si="12"/>
        <v>100</v>
      </c>
      <c r="X42" s="1455"/>
      <c r="Y42" s="3701"/>
      <c r="Z42" s="1463" t="str">
        <f t="shared" si="13"/>
        <v>临街宽度及深度</v>
      </c>
      <c r="AA42" s="1464">
        <f t="shared" si="3"/>
        <v>1</v>
      </c>
      <c r="AB42" s="1464">
        <f t="shared" si="4"/>
        <v>1</v>
      </c>
      <c r="AC42" s="1464">
        <f t="shared" si="5"/>
        <v>1</v>
      </c>
    </row>
    <row r="43" spans="1:29" s="1165" customFormat="1" ht="20.25">
      <c r="A43" s="577"/>
      <c r="B43" s="1762" t="s">
        <v>2210</v>
      </c>
      <c r="C43" s="3476" t="s">
        <v>3386</v>
      </c>
      <c r="D43" s="253">
        <v>100</v>
      </c>
      <c r="E43" s="3476" t="s">
        <v>3387</v>
      </c>
      <c r="F43" s="517">
        <f>SUMIF(124:124,E43,125:125)-SUMIF(124:124,C43,125:125)+100</f>
        <v>96</v>
      </c>
      <c r="G43" s="3476" t="s">
        <v>3388</v>
      </c>
      <c r="H43" s="517">
        <f>SUMIF(124:124,G43,125:125)-SUMIF(124:124,C43,125:125)+100</f>
        <v>100</v>
      </c>
      <c r="I43" s="3476" t="s">
        <v>3462</v>
      </c>
      <c r="J43" s="517">
        <f>SUMIF(124:124,I43,125:125)-SUMIF(124:124,C43,125:125)+100</f>
        <v>104</v>
      </c>
      <c r="K43" s="561">
        <v>2</v>
      </c>
      <c r="L43" s="1969"/>
      <c r="M43" s="1966"/>
      <c r="N43" s="1966"/>
      <c r="O43" s="1971"/>
      <c r="P43" s="3701"/>
      <c r="Q43" s="1460" t="str">
        <f t="shared" si="14"/>
        <v>宗地开发程度</v>
      </c>
      <c r="R43" s="1456" t="s">
        <v>8</v>
      </c>
      <c r="S43" s="1457">
        <f t="shared" si="10"/>
        <v>96</v>
      </c>
      <c r="T43" s="1456" t="s">
        <v>8</v>
      </c>
      <c r="U43" s="1457">
        <f t="shared" si="11"/>
        <v>100</v>
      </c>
      <c r="V43" s="1456" t="s">
        <v>8</v>
      </c>
      <c r="W43" s="1457">
        <f t="shared" si="12"/>
        <v>104</v>
      </c>
      <c r="X43" s="1458"/>
      <c r="Y43" s="3701"/>
      <c r="Z43" s="1095" t="str">
        <f t="shared" si="13"/>
        <v>宗地开发程度</v>
      </c>
      <c r="AA43" s="1459">
        <f t="shared" si="3"/>
        <v>1.0416666666666667</v>
      </c>
      <c r="AB43" s="1459">
        <f t="shared" si="4"/>
        <v>1</v>
      </c>
      <c r="AC43" s="1459">
        <f t="shared" si="5"/>
        <v>0.96153846153846156</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701" t="s">
        <v>533</v>
      </c>
      <c r="Q44" s="1460" t="str">
        <f t="shared" si="14"/>
        <v>工程地质条件</v>
      </c>
      <c r="R44" s="1461" t="s">
        <v>8</v>
      </c>
      <c r="S44" s="1462">
        <f t="shared" si="10"/>
        <v>100</v>
      </c>
      <c r="T44" s="1461" t="s">
        <v>8</v>
      </c>
      <c r="U44" s="1462">
        <f t="shared" si="11"/>
        <v>100</v>
      </c>
      <c r="V44" s="1461" t="s">
        <v>8</v>
      </c>
      <c r="W44" s="1462">
        <f t="shared" si="12"/>
        <v>100</v>
      </c>
      <c r="X44" s="1455"/>
      <c r="Y44" s="3701"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701"/>
      <c r="Q45" s="1460">
        <f t="shared" si="14"/>
        <v>111</v>
      </c>
      <c r="R45" s="1461" t="s">
        <v>8</v>
      </c>
      <c r="S45" s="1462">
        <f t="shared" si="10"/>
        <v>100</v>
      </c>
      <c r="T45" s="1461" t="s">
        <v>8</v>
      </c>
      <c r="U45" s="1462">
        <f t="shared" si="11"/>
        <v>100</v>
      </c>
      <c r="V45" s="1461" t="s">
        <v>8</v>
      </c>
      <c r="W45" s="1462">
        <f t="shared" si="12"/>
        <v>100</v>
      </c>
      <c r="X45" s="1455"/>
      <c r="Y45" s="3701"/>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701"/>
      <c r="Q46" s="1460">
        <f t="shared" si="14"/>
        <v>111</v>
      </c>
      <c r="R46" s="1461" t="s">
        <v>8</v>
      </c>
      <c r="S46" s="1462">
        <f t="shared" si="10"/>
        <v>100</v>
      </c>
      <c r="T46" s="1461" t="s">
        <v>8</v>
      </c>
      <c r="U46" s="1462">
        <f t="shared" si="11"/>
        <v>100</v>
      </c>
      <c r="V46" s="1461" t="s">
        <v>8</v>
      </c>
      <c r="W46" s="1462">
        <f t="shared" si="12"/>
        <v>100</v>
      </c>
      <c r="X46" s="1455"/>
      <c r="Y46" s="3701"/>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701"/>
      <c r="Q47" s="1460">
        <f t="shared" si="14"/>
        <v>111</v>
      </c>
      <c r="R47" s="1465" t="s">
        <v>8</v>
      </c>
      <c r="S47" s="1466">
        <f t="shared" si="10"/>
        <v>100</v>
      </c>
      <c r="T47" s="1465" t="s">
        <v>8</v>
      </c>
      <c r="U47" s="1466">
        <f t="shared" si="11"/>
        <v>100</v>
      </c>
      <c r="V47" s="1465" t="s">
        <v>8</v>
      </c>
      <c r="W47" s="1466">
        <f t="shared" si="12"/>
        <v>100</v>
      </c>
      <c r="X47" s="1467"/>
      <c r="Y47" s="3701"/>
      <c r="Z47" s="1468">
        <f t="shared" si="13"/>
        <v>111</v>
      </c>
      <c r="AA47" s="1464">
        <f t="shared" si="3"/>
        <v>1</v>
      </c>
      <c r="AB47" s="1464">
        <f t="shared" si="4"/>
        <v>1</v>
      </c>
      <c r="AC47" s="1464">
        <f t="shared" si="5"/>
        <v>1</v>
      </c>
    </row>
    <row r="48" spans="1:29" ht="20.25">
      <c r="A48" s="584" t="s">
        <v>539</v>
      </c>
      <c r="B48" s="585" t="s">
        <v>3460</v>
      </c>
      <c r="C48" s="586" t="s">
        <v>1</v>
      </c>
      <c r="D48" s="587"/>
      <c r="E48" s="588">
        <v>3875</v>
      </c>
      <c r="F48" s="589"/>
      <c r="G48" s="590">
        <v>3778</v>
      </c>
      <c r="H48" s="591"/>
      <c r="I48" s="588">
        <v>3642</v>
      </c>
      <c r="J48" s="591"/>
      <c r="K48" s="1248"/>
      <c r="L48" s="1978"/>
      <c r="M48" s="1966"/>
      <c r="N48" s="1966"/>
      <c r="O48" s="1979"/>
      <c r="P48" s="3696" t="str">
        <f>A48</f>
        <v>成交单价</v>
      </c>
      <c r="Q48" s="3696"/>
      <c r="R48" s="3712">
        <f>E48</f>
        <v>3875</v>
      </c>
      <c r="S48" s="3712"/>
      <c r="T48" s="3712">
        <f>G48</f>
        <v>3778</v>
      </c>
      <c r="U48" s="3712"/>
      <c r="V48" s="3712">
        <f>I48</f>
        <v>3642</v>
      </c>
      <c r="W48" s="3712"/>
      <c r="X48" s="1450"/>
      <c r="Y48" s="1469"/>
      <c r="Z48" s="1450"/>
      <c r="AA48" s="1450"/>
      <c r="AB48" s="1450"/>
      <c r="AC48" s="1450"/>
    </row>
    <row r="49" spans="1:29" ht="21" thickBot="1">
      <c r="A49" s="592" t="s">
        <v>2409</v>
      </c>
      <c r="B49" s="593"/>
      <c r="C49" s="594">
        <f>R50</f>
        <v>3551</v>
      </c>
      <c r="D49" s="2919" t="s">
        <v>2700</v>
      </c>
      <c r="E49" s="594">
        <f>R49</f>
        <v>3579</v>
      </c>
      <c r="F49" s="2920"/>
      <c r="G49" s="595">
        <f>T49</f>
        <v>3702</v>
      </c>
      <c r="H49" s="2920"/>
      <c r="I49" s="594">
        <f>V49</f>
        <v>3372</v>
      </c>
      <c r="J49" s="2920"/>
      <c r="K49" s="2921">
        <f>F49+H49+J49</f>
        <v>0</v>
      </c>
      <c r="L49" s="1978"/>
      <c r="M49" s="1966"/>
      <c r="N49" s="1966"/>
      <c r="O49" s="1979"/>
      <c r="P49" s="3696" t="str">
        <f>A49</f>
        <v>比较价格（元/平方米）</v>
      </c>
      <c r="Q49" s="3696"/>
      <c r="R49" s="3722">
        <f>ROUND(PRODUCT(R48,AA9:AA47),0)</f>
        <v>3579</v>
      </c>
      <c r="S49" s="3722"/>
      <c r="T49" s="3722">
        <f>ROUND(PRODUCT(T48,AB9:AB47),0)</f>
        <v>3702</v>
      </c>
      <c r="U49" s="3722"/>
      <c r="V49" s="3722">
        <f>ROUND(PRODUCT(V48,AC9:AC47),0)</f>
        <v>3372</v>
      </c>
      <c r="W49" s="3722"/>
      <c r="X49" s="1450"/>
      <c r="Y49" s="1450"/>
      <c r="Z49" s="1450"/>
      <c r="AA49" s="1450"/>
      <c r="AB49" s="1450"/>
      <c r="AC49" s="1450"/>
    </row>
    <row r="50" spans="1:29" ht="21" thickBot="1">
      <c r="A50" s="596" t="s">
        <v>2636</v>
      </c>
      <c r="B50" s="597"/>
      <c r="C50" s="598">
        <f>R50</f>
        <v>3551</v>
      </c>
      <c r="D50" s="598"/>
      <c r="E50" s="598"/>
      <c r="F50" s="598"/>
      <c r="G50" s="598"/>
      <c r="H50" s="598"/>
      <c r="I50" s="598"/>
      <c r="J50" s="598"/>
      <c r="K50" s="1249"/>
      <c r="L50" s="1978"/>
      <c r="M50" s="1966"/>
      <c r="N50" s="1966"/>
      <c r="O50" s="1979"/>
      <c r="P50" s="3702" t="str">
        <f>A50</f>
        <v>估价对象XX用房的比较价格（楼面单价，元/平方米）</v>
      </c>
      <c r="Q50" s="3703"/>
      <c r="R50" s="3721">
        <f>ROUND(IF(D49="简单平均",AVERAGE(R49:W49),R49*F49+T49*H49+V49*J49),0)</f>
        <v>3551</v>
      </c>
      <c r="S50" s="3721"/>
      <c r="T50" s="3721"/>
      <c r="U50" s="3721"/>
      <c r="V50" s="3721"/>
      <c r="W50" s="3721"/>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8.2704666107851432E-2</v>
      </c>
      <c r="F53" s="602" t="str">
        <f>IF(OR(E53&gt;=0.3,E53&lt;=-0.3),"超过30%","")</f>
        <v/>
      </c>
      <c r="G53" s="601">
        <f>IF(G48&lt;G49,G49/G48-1,G48/G49-1)</f>
        <v>2.052944354403019E-2</v>
      </c>
      <c r="H53" s="602" t="str">
        <f>IF(OR(G53&gt;=0.3,G53&lt;=-0.3),"超过30%","")</f>
        <v/>
      </c>
      <c r="I53" s="601">
        <f>IF(I48&lt;I49,I49/I48-1,I48/I49-1)</f>
        <v>8.0071174377224219E-2</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3.4367141659681577E-2</v>
      </c>
      <c r="F54" s="602" t="str">
        <f>IF(OR(E54&gt;=0.2,E54&lt;=-0.2),"超过20%","")</f>
        <v/>
      </c>
      <c r="G54" s="601">
        <f>IF(G49&lt;I49,I49/G49-1,G49/I49-1)</f>
        <v>9.7864768683274095E-2</v>
      </c>
      <c r="H54" s="602" t="str">
        <f>IF(OR(G54&gt;=0.2,G54&lt;=-0.2),"超过20%","")</f>
        <v/>
      </c>
      <c r="I54" s="601">
        <f>IF(I49&lt;E49,E49/I49-1,I49/E49-1)</f>
        <v>6.1387900355871938E-2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2.567496029645322E-2</v>
      </c>
      <c r="F55" s="602" t="str">
        <f>IF(OR(E55&gt;=0.3,E55&lt;=-0.3),"超过30%","")</f>
        <v/>
      </c>
      <c r="G55" s="601">
        <f>IF(G48&lt;I48,I48/G48-1,G48/I48-1)</f>
        <v>3.7342119714442568E-2</v>
      </c>
      <c r="H55" s="602" t="str">
        <f>IF(OR(G55&gt;=0.3,G55&lt;=-0.3),"超过30%","")</f>
        <v/>
      </c>
      <c r="I55" s="601">
        <f>IF(I48&lt;E48,E48/I48-1,I48/E48-1)</f>
        <v>6.3975837451949458E-2</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81" t="s">
        <v>2071</v>
      </c>
      <c r="H57" s="3682"/>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3551</v>
      </c>
      <c r="C58" s="610">
        <v>1</v>
      </c>
      <c r="D58" s="2060">
        <v>1</v>
      </c>
      <c r="E58" s="610">
        <f>'数据-汇总表'!E8+'数据-汇总表'!E9</f>
        <v>126110.45999999999</v>
      </c>
      <c r="F58" s="611">
        <f t="shared" ref="F58:F66" si="15">ROUND(B58*E58/10000,0)</f>
        <v>44782</v>
      </c>
      <c r="G58" s="3683"/>
      <c r="H58" s="3684"/>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52253.13</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178363.59</v>
      </c>
      <c r="F67" s="619">
        <f>IF(B48="楼面地价",SUM(F58:F66),ROUND(C50*E67/10000,0))</f>
        <v>44782</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2022-11-1</v>
      </c>
      <c r="D69" s="2436">
        <f>EDATE(C69,-3)</f>
        <v>44774</v>
      </c>
      <c r="E69" s="2436">
        <f t="shared" ref="E69:N69" si="18">EDATE(D69,-3)</f>
        <v>44682</v>
      </c>
      <c r="F69" s="2436">
        <f t="shared" si="18"/>
        <v>44593</v>
      </c>
      <c r="G69" s="2436">
        <f t="shared" si="18"/>
        <v>44501</v>
      </c>
      <c r="H69" s="2436">
        <f t="shared" si="18"/>
        <v>44409</v>
      </c>
      <c r="I69" s="2436">
        <f t="shared" si="18"/>
        <v>44317</v>
      </c>
      <c r="J69" s="2436">
        <f t="shared" si="18"/>
        <v>44228</v>
      </c>
      <c r="K69" s="2436">
        <f t="shared" si="18"/>
        <v>44136</v>
      </c>
      <c r="L69" s="2436">
        <f t="shared" si="18"/>
        <v>44044</v>
      </c>
      <c r="M69" s="2436">
        <f t="shared" si="18"/>
        <v>43952</v>
      </c>
      <c r="N69" s="2436">
        <f t="shared" si="18"/>
        <v>43862</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80" t="s">
        <v>3399</v>
      </c>
      <c r="D76" s="3480" t="s">
        <v>3402</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3（含）-3.5</v>
      </c>
      <c r="D80" s="657" t="str">
        <f t="shared" ref="D80:L80" si="20">D81&amp;"（含）"&amp;"-"&amp;E81</f>
        <v>3.5（含）-4</v>
      </c>
      <c r="E80" s="657" t="str">
        <f t="shared" si="20"/>
        <v>4（含）-4.5</v>
      </c>
      <c r="F80" s="657" t="str">
        <f t="shared" si="20"/>
        <v>4.5（含）-5</v>
      </c>
      <c r="G80" s="657" t="str">
        <f t="shared" si="20"/>
        <v>5（含）-5.5</v>
      </c>
      <c r="H80" s="657" t="str">
        <f t="shared" si="20"/>
        <v>5.5（含）-6</v>
      </c>
      <c r="I80" s="657" t="str">
        <f t="shared" si="20"/>
        <v>6（含）-6.5</v>
      </c>
      <c r="J80" s="657" t="str">
        <f t="shared" si="20"/>
        <v>6.5（含）-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3</v>
      </c>
      <c r="D81" s="518">
        <v>3.5</v>
      </c>
      <c r="E81" s="518">
        <v>4</v>
      </c>
      <c r="F81" s="518">
        <v>4.5</v>
      </c>
      <c r="G81" s="518">
        <v>5</v>
      </c>
      <c r="H81" s="518">
        <v>5.5</v>
      </c>
      <c r="I81" s="518">
        <v>6</v>
      </c>
      <c r="J81" s="518">
        <v>6.5</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7" t="s">
        <v>3396</v>
      </c>
      <c r="D109" s="3477" t="s">
        <v>3383</v>
      </c>
      <c r="E109" s="3477" t="s">
        <v>3392</v>
      </c>
      <c r="F109" s="3477" t="s">
        <v>3385</v>
      </c>
      <c r="G109" s="3477" t="s">
        <v>3397</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0(含)-50000</v>
      </c>
      <c r="D117" s="679" t="str">
        <f t="shared" si="25"/>
        <v>50000(含)-100000</v>
      </c>
      <c r="E117" s="679" t="str">
        <f t="shared" si="25"/>
        <v>100000(含)-</v>
      </c>
      <c r="F117" s="679" t="str">
        <f t="shared" si="25"/>
        <v>(含)-</v>
      </c>
      <c r="G117" s="679" t="str">
        <f t="shared" si="25"/>
        <v>(含)-</v>
      </c>
      <c r="H117" s="679" t="str">
        <f t="shared" si="25"/>
        <v>(含)-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50000</v>
      </c>
      <c r="E118" s="705">
        <v>100000</v>
      </c>
      <c r="F118" s="705"/>
      <c r="G118" s="705"/>
      <c r="H118" s="705"/>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c r="G119" s="701"/>
      <c r="H119" s="701"/>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3391</v>
      </c>
      <c r="D124" s="1280" t="s">
        <v>3393</v>
      </c>
      <c r="E124" s="1280" t="s">
        <v>3386</v>
      </c>
      <c r="F124" s="1280" t="s">
        <v>3394</v>
      </c>
      <c r="G124" s="1280" t="s">
        <v>3395</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42" sqref="C4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2.12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50276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2722</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21569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1438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151571</v>
      </c>
      <c r="D6" s="2466"/>
      <c r="E6" s="2466"/>
      <c r="F6" s="2466"/>
      <c r="G6" s="2466"/>
      <c r="H6" s="2466"/>
      <c r="I6" s="2466"/>
      <c r="J6" s="2466"/>
      <c r="K6" s="2468"/>
      <c r="L6" s="3102"/>
      <c r="M6" s="3496">
        <f>C10+D10+E10</f>
        <v>141060</v>
      </c>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3121</v>
      </c>
      <c r="E7" s="430" t="s">
        <v>3150</v>
      </c>
      <c r="F7" s="430" t="s">
        <v>35</v>
      </c>
      <c r="G7" s="430"/>
      <c r="H7" s="430"/>
      <c r="I7" s="430"/>
      <c r="J7" s="430"/>
      <c r="K7" s="431"/>
      <c r="M7" s="3497">
        <f>C9+D9+E9</f>
        <v>126110.45999999999</v>
      </c>
      <c r="AA7" s="1946"/>
      <c r="AB7" s="1946"/>
      <c r="AC7" s="1946"/>
      <c r="AD7" s="1946"/>
      <c r="AE7" s="1946"/>
    </row>
    <row r="8" spans="1:31" s="1949" customFormat="1" ht="13.5" customHeight="1">
      <c r="A8" s="776" t="s">
        <v>1644</v>
      </c>
      <c r="B8" s="259" t="s">
        <v>466</v>
      </c>
      <c r="C8" s="2471">
        <f>'不动产比较法-住宅'!B3</f>
        <v>11853</v>
      </c>
      <c r="D8" s="2471">
        <f>典型户型修正!R22</f>
        <v>18666</v>
      </c>
      <c r="E8" s="2471">
        <f>'不动产比较法-公寓'!B3</f>
        <v>7491</v>
      </c>
      <c r="F8" s="2471">
        <f ca="1">不动产收益法!B3</f>
        <v>2012</v>
      </c>
      <c r="G8" s="2471"/>
      <c r="H8" s="2471"/>
      <c r="I8" s="2471"/>
      <c r="J8" s="2471"/>
      <c r="K8" s="2472"/>
      <c r="M8" s="1949">
        <f>M6*10000/M7</f>
        <v>11185.432199676379</v>
      </c>
      <c r="AA8" s="1948"/>
      <c r="AB8" s="1948"/>
      <c r="AC8" s="1948"/>
      <c r="AD8" s="1948"/>
      <c r="AE8" s="1948"/>
    </row>
    <row r="9" spans="1:31" s="1949" customFormat="1" ht="13.5" customHeight="1">
      <c r="A9" s="776" t="s">
        <v>1645</v>
      </c>
      <c r="B9" s="259" t="s">
        <v>467</v>
      </c>
      <c r="C9" s="435">
        <f>SUMIF('数据-汇总表'!$C19:$C33,'剩余法-待开发'!C7,'数据-汇总表'!$E19:$E33)</f>
        <v>100035.04</v>
      </c>
      <c r="D9" s="435">
        <f>SUMIF('数据-汇总表'!$C19:$C33,'剩余法-待开发'!D7,'数据-汇总表'!$E19:$E33)</f>
        <v>2643.8</v>
      </c>
      <c r="E9" s="435">
        <f>SUMIF('数据-汇总表'!$C19:$C33,'剩余法-待开发'!E7,'数据-汇总表'!$E19:$E33)</f>
        <v>23431.62</v>
      </c>
      <c r="F9" s="435">
        <f>SUMIF('数据-汇总表'!$C19:$C33,'剩余法-待开发'!F7,'数据-汇总表'!$E19:$E33)</f>
        <v>52253.13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N9" s="1949">
        <f>F9/35</f>
        <v>1492.9465714285714</v>
      </c>
      <c r="AA9" s="1948"/>
      <c r="AB9" s="1948"/>
      <c r="AC9" s="1948"/>
      <c r="AD9" s="1948"/>
      <c r="AE9" s="1948"/>
    </row>
    <row r="10" spans="1:31" s="1949" customFormat="1" ht="13.5" customHeight="1" thickBot="1">
      <c r="A10" s="2473" t="s">
        <v>1646</v>
      </c>
      <c r="B10" s="2459" t="s">
        <v>468</v>
      </c>
      <c r="C10" s="2660">
        <f>'不动产比较法-住宅'!B2</f>
        <v>118572</v>
      </c>
      <c r="D10" s="2660">
        <f>典型户型修正!S22</f>
        <v>4935</v>
      </c>
      <c r="E10" s="2660">
        <f>'不动产比较法-公寓'!B2</f>
        <v>17553</v>
      </c>
      <c r="F10" s="2474">
        <f ca="1">不动产收益法!B2</f>
        <v>10511</v>
      </c>
      <c r="G10" s="2474"/>
      <c r="H10" s="2474"/>
      <c r="I10" s="2474"/>
      <c r="J10" s="2474"/>
      <c r="K10" s="2475"/>
      <c r="N10" s="1949">
        <f ca="1">F10/N9</f>
        <v>7.0404394913759241</v>
      </c>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44882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1346</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2501</v>
      </c>
      <c r="D15" s="2481"/>
      <c r="E15" s="2482"/>
      <c r="F15" s="2484">
        <f>'数据-取费表'!B34</f>
        <v>0.1</v>
      </c>
      <c r="G15" s="2449" t="s">
        <v>477</v>
      </c>
      <c r="H15" s="2450"/>
      <c r="I15" s="2450"/>
      <c r="J15" s="2450"/>
      <c r="K15" s="2451"/>
      <c r="L15" s="1951"/>
      <c r="M15" s="1951">
        <f ca="1">C15*10000/'数据-取费表'!K15</f>
        <v>4822.3668353820194</v>
      </c>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3694</v>
      </c>
      <c r="D16" s="2481">
        <f ca="1">IF(B1="",'数据-汇总表'!E3,INDIRECT("'数据-取费表'!K"&amp;$K$1)+INDIRECT("'数据-取费表'!S"&amp;$K$1))</f>
        <v>184715.46</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673</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53096</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924</v>
      </c>
      <c r="D19" s="2491">
        <f ca="1">D16</f>
        <v>184715.46</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3141</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1701</v>
      </c>
      <c r="D21" s="2481">
        <f ca="1">IF(B1="",'数据-汇总表'!E5,IF(INDIRECT("'数据-取费表'!c"&amp;$K$1)="住宅",INDIRECT("'数据-取费表'!k"&amp;$K$1),0))</f>
        <v>100035.04</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1440</v>
      </c>
      <c r="D22" s="2481">
        <f ca="1">IF(B1="",'数据-汇总表'!E6,IF(INDIRECT("'数据-取费表'!c"&amp;$K$1)="住宅",INDIRECT("'数据-取费表'!s"&amp;$K$1),INDIRECT("'数据-取费表'!k"&amp;$K$1)+INDIRECT("'数据-取费表'!s"&amp;$K$1)))</f>
        <v>84680.42</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1143</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3031</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3857</v>
      </c>
      <c r="D26" s="460">
        <f ca="1">C27</f>
        <v>0.13469999999999999</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0.13469999999999999</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3857</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8084</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73276</v>
      </c>
      <c r="D30" s="470">
        <f ca="1">C32</f>
        <v>0.17330000000000001</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73276</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0.17330000000000001</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10427</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10427</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50276</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44882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1346</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2501</v>
      </c>
      <c r="D15" s="444"/>
      <c r="E15" s="363"/>
      <c r="F15" s="446">
        <f>'数据-取费表'!B34</f>
        <v>0.1</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3694</v>
      </c>
      <c r="D16" s="444">
        <f ca="1">IF(B1="",'数据-汇总表'!E3,INDIRECT("'数据-取费表'!K"&amp;$K$1)+INDIRECT("'数据-取费表'!S"&amp;$K$1))</f>
        <v>184715.46</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673</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53096</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1062</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3406</v>
      </c>
      <c r="D20" s="455">
        <f ca="1">ROUND(((1+F20)^'数据-取费表'!B20)-1,4)</f>
        <v>0.12970000000000001</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2738</v>
      </c>
      <c r="B21" s="2661" t="s">
        <v>2545</v>
      </c>
      <c r="C21" s="471">
        <f ca="1">ROUND((C18+C19)*F21,0)</f>
        <v>9207</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2739</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23" t="s">
        <v>1664</v>
      </c>
      <c r="B24" s="3724"/>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23" t="s">
        <v>2736</v>
      </c>
      <c r="B25" s="3724"/>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23" t="s">
        <v>2737</v>
      </c>
      <c r="B26" s="3724"/>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25" t="s">
        <v>2735</v>
      </c>
      <c r="B27" s="3726"/>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704" t="s">
        <v>505</v>
      </c>
      <c r="D6" s="3705"/>
      <c r="E6" s="3732" t="s">
        <v>506</v>
      </c>
      <c r="F6" s="3733"/>
      <c r="G6" s="3704" t="s">
        <v>507</v>
      </c>
      <c r="H6" s="3705"/>
      <c r="I6" s="3704" t="s">
        <v>508</v>
      </c>
      <c r="J6" s="3705"/>
      <c r="K6" s="491" t="s">
        <v>509</v>
      </c>
      <c r="L6" s="1967"/>
      <c r="M6" s="1968"/>
      <c r="N6" s="1968"/>
      <c r="O6" s="1968"/>
      <c r="P6" s="3706" t="s">
        <v>510</v>
      </c>
      <c r="Q6" s="3707"/>
      <c r="R6" s="3690" t="s">
        <v>506</v>
      </c>
      <c r="S6" s="3691"/>
      <c r="T6" s="3690" t="s">
        <v>507</v>
      </c>
      <c r="U6" s="3691"/>
      <c r="V6" s="3712" t="s">
        <v>508</v>
      </c>
      <c r="W6" s="3712"/>
      <c r="X6" s="1455"/>
      <c r="Y6" s="3690" t="s">
        <v>510</v>
      </c>
      <c r="Z6" s="3691"/>
      <c r="AA6" s="3685" t="s">
        <v>506</v>
      </c>
      <c r="AB6" s="3686" t="s">
        <v>507</v>
      </c>
      <c r="AC6" s="3685" t="s">
        <v>508</v>
      </c>
    </row>
    <row r="7" spans="1:29" ht="15">
      <c r="A7" s="492"/>
      <c r="B7" s="493"/>
      <c r="C7" s="3715" t="s">
        <v>2630</v>
      </c>
      <c r="D7" s="3716"/>
      <c r="E7" s="3734" t="s">
        <v>2631</v>
      </c>
      <c r="F7" s="3735"/>
      <c r="G7" s="3715" t="s">
        <v>2632</v>
      </c>
      <c r="H7" s="3716"/>
      <c r="I7" s="3715" t="s">
        <v>2633</v>
      </c>
      <c r="J7" s="3716"/>
      <c r="K7" s="491"/>
      <c r="L7" s="1967"/>
      <c r="M7" s="1968"/>
      <c r="N7" s="1968"/>
      <c r="O7" s="1968"/>
      <c r="P7" s="3708"/>
      <c r="Q7" s="3709"/>
      <c r="R7" s="3692"/>
      <c r="S7" s="3693"/>
      <c r="T7" s="3692"/>
      <c r="U7" s="3693"/>
      <c r="V7" s="3712"/>
      <c r="W7" s="3712"/>
      <c r="X7" s="1455"/>
      <c r="Y7" s="3692"/>
      <c r="Z7" s="3693"/>
      <c r="AA7" s="3686"/>
      <c r="AB7" s="3686"/>
      <c r="AC7" s="3686"/>
    </row>
    <row r="8" spans="1:29" ht="15.75" thickBot="1">
      <c r="A8" s="494"/>
      <c r="B8" s="495"/>
      <c r="C8" s="3713" t="s">
        <v>2634</v>
      </c>
      <c r="D8" s="3714"/>
      <c r="E8" s="3736" t="s">
        <v>2634</v>
      </c>
      <c r="F8" s="3737"/>
      <c r="G8" s="3713" t="s">
        <v>2634</v>
      </c>
      <c r="H8" s="3714"/>
      <c r="I8" s="3713" t="s">
        <v>2634</v>
      </c>
      <c r="J8" s="3714"/>
      <c r="K8" s="491" t="s">
        <v>511</v>
      </c>
      <c r="L8" s="1967"/>
      <c r="M8" s="1968"/>
      <c r="N8" s="1968"/>
      <c r="O8" s="1968"/>
      <c r="P8" s="3710"/>
      <c r="Q8" s="3711"/>
      <c r="R8" s="3692"/>
      <c r="S8" s="3693"/>
      <c r="T8" s="3694"/>
      <c r="U8" s="3695"/>
      <c r="V8" s="3712"/>
      <c r="W8" s="3712"/>
      <c r="X8" s="1455"/>
      <c r="Y8" s="3694"/>
      <c r="Z8" s="3695"/>
      <c r="AA8" s="3687"/>
      <c r="AB8" s="3687"/>
      <c r="AC8" s="3687"/>
    </row>
    <row r="9" spans="1:29" s="1165" customFormat="1" ht="15.75" thickBot="1">
      <c r="A9" s="2548"/>
      <c r="B9" s="2555"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88" t="s">
        <v>513</v>
      </c>
      <c r="Q9" s="3697"/>
      <c r="R9" s="1456" t="s">
        <v>8</v>
      </c>
      <c r="S9" s="1457">
        <f t="shared" ref="S9:S17" si="0">F9</f>
        <v>0</v>
      </c>
      <c r="T9" s="1456" t="s">
        <v>8</v>
      </c>
      <c r="U9" s="1457">
        <f t="shared" ref="U9:U17" si="1">H9</f>
        <v>0</v>
      </c>
      <c r="V9" s="1456" t="s">
        <v>8</v>
      </c>
      <c r="W9" s="1457">
        <f t="shared" ref="W9:W17" si="2">J9</f>
        <v>0</v>
      </c>
      <c r="X9" s="1458"/>
      <c r="Y9" s="3688" t="s">
        <v>513</v>
      </c>
      <c r="Z9" s="3689"/>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88" t="s">
        <v>516</v>
      </c>
      <c r="Q10" s="3689"/>
      <c r="R10" s="1456" t="s">
        <v>8</v>
      </c>
      <c r="S10" s="1457">
        <f t="shared" si="0"/>
        <v>0</v>
      </c>
      <c r="T10" s="1456" t="s">
        <v>8</v>
      </c>
      <c r="U10" s="1457">
        <f t="shared" si="1"/>
        <v>0</v>
      </c>
      <c r="V10" s="1456" t="s">
        <v>8</v>
      </c>
      <c r="W10" s="1457">
        <f t="shared" si="2"/>
        <v>0</v>
      </c>
      <c r="X10" s="1458"/>
      <c r="Y10" s="3688" t="s">
        <v>516</v>
      </c>
      <c r="Z10" s="3689"/>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96" t="s">
        <v>518</v>
      </c>
      <c r="Q11" s="1096" t="str">
        <f t="shared" ref="Q11:Q17" si="6">B11</f>
        <v>用途</v>
      </c>
      <c r="R11" s="1456" t="s">
        <v>8</v>
      </c>
      <c r="S11" s="1457">
        <f t="shared" si="0"/>
        <v>100</v>
      </c>
      <c r="T11" s="1456" t="s">
        <v>8</v>
      </c>
      <c r="U11" s="1457">
        <f t="shared" si="1"/>
        <v>100</v>
      </c>
      <c r="V11" s="1456" t="s">
        <v>8</v>
      </c>
      <c r="W11" s="1457">
        <f t="shared" si="2"/>
        <v>100</v>
      </c>
      <c r="X11" s="1458"/>
      <c r="Y11" s="3648"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96"/>
      <c r="Q12" s="1096" t="str">
        <f t="shared" si="6"/>
        <v>土地使用年限（年）</v>
      </c>
      <c r="R12" s="1456" t="s">
        <v>8</v>
      </c>
      <c r="S12" s="1457">
        <f t="shared" si="0"/>
        <v>102</v>
      </c>
      <c r="T12" s="1456" t="s">
        <v>8</v>
      </c>
      <c r="U12" s="1457">
        <f t="shared" si="1"/>
        <v>102</v>
      </c>
      <c r="V12" s="1456" t="s">
        <v>8</v>
      </c>
      <c r="W12" s="1457">
        <f t="shared" si="2"/>
        <v>102</v>
      </c>
      <c r="X12" s="1458"/>
      <c r="Y12" s="3648"/>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96"/>
      <c r="Q13" s="1096" t="str">
        <f t="shared" si="6"/>
        <v>容积率</v>
      </c>
      <c r="R13" s="1456" t="s">
        <v>8</v>
      </c>
      <c r="S13" s="1457" t="e">
        <f t="shared" si="0"/>
        <v>#N/A</v>
      </c>
      <c r="T13" s="1456" t="s">
        <v>8</v>
      </c>
      <c r="U13" s="1457" t="e">
        <f t="shared" si="1"/>
        <v>#N/A</v>
      </c>
      <c r="V13" s="1456" t="s">
        <v>8</v>
      </c>
      <c r="W13" s="1457" t="e">
        <f t="shared" si="2"/>
        <v>#N/A</v>
      </c>
      <c r="X13" s="1458"/>
      <c r="Y13" s="3648"/>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96"/>
      <c r="Q14" s="1096">
        <f t="shared" si="6"/>
        <v>111</v>
      </c>
      <c r="R14" s="1456" t="s">
        <v>8</v>
      </c>
      <c r="S14" s="1457">
        <f t="shared" si="0"/>
        <v>100</v>
      </c>
      <c r="T14" s="1456" t="s">
        <v>8</v>
      </c>
      <c r="U14" s="1457">
        <f t="shared" si="1"/>
        <v>100</v>
      </c>
      <c r="V14" s="1456" t="s">
        <v>8</v>
      </c>
      <c r="W14" s="1457">
        <f t="shared" si="2"/>
        <v>100</v>
      </c>
      <c r="X14" s="1458"/>
      <c r="Y14" s="3648"/>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96"/>
      <c r="Q15" s="1096">
        <f t="shared" si="6"/>
        <v>111</v>
      </c>
      <c r="R15" s="1456" t="s">
        <v>8</v>
      </c>
      <c r="S15" s="1457">
        <f t="shared" si="0"/>
        <v>100</v>
      </c>
      <c r="T15" s="1456" t="s">
        <v>8</v>
      </c>
      <c r="U15" s="1457">
        <f t="shared" si="1"/>
        <v>100</v>
      </c>
      <c r="V15" s="1456" t="s">
        <v>8</v>
      </c>
      <c r="W15" s="1457">
        <f t="shared" si="2"/>
        <v>100</v>
      </c>
      <c r="X15" s="1458"/>
      <c r="Y15" s="3648"/>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96"/>
      <c r="Q16" s="1096">
        <f t="shared" si="6"/>
        <v>111</v>
      </c>
      <c r="R16" s="1456" t="s">
        <v>8</v>
      </c>
      <c r="S16" s="1457">
        <f t="shared" si="0"/>
        <v>100</v>
      </c>
      <c r="T16" s="1456" t="s">
        <v>8</v>
      </c>
      <c r="U16" s="1457">
        <f t="shared" si="1"/>
        <v>100</v>
      </c>
      <c r="V16" s="1456" t="s">
        <v>8</v>
      </c>
      <c r="W16" s="1457">
        <f t="shared" si="2"/>
        <v>100</v>
      </c>
      <c r="X16" s="1458"/>
      <c r="Y16" s="3648"/>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98" t="s">
        <v>523</v>
      </c>
      <c r="Q17" s="1460" t="str">
        <f t="shared" si="6"/>
        <v>产业集聚程度</v>
      </c>
      <c r="R17" s="1461" t="s">
        <v>8</v>
      </c>
      <c r="S17" s="1462">
        <f t="shared" si="0"/>
        <v>100</v>
      </c>
      <c r="T17" s="1461" t="s">
        <v>8</v>
      </c>
      <c r="U17" s="1462">
        <f t="shared" si="1"/>
        <v>100</v>
      </c>
      <c r="V17" s="1461" t="s">
        <v>8</v>
      </c>
      <c r="W17" s="1462">
        <f t="shared" si="2"/>
        <v>100</v>
      </c>
      <c r="X17" s="1455"/>
      <c r="Y17" s="3698"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699"/>
      <c r="Q18" s="1460"/>
      <c r="R18" s="1461"/>
      <c r="S18" s="1462"/>
      <c r="T18" s="1461"/>
      <c r="U18" s="1462"/>
      <c r="V18" s="1461"/>
      <c r="W18" s="1462"/>
      <c r="X18" s="1455"/>
      <c r="Y18" s="3699"/>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99"/>
      <c r="Q19" s="1460" t="str">
        <f>B19</f>
        <v>交通便捷度</v>
      </c>
      <c r="R19" s="1461" t="s">
        <v>8</v>
      </c>
      <c r="S19" s="1462">
        <f>F19</f>
        <v>100</v>
      </c>
      <c r="T19" s="1461" t="s">
        <v>8</v>
      </c>
      <c r="U19" s="1462">
        <f>H19</f>
        <v>100</v>
      </c>
      <c r="V19" s="1461" t="s">
        <v>8</v>
      </c>
      <c r="W19" s="1462">
        <f>J19</f>
        <v>100</v>
      </c>
      <c r="X19" s="1455"/>
      <c r="Y19" s="3699"/>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699"/>
      <c r="Q20" s="1460"/>
      <c r="R20" s="1461"/>
      <c r="S20" s="1462"/>
      <c r="T20" s="1461"/>
      <c r="U20" s="1462"/>
      <c r="V20" s="1461"/>
      <c r="W20" s="1462"/>
      <c r="X20" s="1455"/>
      <c r="Y20" s="3699"/>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699"/>
      <c r="Q21" s="1460" t="str">
        <f t="shared" ref="Q21:Q35" si="8">B21</f>
        <v>区域土地利用方向</v>
      </c>
      <c r="R21" s="1461" t="s">
        <v>8</v>
      </c>
      <c r="S21" s="1462">
        <f>F21</f>
        <v>100</v>
      </c>
      <c r="T21" s="1461" t="s">
        <v>8</v>
      </c>
      <c r="U21" s="1462">
        <f>H21</f>
        <v>100</v>
      </c>
      <c r="V21" s="1461" t="s">
        <v>8</v>
      </c>
      <c r="W21" s="1462">
        <f>J21</f>
        <v>100</v>
      </c>
      <c r="X21" s="1455"/>
      <c r="Y21" s="3699"/>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699"/>
      <c r="Q22" s="1460"/>
      <c r="R22" s="1461"/>
      <c r="S22" s="1462"/>
      <c r="T22" s="1461"/>
      <c r="U22" s="1462"/>
      <c r="V22" s="1461"/>
      <c r="W22" s="1462"/>
      <c r="X22" s="1455"/>
      <c r="Y22" s="3699"/>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99"/>
      <c r="Q23" s="1460" t="str">
        <f t="shared" si="8"/>
        <v>环境状况</v>
      </c>
      <c r="R23" s="1461" t="s">
        <v>8</v>
      </c>
      <c r="S23" s="1462">
        <f>F23</f>
        <v>100</v>
      </c>
      <c r="T23" s="1461" t="s">
        <v>8</v>
      </c>
      <c r="U23" s="1462">
        <f>H23</f>
        <v>100</v>
      </c>
      <c r="V23" s="1461" t="s">
        <v>8</v>
      </c>
      <c r="W23" s="1462">
        <f>J23</f>
        <v>100</v>
      </c>
      <c r="X23" s="1455"/>
      <c r="Y23" s="3699"/>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699"/>
      <c r="Q24" s="1460"/>
      <c r="R24" s="1461"/>
      <c r="S24" s="1462"/>
      <c r="T24" s="1461"/>
      <c r="U24" s="1462"/>
      <c r="V24" s="1461"/>
      <c r="W24" s="1462"/>
      <c r="X24" s="1455"/>
      <c r="Y24" s="3699"/>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99"/>
      <c r="Q25" s="1096" t="str">
        <f t="shared" si="8"/>
        <v>公共配套设施</v>
      </c>
      <c r="R25" s="1456" t="s">
        <v>8</v>
      </c>
      <c r="S25" s="1457">
        <f>F25</f>
        <v>100</v>
      </c>
      <c r="T25" s="1456" t="s">
        <v>8</v>
      </c>
      <c r="U25" s="1457">
        <f>H25</f>
        <v>100</v>
      </c>
      <c r="V25" s="1456" t="s">
        <v>8</v>
      </c>
      <c r="W25" s="1457">
        <f>J25</f>
        <v>100</v>
      </c>
      <c r="X25" s="1458"/>
      <c r="Y25" s="3699"/>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699"/>
      <c r="Q26" s="1096"/>
      <c r="R26" s="1456"/>
      <c r="S26" s="1457"/>
      <c r="T26" s="1456"/>
      <c r="U26" s="1457"/>
      <c r="V26" s="1456"/>
      <c r="W26" s="1457"/>
      <c r="X26" s="1458"/>
      <c r="Y26" s="3699"/>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99"/>
      <c r="Q27" s="2348" t="str">
        <f t="shared" ref="Q27" si="9">B27</f>
        <v>基础设施水平</v>
      </c>
      <c r="R27" s="1456" t="s">
        <v>8</v>
      </c>
      <c r="S27" s="1457">
        <f>F27</f>
        <v>100</v>
      </c>
      <c r="T27" s="1456" t="s">
        <v>8</v>
      </c>
      <c r="U27" s="1457">
        <f>H27</f>
        <v>100</v>
      </c>
      <c r="V27" s="1456" t="s">
        <v>8</v>
      </c>
      <c r="W27" s="1457">
        <f>J27</f>
        <v>100</v>
      </c>
      <c r="X27" s="1458"/>
      <c r="Y27" s="3699"/>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699"/>
      <c r="Q28" s="2348"/>
      <c r="R28" s="1456"/>
      <c r="S28" s="1457"/>
      <c r="T28" s="1456"/>
      <c r="U28" s="1457"/>
      <c r="V28" s="1456"/>
      <c r="W28" s="1457"/>
      <c r="X28" s="1458"/>
      <c r="Y28" s="3699"/>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99"/>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99"/>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99"/>
      <c r="Q30" s="1460" t="str">
        <f t="shared" si="8"/>
        <v>毗邻道路的类型与等级</v>
      </c>
      <c r="R30" s="1461" t="s">
        <v>8</v>
      </c>
      <c r="S30" s="1462">
        <f t="shared" si="10"/>
        <v>100</v>
      </c>
      <c r="T30" s="1461" t="s">
        <v>8</v>
      </c>
      <c r="U30" s="1462">
        <f t="shared" si="11"/>
        <v>100</v>
      </c>
      <c r="V30" s="1461" t="s">
        <v>8</v>
      </c>
      <c r="W30" s="1462">
        <f t="shared" si="12"/>
        <v>100</v>
      </c>
      <c r="X30" s="1455"/>
      <c r="Y30" s="3699"/>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699"/>
      <c r="Q31" s="1460"/>
      <c r="R31" s="1461"/>
      <c r="S31" s="1462"/>
      <c r="T31" s="1461"/>
      <c r="U31" s="1462"/>
      <c r="V31" s="1461"/>
      <c r="W31" s="1462"/>
      <c r="X31" s="1455"/>
      <c r="Y31" s="3699"/>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99"/>
      <c r="Q32" s="1460" t="str">
        <f t="shared" si="8"/>
        <v>土地级别</v>
      </c>
      <c r="R32" s="1461" t="s">
        <v>8</v>
      </c>
      <c r="S32" s="1462">
        <f t="shared" si="10"/>
        <v>100</v>
      </c>
      <c r="T32" s="1461" t="s">
        <v>8</v>
      </c>
      <c r="U32" s="1462">
        <f t="shared" si="11"/>
        <v>100</v>
      </c>
      <c r="V32" s="1461" t="s">
        <v>8</v>
      </c>
      <c r="W32" s="1462">
        <f t="shared" si="12"/>
        <v>100</v>
      </c>
      <c r="X32" s="1455"/>
      <c r="Y32" s="3699"/>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99"/>
      <c r="Q33" s="1460">
        <f t="shared" si="8"/>
        <v>111</v>
      </c>
      <c r="R33" s="1461" t="s">
        <v>8</v>
      </c>
      <c r="S33" s="1462">
        <f t="shared" si="10"/>
        <v>100</v>
      </c>
      <c r="T33" s="1461" t="s">
        <v>8</v>
      </c>
      <c r="U33" s="1462">
        <f t="shared" si="11"/>
        <v>100</v>
      </c>
      <c r="V33" s="1461" t="s">
        <v>8</v>
      </c>
      <c r="W33" s="1462">
        <f t="shared" si="12"/>
        <v>100</v>
      </c>
      <c r="X33" s="1455"/>
      <c r="Y33" s="3699"/>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700" t="s">
        <v>533</v>
      </c>
      <c r="Q34" s="1460">
        <f t="shared" si="8"/>
        <v>111</v>
      </c>
      <c r="R34" s="1461" t="s">
        <v>8</v>
      </c>
      <c r="S34" s="1462">
        <f t="shared" si="10"/>
        <v>100</v>
      </c>
      <c r="T34" s="1461" t="s">
        <v>8</v>
      </c>
      <c r="U34" s="1462">
        <f t="shared" si="11"/>
        <v>100</v>
      </c>
      <c r="V34" s="1461" t="s">
        <v>8</v>
      </c>
      <c r="W34" s="1462">
        <f t="shared" si="12"/>
        <v>100</v>
      </c>
      <c r="X34" s="1455"/>
      <c r="Y34" s="3701"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701"/>
      <c r="Q35" s="1460">
        <f t="shared" si="8"/>
        <v>111</v>
      </c>
      <c r="R35" s="1465" t="s">
        <v>8</v>
      </c>
      <c r="S35" s="1466">
        <f t="shared" si="10"/>
        <v>100</v>
      </c>
      <c r="T35" s="1465" t="s">
        <v>8</v>
      </c>
      <c r="U35" s="1466">
        <f t="shared" si="11"/>
        <v>100</v>
      </c>
      <c r="V35" s="1465" t="s">
        <v>8</v>
      </c>
      <c r="W35" s="1466">
        <f t="shared" si="12"/>
        <v>100</v>
      </c>
      <c r="X35" s="1467"/>
      <c r="Y35" s="3701"/>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701"/>
      <c r="Q36" s="1460" t="str">
        <f>B36</f>
        <v>宗地面积</v>
      </c>
      <c r="R36" s="1461" t="s">
        <v>8</v>
      </c>
      <c r="S36" s="1462" t="e">
        <f t="shared" si="10"/>
        <v>#N/A</v>
      </c>
      <c r="T36" s="1461" t="s">
        <v>8</v>
      </c>
      <c r="U36" s="1462" t="e">
        <f t="shared" si="11"/>
        <v>#N/A</v>
      </c>
      <c r="V36" s="1461" t="s">
        <v>8</v>
      </c>
      <c r="W36" s="1462" t="e">
        <f t="shared" si="12"/>
        <v>#N/A</v>
      </c>
      <c r="X36" s="1455"/>
      <c r="Y36" s="3701"/>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701"/>
      <c r="Q37" s="1460" t="str">
        <f t="shared" ref="Q37:Q42" si="14">B37</f>
        <v>宗地形状</v>
      </c>
      <c r="R37" s="1461" t="s">
        <v>8</v>
      </c>
      <c r="S37" s="1462">
        <f t="shared" si="10"/>
        <v>100</v>
      </c>
      <c r="T37" s="1461" t="s">
        <v>8</v>
      </c>
      <c r="U37" s="1462">
        <f t="shared" si="11"/>
        <v>100</v>
      </c>
      <c r="V37" s="1461" t="s">
        <v>8</v>
      </c>
      <c r="W37" s="1462">
        <f t="shared" si="12"/>
        <v>100</v>
      </c>
      <c r="X37" s="1455"/>
      <c r="Y37" s="3701"/>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701"/>
      <c r="Q38" s="1460" t="str">
        <f t="shared" si="14"/>
        <v>宗地开发程度</v>
      </c>
      <c r="R38" s="1456" t="s">
        <v>8</v>
      </c>
      <c r="S38" s="1457">
        <f t="shared" si="10"/>
        <v>100</v>
      </c>
      <c r="T38" s="1456" t="s">
        <v>8</v>
      </c>
      <c r="U38" s="1457">
        <f t="shared" si="11"/>
        <v>100</v>
      </c>
      <c r="V38" s="1456" t="s">
        <v>8</v>
      </c>
      <c r="W38" s="1457">
        <f t="shared" si="12"/>
        <v>100</v>
      </c>
      <c r="X38" s="1458"/>
      <c r="Y38" s="3701"/>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701" t="s">
        <v>583</v>
      </c>
      <c r="Q39" s="1460" t="str">
        <f t="shared" si="14"/>
        <v>工程地质条件</v>
      </c>
      <c r="R39" s="1461" t="s">
        <v>8</v>
      </c>
      <c r="S39" s="1462">
        <f t="shared" si="10"/>
        <v>100</v>
      </c>
      <c r="T39" s="1461" t="s">
        <v>8</v>
      </c>
      <c r="U39" s="1462">
        <f t="shared" si="11"/>
        <v>100</v>
      </c>
      <c r="V39" s="1461" t="s">
        <v>8</v>
      </c>
      <c r="W39" s="1462">
        <f t="shared" si="12"/>
        <v>100</v>
      </c>
      <c r="X39" s="1455"/>
      <c r="Y39" s="3701"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701"/>
      <c r="Q40" s="1460">
        <f t="shared" si="14"/>
        <v>111</v>
      </c>
      <c r="R40" s="1461" t="s">
        <v>8</v>
      </c>
      <c r="S40" s="1462">
        <f t="shared" si="10"/>
        <v>100</v>
      </c>
      <c r="T40" s="1461" t="s">
        <v>8</v>
      </c>
      <c r="U40" s="1462">
        <f t="shared" si="11"/>
        <v>100</v>
      </c>
      <c r="V40" s="1461" t="s">
        <v>8</v>
      </c>
      <c r="W40" s="1462">
        <f t="shared" si="12"/>
        <v>100</v>
      </c>
      <c r="X40" s="1455"/>
      <c r="Y40" s="3701"/>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701"/>
      <c r="Q41" s="1460">
        <f t="shared" si="14"/>
        <v>111</v>
      </c>
      <c r="R41" s="1461" t="s">
        <v>8</v>
      </c>
      <c r="S41" s="1462">
        <f t="shared" si="10"/>
        <v>100</v>
      </c>
      <c r="T41" s="1461" t="s">
        <v>8</v>
      </c>
      <c r="U41" s="1462">
        <f t="shared" si="11"/>
        <v>100</v>
      </c>
      <c r="V41" s="1461" t="s">
        <v>8</v>
      </c>
      <c r="W41" s="1462">
        <f t="shared" si="12"/>
        <v>100</v>
      </c>
      <c r="X41" s="1455"/>
      <c r="Y41" s="3701"/>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701"/>
      <c r="Q42" s="1460">
        <f t="shared" si="14"/>
        <v>111</v>
      </c>
      <c r="R42" s="1465" t="s">
        <v>8</v>
      </c>
      <c r="S42" s="1466">
        <f t="shared" si="10"/>
        <v>100</v>
      </c>
      <c r="T42" s="1465" t="s">
        <v>8</v>
      </c>
      <c r="U42" s="1466">
        <f t="shared" si="11"/>
        <v>100</v>
      </c>
      <c r="V42" s="1465" t="s">
        <v>8</v>
      </c>
      <c r="W42" s="1466">
        <f t="shared" si="12"/>
        <v>100</v>
      </c>
      <c r="X42" s="1467"/>
      <c r="Y42" s="3701"/>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96" t="str">
        <f>A43</f>
        <v>成交单价</v>
      </c>
      <c r="Q43" s="3696"/>
      <c r="R43" s="3712">
        <f>E43</f>
        <v>0</v>
      </c>
      <c r="S43" s="3712"/>
      <c r="T43" s="3712">
        <f>G43</f>
        <v>0</v>
      </c>
      <c r="U43" s="3712"/>
      <c r="V43" s="3712">
        <f>I43</f>
        <v>0</v>
      </c>
      <c r="W43" s="3712"/>
      <c r="X43" s="1450"/>
      <c r="Y43" s="1469"/>
      <c r="Z43" s="1450"/>
      <c r="AA43" s="1450"/>
      <c r="AB43" s="1450"/>
      <c r="AC43" s="1450"/>
    </row>
    <row r="44" spans="1:29" ht="15.75" thickBot="1">
      <c r="A44" s="592" t="s">
        <v>2409</v>
      </c>
      <c r="B44" s="593"/>
      <c r="C44" s="594" t="e">
        <f>R45</f>
        <v>#DIV/0!</v>
      </c>
      <c r="D44" s="2919" t="s">
        <v>2700</v>
      </c>
      <c r="E44" s="594" t="e">
        <f>R44</f>
        <v>#DIV/0!</v>
      </c>
      <c r="F44" s="2920"/>
      <c r="G44" s="595" t="e">
        <f>T44</f>
        <v>#DIV/0!</v>
      </c>
      <c r="H44" s="2920"/>
      <c r="I44" s="594" t="e">
        <f>V44</f>
        <v>#DIV/0!</v>
      </c>
      <c r="J44" s="2920"/>
      <c r="K44" s="2921">
        <f>F44+H44+J44</f>
        <v>0</v>
      </c>
      <c r="L44" s="1978"/>
      <c r="M44" s="1968"/>
      <c r="N44" s="1968"/>
      <c r="O44" s="1979"/>
      <c r="P44" s="3696" t="str">
        <f>A44</f>
        <v>比较价格（元/平方米）</v>
      </c>
      <c r="Q44" s="3696"/>
      <c r="R44" s="3722" t="e">
        <f>ROUND(PRODUCT(R43,AA9:AA42),0)</f>
        <v>#DIV/0!</v>
      </c>
      <c r="S44" s="3722"/>
      <c r="T44" s="3722" t="e">
        <f>ROUND(PRODUCT(T43,AB9:AB42),0)</f>
        <v>#DIV/0!</v>
      </c>
      <c r="U44" s="3722"/>
      <c r="V44" s="3722" t="e">
        <f>ROUND(PRODUCT(V43,AC9:AC42),0)</f>
        <v>#DIV/0!</v>
      </c>
      <c r="W44" s="3722"/>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702" t="str">
        <f>A45</f>
        <v>估价对象XX用房的比较价格（楼面单价，元/平方米）</v>
      </c>
      <c r="Q45" s="3703"/>
      <c r="R45" s="3731" t="e">
        <f>ROUND(IF(D44="简单平均",AVERAGE(R44:W44),R44*F44+T44*H44+V44*J44),0)</f>
        <v>#DIV/0!</v>
      </c>
      <c r="S45" s="3731"/>
      <c r="T45" s="3731"/>
      <c r="U45" s="3731"/>
      <c r="V45" s="3731"/>
      <c r="W45" s="3731"/>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27" t="s">
        <v>2074</v>
      </c>
      <c r="H52" s="3728"/>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126110.45999999999</v>
      </c>
      <c r="F53" s="1817" t="e">
        <f t="shared" ref="F53:F61" si="15">ROUND(B53*E53/10000,0)</f>
        <v>#DIV/0!</v>
      </c>
      <c r="G53" s="3729"/>
      <c r="H53" s="3730"/>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52253.13</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23308.880000000001</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2022-11-1</v>
      </c>
      <c r="D64" s="2436">
        <f>EDATE(C64,-3)</f>
        <v>44774</v>
      </c>
      <c r="E64" s="2436">
        <f t="shared" ref="E64:N64" si="18">EDATE(D64,-3)</f>
        <v>44682</v>
      </c>
      <c r="F64" s="2436">
        <f t="shared" si="18"/>
        <v>44593</v>
      </c>
      <c r="G64" s="2436">
        <f t="shared" si="18"/>
        <v>44501</v>
      </c>
      <c r="H64" s="2436">
        <f t="shared" si="18"/>
        <v>44409</v>
      </c>
      <c r="I64" s="2436">
        <f t="shared" si="18"/>
        <v>44317</v>
      </c>
      <c r="J64" s="2436">
        <f t="shared" si="18"/>
        <v>44228</v>
      </c>
      <c r="K64" s="2436">
        <f t="shared" si="18"/>
        <v>44136</v>
      </c>
      <c r="L64" s="2436">
        <f t="shared" si="18"/>
        <v>44044</v>
      </c>
      <c r="M64" s="2436">
        <f t="shared" si="18"/>
        <v>43952</v>
      </c>
      <c r="N64" s="2436">
        <f t="shared" si="18"/>
        <v>43862</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f>ROUND(IF(G3&gt;1,IF(R2&lt;7,SUMPRODUCT((B93:B98=R2)*(C92:N92=G2)*(C93:N98)),SUMIF(C92:N92,G2,C100:N100)),IF(R2&lt;7,SUMPRODUCT((B102:B107=R2)*(C92:N92=G2)*(C102:N107)),SUMIF(C92:N92,G2,C109:N109))),4)</f>
        <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5.65</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f>ROUND(IF(G3&gt;1,IF(R3&lt;7,SUMPRODUCT((B93:B98=R3)*(C92:N92=G2)*(C93:N98)),SUMIF(C92:N92,G2,C100:N100)),IF(R3&lt;7,SUMPRODUCT((B102:B107=R3)*(C92:N92=G2)*(C102:N107)),SUMIF(C92:N92,G2,C109:N109))),4)</f>
        <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f>ROUND(IF(G3&gt;1,IF(R4&lt;7,SUMPRODUCT((B93:B98=R4)*(C92:N92=G2)*(C93:N98)),SUMIF(C92:N92,G2,C100:N100)),IF(R4&lt;7,SUMPRODUCT((B102:B107=R4)*(C92:N92=G2)*(C102:N107)),SUMIF(C92:N92,G2,C109:N109))),4)</f>
        <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f>ROUND(IF(G3&gt;1,IF(R5&lt;7,SUMPRODUCT((B93:B98=R5)*(C92:N92=G2)*(C93:N98)),SUMIF(C92:N92,G2,C100:N100)),IF(R5&lt;7,SUMPRODUCT((B102:B107=R5)*(C92:N92=G2)*(C102:N107)),SUMIF(C92:N92,G2,C109:N109))),4)</f>
        <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f>ROUND(IF(G3&gt;1,IF(R6&lt;7,SUMPRODUCT((B93:B98=R6)*(C92:N92=G2)*(C93:N98)),SUMIF(C92:N92,G2,C100:N100)),IF(R6&lt;7,SUMPRODUCT((B102:B107=R6)*(C92:N92=G2)*(C102:N107)),SUMIF(C92:N92,G2,C109:N109))),4)</f>
        <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39"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f>ROUND(IF(G3&gt;1,IF(R7&lt;7,SUMPRODUCT((B93:B98=R7)*(C92:N92=G2)*(C93:N98)),SUMIF(C92:N92,G2,C100:N100)),IF(R7&lt;7,SUMPRODUCT((B102:B107=R7)*(C92:N92=G2)*(C102:N107)),SUMIF(C92:N92,G2,C109:N109))),4)</f>
        <v>0</v>
      </c>
      <c r="T7" s="2573" t="e">
        <f t="shared" si="0"/>
        <v>#DIV/0!</v>
      </c>
      <c r="U7" s="2562"/>
      <c r="V7" s="2573" t="e">
        <f t="shared" si="1"/>
        <v>#DIV/0!</v>
      </c>
      <c r="W7" s="2571" t="s">
        <v>2480</v>
      </c>
      <c r="X7" s="2563">
        <f>G2</f>
        <v>0</v>
      </c>
      <c r="Y7" s="2563" t="s">
        <v>2481</v>
      </c>
      <c r="Z7" s="2564">
        <f>G3</f>
        <v>5.65</v>
      </c>
      <c r="AA7" s="2025"/>
      <c r="AB7" s="2025"/>
      <c r="AC7" s="2026"/>
      <c r="AD7" s="2565"/>
      <c r="AE7" s="2565"/>
      <c r="AF7" s="2565"/>
      <c r="AG7" s="2565"/>
      <c r="AH7" s="2565"/>
      <c r="AI7" s="2565"/>
      <c r="AJ7" s="2566"/>
    </row>
    <row r="8" spans="1:39" ht="15">
      <c r="A8" s="3740"/>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50" t="s">
        <v>2498</v>
      </c>
      <c r="X8" s="3751"/>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40"/>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49"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40"/>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49"/>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40"/>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49" t="s">
        <v>2496</v>
      </c>
      <c r="X11" s="1016" t="s">
        <v>2481</v>
      </c>
      <c r="Y11" s="1534">
        <f>$G$3</f>
        <v>5.65</v>
      </c>
      <c r="Z11" s="1534">
        <f t="shared" ref="Z11:AJ11" si="3">$G$3</f>
        <v>5.65</v>
      </c>
      <c r="AA11" s="1534">
        <f t="shared" si="3"/>
        <v>5.65</v>
      </c>
      <c r="AB11" s="1534">
        <f t="shared" si="3"/>
        <v>5.65</v>
      </c>
      <c r="AC11" s="1534">
        <f t="shared" si="3"/>
        <v>5.65</v>
      </c>
      <c r="AD11" s="1534">
        <f t="shared" si="3"/>
        <v>5.65</v>
      </c>
      <c r="AE11" s="1534">
        <f t="shared" si="3"/>
        <v>5.65</v>
      </c>
      <c r="AF11" s="1534">
        <f t="shared" si="3"/>
        <v>5.65</v>
      </c>
      <c r="AG11" s="1534">
        <f t="shared" si="3"/>
        <v>5.65</v>
      </c>
      <c r="AH11" s="1534">
        <f t="shared" si="3"/>
        <v>5.65</v>
      </c>
      <c r="AI11" s="1534">
        <f t="shared" si="3"/>
        <v>5.65</v>
      </c>
      <c r="AJ11" s="1534">
        <f t="shared" si="3"/>
        <v>5.65</v>
      </c>
    </row>
    <row r="12" spans="1:39" ht="25.5" thickBot="1">
      <c r="A12" s="3739"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49"/>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41"/>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49"/>
      <c r="X13" s="2570"/>
      <c r="Y13" s="2569">
        <f>(-0.163*(Y12^2)-0.59*Y12+7617)*(10^(-4))/Y11</f>
        <v>0.13481415929203538</v>
      </c>
      <c r="Z13" s="2569">
        <f t="shared" ref="Z13:AJ13" si="5">(-0.163*(Z12^2)-0.59*Z12+7617)*(10^(-4))/Z11</f>
        <v>0.13481415929203538</v>
      </c>
      <c r="AA13" s="2569">
        <f t="shared" si="5"/>
        <v>0.13481415929203538</v>
      </c>
      <c r="AB13" s="2569">
        <f t="shared" si="5"/>
        <v>0.13481415929203538</v>
      </c>
      <c r="AC13" s="2569">
        <f t="shared" si="5"/>
        <v>0.13481415929203538</v>
      </c>
      <c r="AD13" s="2569">
        <f t="shared" si="5"/>
        <v>0.13481415929203538</v>
      </c>
      <c r="AE13" s="2569">
        <f t="shared" si="5"/>
        <v>0.13481415929203538</v>
      </c>
      <c r="AF13" s="2569">
        <f t="shared" si="5"/>
        <v>0.13481415929203538</v>
      </c>
      <c r="AG13" s="2569">
        <f t="shared" si="5"/>
        <v>0.13481415929203538</v>
      </c>
      <c r="AH13" s="2569">
        <f t="shared" si="5"/>
        <v>0.13481415929203538</v>
      </c>
      <c r="AI13" s="2569">
        <f t="shared" si="5"/>
        <v>0.13481415929203538</v>
      </c>
      <c r="AJ13" s="2569">
        <f t="shared" si="5"/>
        <v>0.13481415929203538</v>
      </c>
    </row>
    <row r="14" spans="1:39" ht="12.75" customHeight="1">
      <c r="A14" s="3741"/>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42"/>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39" t="s">
        <v>1637</v>
      </c>
      <c r="B16" s="1329" t="s">
        <v>928</v>
      </c>
      <c r="C16" s="1020" t="e">
        <f>ROUND(IF(F17="与级别开发程度一致",0,(G17-E17)/C17),0)</f>
        <v>#DIV/0!</v>
      </c>
      <c r="D16" s="3757" t="s">
        <v>932</v>
      </c>
      <c r="E16" s="3758"/>
      <c r="F16" s="3757" t="s">
        <v>929</v>
      </c>
      <c r="G16" s="3758"/>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43"/>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44895</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2718</v>
      </c>
      <c r="C21" s="1103">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f>IF(E22=G22,F22,IF(G3&lt;=10,ROUND(F22+(H22-F22)*(G3-E22)/(G22-E22),4),"——"))</f>
        <v>0</v>
      </c>
      <c r="E22" s="1007">
        <f>ROUNDDOWN(G3,1)</f>
        <v>5.6</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5.6999999999999993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46"/>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46" t="s">
        <v>2722</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47"/>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47"/>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47"/>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47"/>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48"/>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48"/>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4" t="s">
        <v>1433</v>
      </c>
      <c r="B90" s="3744"/>
      <c r="C90" s="3744"/>
      <c r="D90" s="3744"/>
      <c r="E90" s="3744"/>
      <c r="F90" s="3744"/>
      <c r="G90" s="3744"/>
      <c r="H90" s="3744"/>
      <c r="I90" s="3744"/>
      <c r="J90" s="3744"/>
      <c r="K90" s="2257"/>
      <c r="L90" s="2257"/>
      <c r="M90" s="2257"/>
      <c r="N90" s="2257"/>
    </row>
    <row r="91" spans="1:40">
      <c r="A91" s="3745" t="s">
        <v>1421</v>
      </c>
      <c r="B91" s="3745" t="s">
        <v>1434</v>
      </c>
      <c r="C91" s="1085" t="s">
        <v>1435</v>
      </c>
      <c r="D91" s="1086"/>
      <c r="E91" s="1086"/>
      <c r="F91" s="1086"/>
      <c r="G91" s="1086"/>
      <c r="H91" s="1086"/>
      <c r="I91" s="1086"/>
      <c r="J91" s="1087"/>
      <c r="K91" s="1079"/>
      <c r="L91" s="1079"/>
      <c r="M91" s="1079"/>
      <c r="N91" s="1079"/>
    </row>
    <row r="92" spans="1:40">
      <c r="A92" s="3745"/>
      <c r="B92" s="3745"/>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52"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53"/>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53"/>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53"/>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53"/>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53"/>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53"/>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54"/>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52" t="s">
        <v>1437</v>
      </c>
      <c r="B101" s="1092" t="s">
        <v>884</v>
      </c>
      <c r="C101" s="1093">
        <f>$G$3</f>
        <v>5.65</v>
      </c>
      <c r="D101" s="1093">
        <f t="shared" ref="D101:N101" si="31">$G$3</f>
        <v>5.65</v>
      </c>
      <c r="E101" s="1093">
        <f t="shared" si="31"/>
        <v>5.65</v>
      </c>
      <c r="F101" s="1093">
        <f t="shared" si="31"/>
        <v>5.65</v>
      </c>
      <c r="G101" s="1093">
        <f t="shared" si="31"/>
        <v>5.65</v>
      </c>
      <c r="H101" s="1093">
        <f t="shared" si="31"/>
        <v>5.65</v>
      </c>
      <c r="I101" s="1093">
        <f t="shared" si="31"/>
        <v>5.65</v>
      </c>
      <c r="J101" s="1093">
        <f t="shared" si="31"/>
        <v>5.65</v>
      </c>
      <c r="K101" s="1093">
        <f t="shared" si="31"/>
        <v>5.65</v>
      </c>
      <c r="L101" s="1093">
        <f t="shared" si="31"/>
        <v>5.65</v>
      </c>
      <c r="M101" s="1093">
        <f t="shared" si="31"/>
        <v>5.65</v>
      </c>
      <c r="N101" s="1093">
        <f t="shared" si="31"/>
        <v>5.65</v>
      </c>
    </row>
    <row r="102" spans="1:14">
      <c r="A102" s="3753"/>
      <c r="B102" s="1088">
        <v>1</v>
      </c>
      <c r="C102" s="1089">
        <f>1.9362/C101</f>
        <v>0.34269026548672565</v>
      </c>
      <c r="D102" s="1089">
        <f>1.9362/D101</f>
        <v>0.34269026548672565</v>
      </c>
      <c r="E102" s="1089">
        <f>1.8629/E101</f>
        <v>0.32971681415929199</v>
      </c>
      <c r="F102" s="1089">
        <f>1.8629/F101</f>
        <v>0.32971681415929199</v>
      </c>
      <c r="G102" s="1089">
        <f>1.8629/G101</f>
        <v>0.32971681415929199</v>
      </c>
      <c r="H102" s="1089">
        <f>1.8629/H101</f>
        <v>0.32971681415929199</v>
      </c>
      <c r="I102" s="1089">
        <f>1.8629/I101</f>
        <v>0.32971681415929199</v>
      </c>
      <c r="J102" s="1089">
        <f>1.942/J101</f>
        <v>0.34371681415929201</v>
      </c>
      <c r="K102" s="1089">
        <f>1.942/K101</f>
        <v>0.34371681415929201</v>
      </c>
      <c r="L102" s="1089">
        <f>1.942/L101</f>
        <v>0.34371681415929201</v>
      </c>
      <c r="M102" s="1089">
        <f>1.942/M101</f>
        <v>0.34371681415929201</v>
      </c>
      <c r="N102" s="1089">
        <f>1.942/N101</f>
        <v>0.34371681415929201</v>
      </c>
    </row>
    <row r="103" spans="1:14">
      <c r="A103" s="3753"/>
      <c r="B103" s="1088">
        <v>2</v>
      </c>
      <c r="C103" s="1089">
        <f>1.4198/C101</f>
        <v>0.25129203539823008</v>
      </c>
      <c r="D103" s="1089">
        <f>1.4198/D101</f>
        <v>0.25129203539823008</v>
      </c>
      <c r="E103" s="1089">
        <f>1.3372/E101</f>
        <v>0.23667256637168138</v>
      </c>
      <c r="F103" s="1089">
        <f>1.3372/F101</f>
        <v>0.23667256637168138</v>
      </c>
      <c r="G103" s="1089">
        <f>1.3372/G101</f>
        <v>0.23667256637168138</v>
      </c>
      <c r="H103" s="1089">
        <f>1.3372/H101</f>
        <v>0.23667256637168138</v>
      </c>
      <c r="I103" s="1089">
        <f>1.3372/I101</f>
        <v>0.23667256637168138</v>
      </c>
      <c r="J103" s="1089">
        <f>1.2799/J101</f>
        <v>0.22653097345132742</v>
      </c>
      <c r="K103" s="1089">
        <f>1.2799/K101</f>
        <v>0.22653097345132742</v>
      </c>
      <c r="L103" s="1089">
        <f>1.2799/L101</f>
        <v>0.22653097345132742</v>
      </c>
      <c r="M103" s="1089">
        <f>1.2799/M101</f>
        <v>0.22653097345132742</v>
      </c>
      <c r="N103" s="1089">
        <f>1.2799/N101</f>
        <v>0.22653097345132742</v>
      </c>
    </row>
    <row r="104" spans="1:14">
      <c r="A104" s="3753"/>
      <c r="B104" s="1088">
        <v>3</v>
      </c>
      <c r="C104" s="1089">
        <f>1.1594/C101</f>
        <v>0.20520353982300885</v>
      </c>
      <c r="D104" s="1089">
        <f>1.1594/D101</f>
        <v>0.20520353982300885</v>
      </c>
      <c r="E104" s="1089">
        <f>1.0788/E101</f>
        <v>0.19093805309734513</v>
      </c>
      <c r="F104" s="1089">
        <f>1.0788/F101</f>
        <v>0.19093805309734513</v>
      </c>
      <c r="G104" s="1089">
        <f>1.0788/G101</f>
        <v>0.19093805309734513</v>
      </c>
      <c r="H104" s="1089">
        <f>1.0788/H101</f>
        <v>0.19093805309734513</v>
      </c>
      <c r="I104" s="1089">
        <f>1.0788/I101</f>
        <v>0.19093805309734513</v>
      </c>
      <c r="J104" s="1089">
        <f>1.0072/J101</f>
        <v>0.17826548672566372</v>
      </c>
      <c r="K104" s="1089">
        <f>1.0072/K101</f>
        <v>0.17826548672566372</v>
      </c>
      <c r="L104" s="1089">
        <f>1.0072/L101</f>
        <v>0.17826548672566372</v>
      </c>
      <c r="M104" s="1089">
        <f>1.0072/M101</f>
        <v>0.17826548672566372</v>
      </c>
      <c r="N104" s="1089">
        <f>1.0072/N101</f>
        <v>0.17826548672566372</v>
      </c>
    </row>
    <row r="105" spans="1:14">
      <c r="A105" s="3753"/>
      <c r="B105" s="1088">
        <v>4</v>
      </c>
      <c r="C105" s="1089">
        <f>0.9622/C101</f>
        <v>0.17030088495575221</v>
      </c>
      <c r="D105" s="1089">
        <f>0.9622/D101</f>
        <v>0.17030088495575221</v>
      </c>
      <c r="E105" s="1089">
        <f>0.8656/E101</f>
        <v>0.15320353982300886</v>
      </c>
      <c r="F105" s="1089">
        <f>0.8656/F101</f>
        <v>0.15320353982300886</v>
      </c>
      <c r="G105" s="1089">
        <f>0.8656/G101</f>
        <v>0.15320353982300886</v>
      </c>
      <c r="H105" s="1089">
        <f>0.8656/H101</f>
        <v>0.15320353982300886</v>
      </c>
      <c r="I105" s="1089">
        <f>0.8656/I101</f>
        <v>0.15320353982300886</v>
      </c>
      <c r="J105" s="1089">
        <f>0.7525/J101</f>
        <v>0.13318584070796458</v>
      </c>
      <c r="K105" s="1089">
        <f>0.7525/K101</f>
        <v>0.13318584070796458</v>
      </c>
      <c r="L105" s="1089">
        <f>0.7525/L101</f>
        <v>0.13318584070796458</v>
      </c>
      <c r="M105" s="1089">
        <f>0.7525/M101</f>
        <v>0.13318584070796458</v>
      </c>
      <c r="N105" s="1089">
        <f>0.7525/N101</f>
        <v>0.13318584070796458</v>
      </c>
    </row>
    <row r="106" spans="1:14">
      <c r="A106" s="3753"/>
      <c r="B106" s="1088">
        <v>5</v>
      </c>
      <c r="C106" s="1089">
        <f>0.8417/C101</f>
        <v>0.14897345132743361</v>
      </c>
      <c r="D106" s="1089">
        <f>0.8417/D101</f>
        <v>0.14897345132743361</v>
      </c>
      <c r="E106" s="1089">
        <f>0.7371/E101</f>
        <v>0.13046017699115042</v>
      </c>
      <c r="F106" s="1089">
        <f>0.7371/F101</f>
        <v>0.13046017699115042</v>
      </c>
      <c r="G106" s="1089">
        <f>0.7371/G101</f>
        <v>0.13046017699115042</v>
      </c>
      <c r="H106" s="1089">
        <f>0.7371/H101</f>
        <v>0.13046017699115042</v>
      </c>
      <c r="I106" s="1089">
        <f>0.7371/I101</f>
        <v>0.13046017699115042</v>
      </c>
      <c r="J106" s="1089">
        <f>0.5659/J101</f>
        <v>0.10015929203539822</v>
      </c>
      <c r="K106" s="1089">
        <f>0.5659/K101</f>
        <v>0.10015929203539822</v>
      </c>
      <c r="L106" s="1089">
        <f>0.5659/L101</f>
        <v>0.10015929203539822</v>
      </c>
      <c r="M106" s="1089">
        <f>0.5659/M101</f>
        <v>0.10015929203539822</v>
      </c>
      <c r="N106" s="1089">
        <f>0.5659/N101</f>
        <v>0.10015929203539822</v>
      </c>
    </row>
    <row r="107" spans="1:14">
      <c r="A107" s="3753"/>
      <c r="B107" s="1088">
        <v>6</v>
      </c>
      <c r="C107" s="1089">
        <f>0.7608/C101</f>
        <v>0.13465486725663717</v>
      </c>
      <c r="D107" s="1089">
        <f>0.7608/D101</f>
        <v>0.13465486725663717</v>
      </c>
      <c r="E107" s="1089">
        <f>0.6482/E101</f>
        <v>0.11472566371681416</v>
      </c>
      <c r="F107" s="1089">
        <f>0.6482/F101</f>
        <v>0.11472566371681416</v>
      </c>
      <c r="G107" s="1089">
        <f>0.6482/G101</f>
        <v>0.11472566371681416</v>
      </c>
      <c r="H107" s="1089">
        <f>0.6482/H101</f>
        <v>0.11472566371681416</v>
      </c>
      <c r="I107" s="1089">
        <f>0.6482/I101</f>
        <v>0.11472566371681416</v>
      </c>
      <c r="J107" s="1089">
        <f>0.4525/J101</f>
        <v>8.0088495575221241E-2</v>
      </c>
      <c r="K107" s="1089">
        <f>0.4525/K101</f>
        <v>8.0088495575221241E-2</v>
      </c>
      <c r="L107" s="1089">
        <f>0.4525/L101</f>
        <v>8.0088495575221241E-2</v>
      </c>
      <c r="M107" s="1089">
        <f>0.4525/M101</f>
        <v>8.0088495575221241E-2</v>
      </c>
      <c r="N107" s="1089">
        <f>0.4525/N101</f>
        <v>8.0088495575221241E-2</v>
      </c>
    </row>
    <row r="108" spans="1:14">
      <c r="A108" s="3753"/>
      <c r="B108" s="3755"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54"/>
      <c r="B109" s="3756"/>
      <c r="C109" s="1091">
        <f>(-0.163*(C108^2)-0.59*C108+7617)*(10^(-4))/C101</f>
        <v>0.13454598230088494</v>
      </c>
      <c r="D109" s="1091">
        <f>(-0.163*(D108^2)-0.59*D108+7617)*(10^(-4))/D101</f>
        <v>0.13454598230088494</v>
      </c>
      <c r="E109" s="1091">
        <f>(-0.161*(E108^2)-7.509*E108+6533)*(10^(-4))/E101</f>
        <v>0.11438272566371681</v>
      </c>
      <c r="F109" s="1091">
        <f>(-0.161*(F108^2)-7.509*F108+6533)*(10^(-4))/F101</f>
        <v>0.11438272566371681</v>
      </c>
      <c r="G109" s="1091">
        <f>(-0.161*(G108^2)-7.509*G108+6533)*(10^(-4))/G101</f>
        <v>0.11438272566371681</v>
      </c>
      <c r="H109" s="1091">
        <f>(-0.161*(H108^2)-7.509*H108+6533)*(10^(-4))/H101</f>
        <v>0.11438272566371681</v>
      </c>
      <c r="I109" s="1091">
        <f>(-0.161*(I108^2)-7.509*I108+6533)*(10^(-4))/I101</f>
        <v>0.11438272566371681</v>
      </c>
      <c r="J109" s="1091">
        <f>(-0.214*(J108^2)-21.991*J108+4665)*(10^(-4))/J101</f>
        <v>7.9210194690265481E-2</v>
      </c>
      <c r="K109" s="1091">
        <f>(-0.214*(K108^2)-21.991*K108+4665)*(10^(-4))/K101</f>
        <v>7.9210194690265481E-2</v>
      </c>
      <c r="L109" s="1091">
        <f>(-0.214*(L108^2)-21.991*L108+4665)*(10^(-4))/L101</f>
        <v>7.9210194690265481E-2</v>
      </c>
      <c r="M109" s="1091">
        <f>(-0.214*(M108^2)-21.991*M108+4665)*(10^(-4))/M101</f>
        <v>7.9210194690265481E-2</v>
      </c>
      <c r="N109" s="1091">
        <f>(-0.214*(N108^2)-21.991*N108+4665)*(10^(-4))/N101</f>
        <v>7.9210194690265481E-2</v>
      </c>
    </row>
    <row r="110" spans="1:14">
      <c r="A110" s="3738" t="s">
        <v>1439</v>
      </c>
      <c r="B110" s="3738"/>
      <c r="C110" s="3738"/>
      <c r="D110" s="3738"/>
      <c r="E110" s="3738"/>
      <c r="F110" s="3738"/>
      <c r="G110" s="3738"/>
      <c r="H110" s="3738"/>
      <c r="I110" s="3738"/>
      <c r="J110" s="3738"/>
      <c r="K110" s="2255"/>
      <c r="L110" s="2255"/>
      <c r="M110" s="2255"/>
      <c r="N110" s="2255"/>
    </row>
    <row r="112" spans="1:14" ht="12.75" thickBot="1"/>
    <row r="113" spans="1:13" ht="25.5" thickBot="1">
      <c r="A113" s="984" t="s">
        <v>874</v>
      </c>
      <c r="B113" s="2258">
        <f>G3</f>
        <v>5.65</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0.88039999999999996</v>
      </c>
      <c r="C115" s="998">
        <f>B115</f>
        <v>0.88039999999999996</v>
      </c>
      <c r="D115" s="998">
        <f>ROUND(0.8331-0.0109*B113,4)</f>
        <v>0.77149999999999996</v>
      </c>
      <c r="E115" s="998">
        <f>D115</f>
        <v>0.77149999999999996</v>
      </c>
      <c r="F115" s="998">
        <f>E115</f>
        <v>0.77149999999999996</v>
      </c>
      <c r="G115" s="998">
        <f>F115</f>
        <v>0.77149999999999996</v>
      </c>
      <c r="H115" s="998">
        <f>G115</f>
        <v>0.77149999999999996</v>
      </c>
      <c r="I115" s="998">
        <f>ROUND(0.689-0.0155*B113,4)</f>
        <v>0.60140000000000005</v>
      </c>
      <c r="J115" s="998">
        <f t="shared" ref="J115:M118" si="33">I115</f>
        <v>0.60140000000000005</v>
      </c>
      <c r="K115" s="998">
        <f t="shared" si="33"/>
        <v>0.60140000000000005</v>
      </c>
      <c r="L115" s="998">
        <f t="shared" si="33"/>
        <v>0.60140000000000005</v>
      </c>
      <c r="M115" s="999">
        <f t="shared" si="33"/>
        <v>0.60140000000000005</v>
      </c>
    </row>
    <row r="116" spans="1:13" ht="12.75">
      <c r="A116" s="997" t="s">
        <v>879</v>
      </c>
      <c r="B116" s="998">
        <f>ROUND(0.949-0.012*B113,4)</f>
        <v>0.88119999999999998</v>
      </c>
      <c r="C116" s="998">
        <f>B116</f>
        <v>0.88119999999999998</v>
      </c>
      <c r="D116" s="998">
        <f>ROUND(0.8567-0.013*B113,4)</f>
        <v>0.7833</v>
      </c>
      <c r="E116" s="998">
        <f t="shared" ref="E116:H117" si="34">D116</f>
        <v>0.7833</v>
      </c>
      <c r="F116" s="998">
        <f t="shared" si="34"/>
        <v>0.7833</v>
      </c>
      <c r="G116" s="998">
        <f t="shared" si="34"/>
        <v>0.7833</v>
      </c>
      <c r="H116" s="998">
        <f t="shared" si="34"/>
        <v>0.7833</v>
      </c>
      <c r="I116" s="998">
        <f>ROUND(0.7694-0.014*B113,4)</f>
        <v>0.69030000000000002</v>
      </c>
      <c r="J116" s="998">
        <f t="shared" si="33"/>
        <v>0.69030000000000002</v>
      </c>
      <c r="K116" s="998">
        <f t="shared" si="33"/>
        <v>0.69030000000000002</v>
      </c>
      <c r="L116" s="998">
        <f t="shared" si="33"/>
        <v>0.69030000000000002</v>
      </c>
      <c r="M116" s="999">
        <f t="shared" si="33"/>
        <v>0.69030000000000002</v>
      </c>
    </row>
    <row r="117" spans="1:13" ht="12.75">
      <c r="A117" s="1000" t="s">
        <v>880</v>
      </c>
      <c r="B117" s="998">
        <f>ROUND(0.8808-0.006*B113,4)</f>
        <v>0.84689999999999999</v>
      </c>
      <c r="C117" s="998">
        <f>B117</f>
        <v>0.84689999999999999</v>
      </c>
      <c r="D117" s="998">
        <f>ROUND(0.8748-0.008*B113,4)</f>
        <v>0.8296</v>
      </c>
      <c r="E117" s="998">
        <f t="shared" si="34"/>
        <v>0.8296</v>
      </c>
      <c r="F117" s="998">
        <f t="shared" si="34"/>
        <v>0.8296</v>
      </c>
      <c r="G117" s="998">
        <f t="shared" si="34"/>
        <v>0.8296</v>
      </c>
      <c r="H117" s="998">
        <f t="shared" si="34"/>
        <v>0.8296</v>
      </c>
      <c r="I117" s="998">
        <f>ROUND(0.7412-0.0095*B113,4)</f>
        <v>0.6875</v>
      </c>
      <c r="J117" s="998">
        <f t="shared" si="33"/>
        <v>0.6875</v>
      </c>
      <c r="K117" s="998">
        <f t="shared" si="33"/>
        <v>0.6875</v>
      </c>
      <c r="L117" s="998">
        <f t="shared" si="33"/>
        <v>0.6875</v>
      </c>
      <c r="M117" s="999">
        <f t="shared" si="33"/>
        <v>0.6875</v>
      </c>
    </row>
    <row r="118" spans="1:13" ht="13.5" thickBot="1">
      <c r="A118" s="1001" t="s">
        <v>881</v>
      </c>
      <c r="B118" s="1002">
        <f>ROUND(0.7275-0.01*B113,4)</f>
        <v>0.67100000000000004</v>
      </c>
      <c r="C118" s="1002">
        <f>B118</f>
        <v>0.67100000000000004</v>
      </c>
      <c r="D118" s="1002">
        <f>ROUND(0.7043-0.012*B113,4)</f>
        <v>0.63649999999999995</v>
      </c>
      <c r="E118" s="1002">
        <f>D118</f>
        <v>0.63649999999999995</v>
      </c>
      <c r="F118" s="1002">
        <f>E118</f>
        <v>0.63649999999999995</v>
      </c>
      <c r="G118" s="1002">
        <f>ROUND(0.6299-0.0122*B113,4)</f>
        <v>0.56100000000000005</v>
      </c>
      <c r="H118" s="1002">
        <f>G118</f>
        <v>0.56100000000000005</v>
      </c>
      <c r="I118" s="1002">
        <f>ROUND(0.5667-0.0136*B113,4)</f>
        <v>0.4899</v>
      </c>
      <c r="J118" s="1002">
        <f t="shared" si="33"/>
        <v>0.4899</v>
      </c>
      <c r="K118" s="1002">
        <f t="shared" si="33"/>
        <v>0.4899</v>
      </c>
      <c r="L118" s="1002">
        <f t="shared" si="33"/>
        <v>0.4899</v>
      </c>
      <c r="M118" s="1003">
        <f t="shared" si="33"/>
        <v>0.4899</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2892</v>
      </c>
      <c r="B2" s="3398">
        <v>3.5</v>
      </c>
      <c r="C2" s="3398">
        <v>3.5</v>
      </c>
      <c r="D2" s="3399">
        <v>2.5</v>
      </c>
      <c r="E2" s="3399">
        <v>2.5</v>
      </c>
      <c r="F2" s="3399">
        <v>2.5</v>
      </c>
      <c r="G2" s="3399">
        <v>2.5</v>
      </c>
      <c r="H2" s="3399">
        <v>2.5</v>
      </c>
      <c r="I2" s="3398">
        <v>2</v>
      </c>
      <c r="J2" s="3398">
        <v>2</v>
      </c>
      <c r="K2" s="3398">
        <v>2</v>
      </c>
      <c r="L2" s="3398">
        <v>2</v>
      </c>
      <c r="M2" s="3400">
        <v>2</v>
      </c>
    </row>
    <row r="3" spans="1:13">
      <c r="A3" s="3401" t="s">
        <v>2893</v>
      </c>
      <c r="B3" s="3402">
        <v>3.5</v>
      </c>
      <c r="C3" s="3402">
        <v>3.5</v>
      </c>
      <c r="D3" s="3403">
        <v>2.5</v>
      </c>
      <c r="E3" s="3403">
        <v>2.5</v>
      </c>
      <c r="F3" s="3403">
        <v>2.5</v>
      </c>
      <c r="G3" s="3403">
        <v>2.5</v>
      </c>
      <c r="H3" s="3403">
        <v>2.5</v>
      </c>
      <c r="I3" s="3402">
        <v>2</v>
      </c>
      <c r="J3" s="3402">
        <v>2</v>
      </c>
      <c r="K3" s="3402">
        <v>2</v>
      </c>
      <c r="L3" s="3402">
        <v>2</v>
      </c>
      <c r="M3" s="3404">
        <v>2</v>
      </c>
    </row>
    <row r="4" spans="1:13">
      <c r="A4" s="3401" t="s">
        <v>2894</v>
      </c>
      <c r="B4" s="3403">
        <v>2.5</v>
      </c>
      <c r="C4" s="3403">
        <v>2.5</v>
      </c>
      <c r="D4" s="3403">
        <v>2.5</v>
      </c>
      <c r="E4" s="3403">
        <v>2.5</v>
      </c>
      <c r="F4" s="3403">
        <v>2.5</v>
      </c>
      <c r="G4" s="3403">
        <v>2.5</v>
      </c>
      <c r="H4" s="3403">
        <v>2.5</v>
      </c>
      <c r="I4" s="3402">
        <v>1.5</v>
      </c>
      <c r="J4" s="3402">
        <v>1.5</v>
      </c>
      <c r="K4" s="3402">
        <v>1.5</v>
      </c>
      <c r="L4" s="3402">
        <v>1.5</v>
      </c>
      <c r="M4" s="3404">
        <v>1.5</v>
      </c>
    </row>
    <row r="5" spans="1:13">
      <c r="A5" s="3405" t="s">
        <v>2895</v>
      </c>
      <c r="B5" s="3402">
        <v>1.5</v>
      </c>
      <c r="C5" s="3402">
        <v>1.5</v>
      </c>
      <c r="D5" s="3402">
        <v>1.5</v>
      </c>
      <c r="E5" s="3402">
        <v>1.5</v>
      </c>
      <c r="F5" s="3402">
        <v>1.5</v>
      </c>
      <c r="G5" s="3402">
        <v>1.2</v>
      </c>
      <c r="H5" s="3402">
        <v>1.2</v>
      </c>
      <c r="I5" s="3402">
        <v>1</v>
      </c>
      <c r="J5" s="3402">
        <v>1</v>
      </c>
      <c r="K5" s="3402">
        <v>1</v>
      </c>
      <c r="L5" s="3402">
        <v>1</v>
      </c>
      <c r="M5" s="3404">
        <v>1</v>
      </c>
    </row>
    <row r="6" spans="1:13">
      <c r="A6" s="3406" t="s">
        <v>2896</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2897</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2898</v>
      </c>
      <c r="B19" s="3420" t="s">
        <v>2899</v>
      </c>
      <c r="C19" s="3421" t="s">
        <v>2900</v>
      </c>
      <c r="D19" s="3422"/>
      <c r="E19" s="3416" t="s">
        <v>2901</v>
      </c>
      <c r="F19" s="1077"/>
      <c r="G19" s="1077"/>
    </row>
    <row r="20" spans="1:13" s="1483" customFormat="1">
      <c r="A20" s="3762" t="s">
        <v>2892</v>
      </c>
      <c r="B20" s="3765" t="s">
        <v>2902</v>
      </c>
      <c r="C20" s="3423" t="s">
        <v>2903</v>
      </c>
      <c r="D20" s="3424"/>
      <c r="E20" s="3425">
        <v>1</v>
      </c>
      <c r="F20" s="3426" t="s">
        <v>2904</v>
      </c>
      <c r="G20" s="1079"/>
      <c r="H20" s="1069"/>
      <c r="I20" s="1069"/>
    </row>
    <row r="21" spans="1:13" s="1483" customFormat="1">
      <c r="A21" s="3763"/>
      <c r="B21" s="3766"/>
      <c r="C21" s="3427" t="s">
        <v>2905</v>
      </c>
      <c r="D21" s="3428"/>
      <c r="E21" s="3429">
        <v>1</v>
      </c>
      <c r="F21" s="3426" t="s">
        <v>2906</v>
      </c>
      <c r="G21" s="1079"/>
      <c r="H21" s="1069"/>
      <c r="I21" s="1069"/>
    </row>
    <row r="22" spans="1:13" s="1483" customFormat="1">
      <c r="A22" s="3763"/>
      <c r="B22" s="3766"/>
      <c r="C22" s="3427" t="s">
        <v>2907</v>
      </c>
      <c r="D22" s="3428"/>
      <c r="E22" s="3429">
        <v>0.9</v>
      </c>
      <c r="F22" s="3426" t="s">
        <v>2908</v>
      </c>
      <c r="G22" s="1079"/>
      <c r="H22" s="1069"/>
      <c r="I22" s="1069"/>
    </row>
    <row r="23" spans="1:13" s="1483" customFormat="1">
      <c r="A23" s="3763"/>
      <c r="B23" s="3766"/>
      <c r="C23" s="3427" t="s">
        <v>2909</v>
      </c>
      <c r="D23" s="3428"/>
      <c r="E23" s="3429">
        <v>0.9</v>
      </c>
      <c r="F23" s="3426" t="s">
        <v>2910</v>
      </c>
      <c r="G23" s="1079"/>
      <c r="H23" s="1069"/>
      <c r="I23" s="1069"/>
    </row>
    <row r="24" spans="1:13" s="1483" customFormat="1">
      <c r="A24" s="3763"/>
      <c r="B24" s="3766"/>
      <c r="C24" s="3427" t="s">
        <v>2911</v>
      </c>
      <c r="D24" s="3428"/>
      <c r="E24" s="3429">
        <v>0.8</v>
      </c>
      <c r="F24" s="3426" t="s">
        <v>2912</v>
      </c>
      <c r="G24" s="1079"/>
      <c r="H24" s="1069"/>
      <c r="I24" s="1069"/>
    </row>
    <row r="25" spans="1:13" s="1483" customFormat="1" ht="14.25" thickBot="1">
      <c r="A25" s="3764"/>
      <c r="B25" s="3767"/>
      <c r="C25" s="3430" t="s">
        <v>2913</v>
      </c>
      <c r="D25" s="3431"/>
      <c r="E25" s="3432">
        <v>0.8</v>
      </c>
      <c r="F25" s="3426" t="s">
        <v>2914</v>
      </c>
      <c r="G25" s="1079"/>
      <c r="H25" s="1069"/>
      <c r="I25" s="1069"/>
    </row>
    <row r="26" spans="1:13" s="1483" customFormat="1" ht="14.25" thickBot="1">
      <c r="A26" s="3433" t="s">
        <v>2893</v>
      </c>
      <c r="B26" s="3434" t="s">
        <v>2902</v>
      </c>
      <c r="C26" s="3435" t="s">
        <v>2915</v>
      </c>
      <c r="D26" s="3436"/>
      <c r="E26" s="3437">
        <v>1</v>
      </c>
      <c r="F26" s="3426" t="s">
        <v>2916</v>
      </c>
      <c r="G26" s="1079"/>
      <c r="H26" s="1069"/>
      <c r="I26" s="1069"/>
    </row>
    <row r="27" spans="1:13" s="1483" customFormat="1">
      <c r="A27" s="3768" t="s">
        <v>2897</v>
      </c>
      <c r="B27" s="3765" t="s">
        <v>2897</v>
      </c>
      <c r="C27" s="3423" t="s">
        <v>2917</v>
      </c>
      <c r="D27" s="3424"/>
      <c r="E27" s="3425">
        <v>1</v>
      </c>
      <c r="F27" s="3426" t="s">
        <v>2918</v>
      </c>
      <c r="G27" s="1079"/>
      <c r="H27" s="1069"/>
      <c r="I27" s="1069"/>
    </row>
    <row r="28" spans="1:13" s="1483" customFormat="1">
      <c r="A28" s="3769"/>
      <c r="B28" s="3766"/>
      <c r="C28" s="3427" t="s">
        <v>2919</v>
      </c>
      <c r="D28" s="3428"/>
      <c r="E28" s="3429">
        <v>1</v>
      </c>
      <c r="F28" s="3426" t="s">
        <v>2920</v>
      </c>
      <c r="G28" s="1079"/>
      <c r="H28" s="1069"/>
      <c r="I28" s="1069"/>
    </row>
    <row r="29" spans="1:13" s="1483" customFormat="1">
      <c r="A29" s="3769"/>
      <c r="B29" s="3766"/>
      <c r="C29" s="3427" t="s">
        <v>2921</v>
      </c>
      <c r="D29" s="3428"/>
      <c r="E29" s="3429">
        <v>0.8</v>
      </c>
      <c r="F29" s="3426" t="s">
        <v>2922</v>
      </c>
      <c r="G29" s="1079"/>
      <c r="H29" s="1069"/>
      <c r="I29" s="1069"/>
    </row>
    <row r="30" spans="1:13" s="1483" customFormat="1">
      <c r="A30" s="3769"/>
      <c r="B30" s="3766"/>
      <c r="C30" s="3427" t="s">
        <v>2923</v>
      </c>
      <c r="D30" s="3428"/>
      <c r="E30" s="3429">
        <v>0.8</v>
      </c>
      <c r="F30" s="3426" t="s">
        <v>2924</v>
      </c>
      <c r="G30" s="1079"/>
      <c r="H30" s="1069"/>
      <c r="I30" s="1069"/>
    </row>
    <row r="31" spans="1:13" s="1483" customFormat="1">
      <c r="A31" s="3769"/>
      <c r="B31" s="3766"/>
      <c r="C31" s="3427" t="s">
        <v>2925</v>
      </c>
      <c r="D31" s="3428"/>
      <c r="E31" s="3429">
        <v>0.8</v>
      </c>
      <c r="F31" s="3426" t="s">
        <v>2926</v>
      </c>
      <c r="G31" s="1079"/>
      <c r="H31" s="1069"/>
      <c r="I31" s="1069"/>
    </row>
    <row r="32" spans="1:13" s="1483" customFormat="1">
      <c r="A32" s="3769"/>
      <c r="B32" s="3766"/>
      <c r="C32" s="3427" t="s">
        <v>2927</v>
      </c>
      <c r="D32" s="3428"/>
      <c r="E32" s="3429">
        <v>0.7</v>
      </c>
      <c r="F32" s="3426" t="s">
        <v>2928</v>
      </c>
      <c r="G32" s="1079"/>
      <c r="H32" s="1069"/>
      <c r="I32" s="1069"/>
    </row>
    <row r="33" spans="1:9" s="1483" customFormat="1">
      <c r="A33" s="3769"/>
      <c r="B33" s="3766"/>
      <c r="C33" s="3427" t="s">
        <v>2929</v>
      </c>
      <c r="D33" s="3428"/>
      <c r="E33" s="3429">
        <v>0.8</v>
      </c>
      <c r="F33" s="3426" t="s">
        <v>2930</v>
      </c>
      <c r="G33" s="1079"/>
      <c r="H33" s="1069"/>
      <c r="I33" s="1069"/>
    </row>
    <row r="34" spans="1:9" s="1483" customFormat="1">
      <c r="A34" s="3769"/>
      <c r="B34" s="3766"/>
      <c r="C34" s="3427" t="s">
        <v>2931</v>
      </c>
      <c r="D34" s="3428"/>
      <c r="E34" s="3429">
        <v>0.6</v>
      </c>
      <c r="F34" s="3426" t="s">
        <v>2932</v>
      </c>
      <c r="G34" s="1079"/>
      <c r="H34" s="1069"/>
      <c r="I34" s="1069"/>
    </row>
    <row r="35" spans="1:9" s="1483" customFormat="1">
      <c r="A35" s="3769"/>
      <c r="B35" s="3766"/>
      <c r="C35" s="3427" t="s">
        <v>2933</v>
      </c>
      <c r="D35" s="3428"/>
      <c r="E35" s="3429">
        <v>0.2</v>
      </c>
      <c r="F35" s="3426" t="s">
        <v>2934</v>
      </c>
      <c r="G35" s="1079"/>
      <c r="H35" s="1069"/>
      <c r="I35" s="1069"/>
    </row>
    <row r="36" spans="1:9" s="1483" customFormat="1">
      <c r="A36" s="3769"/>
      <c r="B36" s="3766"/>
      <c r="C36" s="3427" t="s">
        <v>2935</v>
      </c>
      <c r="D36" s="3428"/>
      <c r="E36" s="3429">
        <v>0.2</v>
      </c>
      <c r="F36" s="3426" t="s">
        <v>2936</v>
      </c>
      <c r="G36" s="1079"/>
      <c r="H36" s="1069"/>
      <c r="I36" s="1069"/>
    </row>
    <row r="37" spans="1:9" s="1483" customFormat="1">
      <c r="A37" s="3769"/>
      <c r="B37" s="3760" t="s">
        <v>2937</v>
      </c>
      <c r="C37" s="3427" t="s">
        <v>2938</v>
      </c>
      <c r="D37" s="3428"/>
      <c r="E37" s="3429">
        <v>0.6</v>
      </c>
      <c r="F37" s="3426" t="s">
        <v>2939</v>
      </c>
      <c r="G37" s="1079"/>
      <c r="H37" s="1069"/>
      <c r="I37" s="1069"/>
    </row>
    <row r="38" spans="1:9" s="1483" customFormat="1">
      <c r="A38" s="3769"/>
      <c r="B38" s="3766"/>
      <c r="C38" s="3427" t="s">
        <v>2940</v>
      </c>
      <c r="D38" s="3428"/>
      <c r="E38" s="3429">
        <v>0.6</v>
      </c>
      <c r="F38" s="3426" t="s">
        <v>2941</v>
      </c>
      <c r="G38" s="1079"/>
      <c r="H38" s="1069"/>
      <c r="I38" s="1069"/>
    </row>
    <row r="39" spans="1:9" s="1483" customFormat="1" ht="14.25" thickBot="1">
      <c r="A39" s="3770"/>
      <c r="B39" s="3767"/>
      <c r="C39" s="3430" t="s">
        <v>2942</v>
      </c>
      <c r="D39" s="3431"/>
      <c r="E39" s="3432">
        <v>0.6</v>
      </c>
      <c r="F39" s="3426" t="s">
        <v>2943</v>
      </c>
      <c r="G39" s="1079"/>
      <c r="H39" s="1069"/>
      <c r="I39" s="1069"/>
    </row>
    <row r="40" spans="1:9" s="1483" customFormat="1" ht="14.25" thickBot="1">
      <c r="A40" s="3433" t="s">
        <v>2894</v>
      </c>
      <c r="B40" s="3434" t="s">
        <v>2894</v>
      </c>
      <c r="C40" s="3435" t="s">
        <v>2944</v>
      </c>
      <c r="D40" s="3436"/>
      <c r="E40" s="3437">
        <v>1</v>
      </c>
      <c r="F40" s="3426" t="s">
        <v>2945</v>
      </c>
      <c r="G40" s="1079"/>
      <c r="H40" s="1069"/>
      <c r="I40" s="1069"/>
    </row>
    <row r="41" spans="1:9" s="1483" customFormat="1">
      <c r="A41" s="3762" t="s">
        <v>2895</v>
      </c>
      <c r="B41" s="3765" t="s">
        <v>2946</v>
      </c>
      <c r="C41" s="3423" t="s">
        <v>2947</v>
      </c>
      <c r="D41" s="3424"/>
      <c r="E41" s="3425">
        <v>1</v>
      </c>
      <c r="F41" s="3426" t="s">
        <v>2948</v>
      </c>
      <c r="G41" s="1079"/>
      <c r="H41" s="1069"/>
      <c r="I41" s="1069"/>
    </row>
    <row r="42" spans="1:9" s="1483" customFormat="1">
      <c r="A42" s="3763"/>
      <c r="B42" s="3766"/>
      <c r="C42" s="3427" t="s">
        <v>2949</v>
      </c>
      <c r="D42" s="3428"/>
      <c r="E42" s="3429">
        <v>1</v>
      </c>
      <c r="F42" s="3426" t="s">
        <v>2950</v>
      </c>
      <c r="G42" s="1079"/>
      <c r="H42" s="1069"/>
      <c r="I42" s="1069"/>
    </row>
    <row r="43" spans="1:9" s="1483" customFormat="1">
      <c r="A43" s="3763"/>
      <c r="B43" s="3761"/>
      <c r="C43" s="3427" t="s">
        <v>2951</v>
      </c>
      <c r="D43" s="3428"/>
      <c r="E43" s="3429">
        <v>1.5</v>
      </c>
      <c r="F43" s="3426" t="s">
        <v>2952</v>
      </c>
      <c r="G43" s="1079"/>
      <c r="H43" s="1069"/>
      <c r="I43" s="1069"/>
    </row>
    <row r="44" spans="1:9" s="1483" customFormat="1">
      <c r="A44" s="3763"/>
      <c r="B44" s="3438" t="s">
        <v>2897</v>
      </c>
      <c r="C44" s="3427" t="s">
        <v>2896</v>
      </c>
      <c r="D44" s="3428"/>
      <c r="E44" s="3429">
        <v>2</v>
      </c>
      <c r="F44" s="3426" t="s">
        <v>2953</v>
      </c>
      <c r="G44" s="1079"/>
      <c r="H44" s="1069"/>
      <c r="I44" s="1069"/>
    </row>
    <row r="45" spans="1:9" s="1483" customFormat="1">
      <c r="A45" s="3763"/>
      <c r="B45" s="3760" t="s">
        <v>2954</v>
      </c>
      <c r="C45" s="3427" t="s">
        <v>2955</v>
      </c>
      <c r="D45" s="3428"/>
      <c r="E45" s="3429">
        <v>1</v>
      </c>
      <c r="F45" s="3426" t="s">
        <v>2956</v>
      </c>
      <c r="G45" s="1079"/>
      <c r="H45" s="1069"/>
      <c r="I45" s="1069"/>
    </row>
    <row r="46" spans="1:9" s="1483" customFormat="1">
      <c r="A46" s="3763"/>
      <c r="B46" s="3766"/>
      <c r="C46" s="3427" t="s">
        <v>2957</v>
      </c>
      <c r="D46" s="3428"/>
      <c r="E46" s="3429">
        <v>1</v>
      </c>
      <c r="F46" s="3426" t="s">
        <v>2958</v>
      </c>
      <c r="G46" s="1079"/>
      <c r="H46" s="1069"/>
      <c r="I46" s="1069"/>
    </row>
    <row r="47" spans="1:9" s="1483" customFormat="1">
      <c r="A47" s="3763"/>
      <c r="B47" s="3766"/>
      <c r="C47" s="3427" t="s">
        <v>2959</v>
      </c>
      <c r="D47" s="3428"/>
      <c r="E47" s="3429">
        <v>1</v>
      </c>
      <c r="F47" s="3426" t="s">
        <v>2960</v>
      </c>
      <c r="G47" s="1079"/>
      <c r="H47" s="1069"/>
      <c r="I47" s="1069"/>
    </row>
    <row r="48" spans="1:9" s="1483" customFormat="1">
      <c r="A48" s="3763"/>
      <c r="B48" s="3766"/>
      <c r="C48" s="3427" t="s">
        <v>2961</v>
      </c>
      <c r="D48" s="3428"/>
      <c r="E48" s="3429">
        <v>1</v>
      </c>
      <c r="F48" s="3426" t="s">
        <v>2962</v>
      </c>
      <c r="G48" s="1079"/>
      <c r="H48" s="1069"/>
      <c r="I48" s="1069"/>
    </row>
    <row r="49" spans="1:9" s="1483" customFormat="1">
      <c r="A49" s="3763"/>
      <c r="B49" s="3766"/>
      <c r="C49" s="3427" t="s">
        <v>2963</v>
      </c>
      <c r="D49" s="3428"/>
      <c r="E49" s="3429">
        <v>1</v>
      </c>
      <c r="F49" s="3426" t="s">
        <v>2964</v>
      </c>
      <c r="G49" s="1079"/>
      <c r="H49" s="1069"/>
      <c r="I49" s="1069"/>
    </row>
    <row r="50" spans="1:9" s="1483" customFormat="1">
      <c r="A50" s="3763"/>
      <c r="B50" s="3766"/>
      <c r="C50" s="3427" t="s">
        <v>2965</v>
      </c>
      <c r="D50" s="3428"/>
      <c r="E50" s="3429">
        <v>1</v>
      </c>
      <c r="F50" s="3426" t="s">
        <v>2966</v>
      </c>
      <c r="G50" s="1079"/>
      <c r="H50" s="1069"/>
      <c r="I50" s="1069"/>
    </row>
    <row r="51" spans="1:9" s="1483" customFormat="1" ht="14.25" thickBot="1">
      <c r="A51" s="3764"/>
      <c r="B51" s="3767"/>
      <c r="C51" s="3430" t="s">
        <v>2967</v>
      </c>
      <c r="D51" s="3431"/>
      <c r="E51" s="3432">
        <v>1</v>
      </c>
      <c r="F51" s="3426" t="s">
        <v>2968</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2969</v>
      </c>
      <c r="D72" s="1099"/>
      <c r="E72" s="1084" t="s">
        <v>1419</v>
      </c>
      <c r="F72" s="1099" t="s">
        <v>1419</v>
      </c>
    </row>
    <row r="73" spans="1:8" s="1069" customFormat="1">
      <c r="A73" s="3438">
        <v>1</v>
      </c>
      <c r="B73" s="3760" t="s">
        <v>2970</v>
      </c>
      <c r="C73" s="3416" t="s">
        <v>2971</v>
      </c>
      <c r="D73" s="3416" t="s">
        <v>2972</v>
      </c>
      <c r="E73" s="3439">
        <v>0.2</v>
      </c>
      <c r="F73" s="3438">
        <v>25</v>
      </c>
      <c r="H73" s="1069">
        <f>SUMIF(C71:C139,基准地价!C8,E71:E139)</f>
        <v>0</v>
      </c>
    </row>
    <row r="74" spans="1:8" s="1069" customFormat="1" ht="24">
      <c r="A74" s="3438">
        <v>2</v>
      </c>
      <c r="B74" s="3766"/>
      <c r="C74" s="3416" t="s">
        <v>2973</v>
      </c>
      <c r="D74" s="3416" t="s">
        <v>2974</v>
      </c>
      <c r="E74" s="3439">
        <v>0.2</v>
      </c>
      <c r="F74" s="3438">
        <v>25</v>
      </c>
    </row>
    <row r="75" spans="1:8" s="1069" customFormat="1" ht="24">
      <c r="A75" s="3438">
        <v>3</v>
      </c>
      <c r="B75" s="3766"/>
      <c r="C75" s="3416" t="s">
        <v>2975</v>
      </c>
      <c r="D75" s="3416" t="s">
        <v>2976</v>
      </c>
      <c r="E75" s="3439">
        <v>0.2</v>
      </c>
      <c r="F75" s="3438">
        <v>25</v>
      </c>
    </row>
    <row r="76" spans="1:8" s="1069" customFormat="1">
      <c r="A76" s="3438">
        <v>4</v>
      </c>
      <c r="B76" s="3766"/>
      <c r="C76" s="3416" t="s">
        <v>2977</v>
      </c>
      <c r="D76" s="3416" t="s">
        <v>2978</v>
      </c>
      <c r="E76" s="3439">
        <v>0.15</v>
      </c>
      <c r="F76" s="3438">
        <v>20</v>
      </c>
    </row>
    <row r="77" spans="1:8" s="1069" customFormat="1" ht="24">
      <c r="A77" s="3438">
        <v>5</v>
      </c>
      <c r="B77" s="3766"/>
      <c r="C77" s="3416" t="s">
        <v>2979</v>
      </c>
      <c r="D77" s="3416" t="s">
        <v>2980</v>
      </c>
      <c r="E77" s="3439">
        <v>0.15</v>
      </c>
      <c r="F77" s="3438">
        <v>20</v>
      </c>
    </row>
    <row r="78" spans="1:8" s="1069" customFormat="1" ht="24">
      <c r="A78" s="3438">
        <v>6</v>
      </c>
      <c r="B78" s="3766"/>
      <c r="C78" s="3416" t="s">
        <v>2981</v>
      </c>
      <c r="D78" s="3416" t="s">
        <v>2982</v>
      </c>
      <c r="E78" s="3439">
        <v>0.15</v>
      </c>
      <c r="F78" s="3438">
        <v>20</v>
      </c>
    </row>
    <row r="79" spans="1:8" s="1069" customFormat="1" ht="24">
      <c r="A79" s="3438">
        <v>7</v>
      </c>
      <c r="B79" s="3766"/>
      <c r="C79" s="3416" t="s">
        <v>2983</v>
      </c>
      <c r="D79" s="3416" t="s">
        <v>2984</v>
      </c>
      <c r="E79" s="3439">
        <v>0.15</v>
      </c>
      <c r="F79" s="3438">
        <v>20</v>
      </c>
    </row>
    <row r="80" spans="1:8" s="1069" customFormat="1" ht="24">
      <c r="A80" s="3438">
        <v>8</v>
      </c>
      <c r="B80" s="3766"/>
      <c r="C80" s="3416" t="s">
        <v>2985</v>
      </c>
      <c r="D80" s="3416" t="s">
        <v>2986</v>
      </c>
      <c r="E80" s="3439">
        <v>0.1</v>
      </c>
      <c r="F80" s="3438">
        <v>15</v>
      </c>
    </row>
    <row r="81" spans="1:6" s="1069" customFormat="1" ht="24">
      <c r="A81" s="3438">
        <v>9</v>
      </c>
      <c r="B81" s="3766"/>
      <c r="C81" s="3416" t="s">
        <v>2987</v>
      </c>
      <c r="D81" s="3416" t="s">
        <v>2988</v>
      </c>
      <c r="E81" s="3439">
        <v>0.1</v>
      </c>
      <c r="F81" s="3438">
        <v>15</v>
      </c>
    </row>
    <row r="82" spans="1:6" s="1069" customFormat="1" ht="24">
      <c r="A82" s="3438">
        <v>10</v>
      </c>
      <c r="B82" s="3766"/>
      <c r="C82" s="3416" t="s">
        <v>2989</v>
      </c>
      <c r="D82" s="3416" t="s">
        <v>2990</v>
      </c>
      <c r="E82" s="3439">
        <v>0.1</v>
      </c>
      <c r="F82" s="3438">
        <v>15</v>
      </c>
    </row>
    <row r="83" spans="1:6" s="1069" customFormat="1" ht="24">
      <c r="A83" s="3438">
        <v>11</v>
      </c>
      <c r="B83" s="3766"/>
      <c r="C83" s="3416" t="s">
        <v>2991</v>
      </c>
      <c r="D83" s="3416" t="s">
        <v>2992</v>
      </c>
      <c r="E83" s="3439">
        <v>0.1</v>
      </c>
      <c r="F83" s="3438">
        <v>15</v>
      </c>
    </row>
    <row r="84" spans="1:6" s="1069" customFormat="1" ht="24">
      <c r="A84" s="3438">
        <v>12</v>
      </c>
      <c r="B84" s="3766"/>
      <c r="C84" s="3416" t="s">
        <v>2993</v>
      </c>
      <c r="D84" s="3416" t="s">
        <v>2994</v>
      </c>
      <c r="E84" s="3439">
        <v>0.1</v>
      </c>
      <c r="F84" s="3438">
        <v>15</v>
      </c>
    </row>
    <row r="85" spans="1:6" s="1069" customFormat="1">
      <c r="A85" s="3438">
        <v>13</v>
      </c>
      <c r="B85" s="3766"/>
      <c r="C85" s="3416" t="s">
        <v>2995</v>
      </c>
      <c r="D85" s="3416" t="s">
        <v>2996</v>
      </c>
      <c r="E85" s="3439">
        <v>0.1</v>
      </c>
      <c r="F85" s="3438">
        <v>15</v>
      </c>
    </row>
    <row r="86" spans="1:6" s="1069" customFormat="1">
      <c r="A86" s="3438">
        <v>14</v>
      </c>
      <c r="B86" s="3766"/>
      <c r="C86" s="3416" t="s">
        <v>2997</v>
      </c>
      <c r="D86" s="3416" t="s">
        <v>2998</v>
      </c>
      <c r="E86" s="3439">
        <v>0.1</v>
      </c>
      <c r="F86" s="3438">
        <v>15</v>
      </c>
    </row>
    <row r="87" spans="1:6" s="1069" customFormat="1">
      <c r="A87" s="3438">
        <v>15</v>
      </c>
      <c r="B87" s="3766"/>
      <c r="C87" s="3416" t="s">
        <v>2999</v>
      </c>
      <c r="D87" s="3416" t="s">
        <v>3000</v>
      </c>
      <c r="E87" s="3439">
        <v>0.1</v>
      </c>
      <c r="F87" s="3438">
        <v>15</v>
      </c>
    </row>
    <row r="88" spans="1:6" s="1069" customFormat="1" ht="24">
      <c r="A88" s="3438">
        <v>16</v>
      </c>
      <c r="B88" s="3766"/>
      <c r="C88" s="3416" t="s">
        <v>3001</v>
      </c>
      <c r="D88" s="3416" t="s">
        <v>3002</v>
      </c>
      <c r="E88" s="3439">
        <v>0.1</v>
      </c>
      <c r="F88" s="3438">
        <v>15</v>
      </c>
    </row>
    <row r="89" spans="1:6" s="1069" customFormat="1" ht="24">
      <c r="A89" s="3438">
        <v>17</v>
      </c>
      <c r="B89" s="3761"/>
      <c r="C89" s="3416" t="s">
        <v>3003</v>
      </c>
      <c r="D89" s="3416" t="s">
        <v>3004</v>
      </c>
      <c r="E89" s="3439">
        <v>0.1</v>
      </c>
      <c r="F89" s="3438">
        <v>15</v>
      </c>
    </row>
    <row r="90" spans="1:6" s="1069" customFormat="1">
      <c r="A90" s="3438">
        <v>18</v>
      </c>
      <c r="B90" s="3760" t="s">
        <v>3005</v>
      </c>
      <c r="C90" s="3416" t="s">
        <v>3006</v>
      </c>
      <c r="D90" s="3416" t="s">
        <v>3007</v>
      </c>
      <c r="E90" s="3439">
        <v>0.2</v>
      </c>
      <c r="F90" s="3438">
        <v>25</v>
      </c>
    </row>
    <row r="91" spans="1:6" s="1069" customFormat="1" ht="24">
      <c r="A91" s="3438">
        <v>19</v>
      </c>
      <c r="B91" s="3766"/>
      <c r="C91" s="3416" t="s">
        <v>3008</v>
      </c>
      <c r="D91" s="3416" t="s">
        <v>3009</v>
      </c>
      <c r="E91" s="3439">
        <v>0.2</v>
      </c>
      <c r="F91" s="3438">
        <v>25</v>
      </c>
    </row>
    <row r="92" spans="1:6" s="1069" customFormat="1">
      <c r="A92" s="3438">
        <v>20</v>
      </c>
      <c r="B92" s="3766"/>
      <c r="C92" s="3416" t="s">
        <v>3010</v>
      </c>
      <c r="D92" s="3416" t="s">
        <v>3011</v>
      </c>
      <c r="E92" s="3439">
        <v>0.15</v>
      </c>
      <c r="F92" s="3438">
        <v>20</v>
      </c>
    </row>
    <row r="93" spans="1:6" s="1069" customFormat="1" ht="24">
      <c r="A93" s="3438">
        <v>21</v>
      </c>
      <c r="B93" s="3766"/>
      <c r="C93" s="3416" t="s">
        <v>3012</v>
      </c>
      <c r="D93" s="3416" t="s">
        <v>3013</v>
      </c>
      <c r="E93" s="3439">
        <v>0.15</v>
      </c>
      <c r="F93" s="3438">
        <v>20</v>
      </c>
    </row>
    <row r="94" spans="1:6" s="1069" customFormat="1" ht="24">
      <c r="A94" s="3438">
        <v>22</v>
      </c>
      <c r="B94" s="3766"/>
      <c r="C94" s="3416" t="s">
        <v>3014</v>
      </c>
      <c r="D94" s="3416" t="s">
        <v>3015</v>
      </c>
      <c r="E94" s="3439">
        <v>0.15</v>
      </c>
      <c r="F94" s="3438">
        <v>20</v>
      </c>
    </row>
    <row r="95" spans="1:6" s="1069" customFormat="1" ht="36">
      <c r="A95" s="3438">
        <v>23</v>
      </c>
      <c r="B95" s="3766"/>
      <c r="C95" s="3416" t="s">
        <v>3016</v>
      </c>
      <c r="D95" s="3416" t="s">
        <v>3017</v>
      </c>
      <c r="E95" s="3439">
        <v>0.15</v>
      </c>
      <c r="F95" s="3438">
        <v>20</v>
      </c>
    </row>
    <row r="96" spans="1:6" s="1069" customFormat="1">
      <c r="A96" s="3438">
        <v>24</v>
      </c>
      <c r="B96" s="3766"/>
      <c r="C96" s="3416" t="s">
        <v>3018</v>
      </c>
      <c r="D96" s="3416" t="s">
        <v>3019</v>
      </c>
      <c r="E96" s="3439">
        <v>0.1</v>
      </c>
      <c r="F96" s="3438">
        <v>15</v>
      </c>
    </row>
    <row r="97" spans="1:6" s="1069" customFormat="1" ht="24">
      <c r="A97" s="3438">
        <v>25</v>
      </c>
      <c r="B97" s="3766"/>
      <c r="C97" s="3416" t="s">
        <v>3020</v>
      </c>
      <c r="D97" s="3416" t="s">
        <v>3021</v>
      </c>
      <c r="E97" s="3439">
        <v>0.1</v>
      </c>
      <c r="F97" s="3438">
        <v>15</v>
      </c>
    </row>
    <row r="98" spans="1:6" s="1069" customFormat="1" ht="24">
      <c r="A98" s="3438">
        <v>26</v>
      </c>
      <c r="B98" s="3766"/>
      <c r="C98" s="3416" t="s">
        <v>3022</v>
      </c>
      <c r="D98" s="3416" t="s">
        <v>3023</v>
      </c>
      <c r="E98" s="3439">
        <v>0.1</v>
      </c>
      <c r="F98" s="3438">
        <v>15</v>
      </c>
    </row>
    <row r="99" spans="1:6" s="1069" customFormat="1" ht="24">
      <c r="A99" s="3438">
        <v>27</v>
      </c>
      <c r="B99" s="3766"/>
      <c r="C99" s="3416" t="s">
        <v>3024</v>
      </c>
      <c r="D99" s="3416" t="s">
        <v>3025</v>
      </c>
      <c r="E99" s="3439">
        <v>0.1</v>
      </c>
      <c r="F99" s="3438">
        <v>15</v>
      </c>
    </row>
    <row r="100" spans="1:6" s="1069" customFormat="1" ht="24">
      <c r="A100" s="3438">
        <v>28</v>
      </c>
      <c r="B100" s="3766"/>
      <c r="C100" s="3416" t="s">
        <v>3026</v>
      </c>
      <c r="D100" s="3416" t="s">
        <v>3027</v>
      </c>
      <c r="E100" s="3439">
        <v>0.1</v>
      </c>
      <c r="F100" s="3438">
        <v>15</v>
      </c>
    </row>
    <row r="101" spans="1:6" s="1069" customFormat="1" ht="24">
      <c r="A101" s="3438">
        <v>29</v>
      </c>
      <c r="B101" s="3766"/>
      <c r="C101" s="3416" t="s">
        <v>3028</v>
      </c>
      <c r="D101" s="3416" t="s">
        <v>3029</v>
      </c>
      <c r="E101" s="3439">
        <v>0.1</v>
      </c>
      <c r="F101" s="3438">
        <v>15</v>
      </c>
    </row>
    <row r="102" spans="1:6" s="1069" customFormat="1" ht="24">
      <c r="A102" s="3438">
        <v>30</v>
      </c>
      <c r="B102" s="3766"/>
      <c r="C102" s="3416" t="s">
        <v>3030</v>
      </c>
      <c r="D102" s="3416" t="s">
        <v>3031</v>
      </c>
      <c r="E102" s="3439">
        <v>0.1</v>
      </c>
      <c r="F102" s="3438">
        <v>15</v>
      </c>
    </row>
    <row r="103" spans="1:6" s="1069" customFormat="1" ht="24">
      <c r="A103" s="3438">
        <v>31</v>
      </c>
      <c r="B103" s="3766"/>
      <c r="C103" s="3416" t="s">
        <v>3032</v>
      </c>
      <c r="D103" s="3416" t="s">
        <v>3033</v>
      </c>
      <c r="E103" s="3439">
        <v>0.1</v>
      </c>
      <c r="F103" s="3438">
        <v>15</v>
      </c>
    </row>
    <row r="104" spans="1:6" s="1069" customFormat="1" ht="24">
      <c r="A104" s="3438">
        <v>32</v>
      </c>
      <c r="B104" s="3766"/>
      <c r="C104" s="3416" t="s">
        <v>3034</v>
      </c>
      <c r="D104" s="3416" t="s">
        <v>3035</v>
      </c>
      <c r="E104" s="3439">
        <v>0.1</v>
      </c>
      <c r="F104" s="3438">
        <v>15</v>
      </c>
    </row>
    <row r="105" spans="1:6" s="1069" customFormat="1" ht="24">
      <c r="A105" s="3438">
        <v>33</v>
      </c>
      <c r="B105" s="3766"/>
      <c r="C105" s="3416" t="s">
        <v>3036</v>
      </c>
      <c r="D105" s="3416" t="s">
        <v>3037</v>
      </c>
      <c r="E105" s="3439">
        <v>0.1</v>
      </c>
      <c r="F105" s="3438">
        <v>15</v>
      </c>
    </row>
    <row r="106" spans="1:6" s="1069" customFormat="1" ht="24">
      <c r="A106" s="3438">
        <v>34</v>
      </c>
      <c r="B106" s="3761"/>
      <c r="C106" s="3416" t="s">
        <v>3038</v>
      </c>
      <c r="D106" s="3416" t="s">
        <v>3039</v>
      </c>
      <c r="E106" s="3439">
        <v>0.1</v>
      </c>
      <c r="F106" s="3438">
        <v>15</v>
      </c>
    </row>
    <row r="107" spans="1:6" s="1069" customFormat="1" ht="24">
      <c r="A107" s="3438">
        <v>35</v>
      </c>
      <c r="B107" s="3760" t="s">
        <v>3040</v>
      </c>
      <c r="C107" s="3438" t="s">
        <v>3041</v>
      </c>
      <c r="D107" s="3416" t="s">
        <v>3042</v>
      </c>
      <c r="E107" s="3439">
        <v>0.15</v>
      </c>
      <c r="F107" s="3438">
        <v>20</v>
      </c>
    </row>
    <row r="108" spans="1:6" s="1069" customFormat="1" ht="24">
      <c r="A108" s="3438">
        <v>36</v>
      </c>
      <c r="B108" s="3766"/>
      <c r="C108" s="3438" t="s">
        <v>3043</v>
      </c>
      <c r="D108" s="3416" t="s">
        <v>3044</v>
      </c>
      <c r="E108" s="3439">
        <v>0.15</v>
      </c>
      <c r="F108" s="3438">
        <v>20</v>
      </c>
    </row>
    <row r="109" spans="1:6" s="1069" customFormat="1" ht="24">
      <c r="A109" s="3438">
        <v>37</v>
      </c>
      <c r="B109" s="3766"/>
      <c r="C109" s="3438" t="s">
        <v>3045</v>
      </c>
      <c r="D109" s="3416" t="s">
        <v>3046</v>
      </c>
      <c r="E109" s="3439">
        <v>0.15</v>
      </c>
      <c r="F109" s="3438">
        <v>20</v>
      </c>
    </row>
    <row r="110" spans="1:6" s="1069" customFormat="1">
      <c r="A110" s="3438">
        <v>38</v>
      </c>
      <c r="B110" s="3766"/>
      <c r="C110" s="3438" t="s">
        <v>3047</v>
      </c>
      <c r="D110" s="3416" t="s">
        <v>3048</v>
      </c>
      <c r="E110" s="3439">
        <v>0.1</v>
      </c>
      <c r="F110" s="3438">
        <v>15</v>
      </c>
    </row>
    <row r="111" spans="1:6" s="1069" customFormat="1" ht="24">
      <c r="A111" s="3438">
        <v>39</v>
      </c>
      <c r="B111" s="3766"/>
      <c r="C111" s="3438" t="s">
        <v>3049</v>
      </c>
      <c r="D111" s="3416" t="s">
        <v>3050</v>
      </c>
      <c r="E111" s="3439">
        <v>0.1</v>
      </c>
      <c r="F111" s="3438">
        <v>15</v>
      </c>
    </row>
    <row r="112" spans="1:6" s="1069" customFormat="1" ht="24">
      <c r="A112" s="3438">
        <v>40</v>
      </c>
      <c r="B112" s="3761"/>
      <c r="C112" s="3438" t="s">
        <v>3051</v>
      </c>
      <c r="D112" s="3416" t="s">
        <v>3052</v>
      </c>
      <c r="E112" s="3439">
        <v>0.1</v>
      </c>
      <c r="F112" s="3438">
        <v>15</v>
      </c>
    </row>
    <row r="113" spans="1:6" s="1069" customFormat="1" ht="24">
      <c r="A113" s="3438">
        <v>41</v>
      </c>
      <c r="B113" s="3759" t="s">
        <v>3053</v>
      </c>
      <c r="C113" s="3438" t="s">
        <v>3054</v>
      </c>
      <c r="D113" s="3416" t="s">
        <v>3055</v>
      </c>
      <c r="E113" s="3439">
        <v>0.1</v>
      </c>
      <c r="F113" s="3438">
        <v>15</v>
      </c>
    </row>
    <row r="114" spans="1:6" s="1069" customFormat="1">
      <c r="A114" s="3438">
        <v>42</v>
      </c>
      <c r="B114" s="3759"/>
      <c r="C114" s="3438" t="s">
        <v>3056</v>
      </c>
      <c r="D114" s="3416" t="s">
        <v>3057</v>
      </c>
      <c r="E114" s="3439">
        <v>0.1</v>
      </c>
      <c r="F114" s="3438">
        <v>15</v>
      </c>
    </row>
    <row r="115" spans="1:6" s="1069" customFormat="1" ht="24">
      <c r="A115" s="3438">
        <v>43</v>
      </c>
      <c r="B115" s="3759"/>
      <c r="C115" s="3438" t="s">
        <v>3058</v>
      </c>
      <c r="D115" s="3416" t="s">
        <v>3059</v>
      </c>
      <c r="E115" s="3439">
        <v>0.1</v>
      </c>
      <c r="F115" s="3438">
        <v>15</v>
      </c>
    </row>
    <row r="116" spans="1:6" s="1069" customFormat="1" ht="24">
      <c r="A116" s="3438">
        <v>44</v>
      </c>
      <c r="B116" s="3760" t="s">
        <v>3060</v>
      </c>
      <c r="C116" s="3438" t="s">
        <v>3061</v>
      </c>
      <c r="D116" s="3416" t="s">
        <v>3062</v>
      </c>
      <c r="E116" s="3439">
        <v>0.1</v>
      </c>
      <c r="F116" s="3438">
        <v>15</v>
      </c>
    </row>
    <row r="117" spans="1:6" s="1069" customFormat="1" ht="24">
      <c r="A117" s="3438">
        <v>45</v>
      </c>
      <c r="B117" s="3761"/>
      <c r="C117" s="3416" t="s">
        <v>3063</v>
      </c>
      <c r="D117" s="3416" t="s">
        <v>3064</v>
      </c>
      <c r="E117" s="3439">
        <v>0.1</v>
      </c>
      <c r="F117" s="3438">
        <v>15</v>
      </c>
    </row>
    <row r="118" spans="1:6" s="1069" customFormat="1" ht="24">
      <c r="A118" s="3438">
        <v>46</v>
      </c>
      <c r="B118" s="3760" t="s">
        <v>3065</v>
      </c>
      <c r="C118" s="3438" t="s">
        <v>3066</v>
      </c>
      <c r="D118" s="3416" t="s">
        <v>3067</v>
      </c>
      <c r="E118" s="3439">
        <v>0.1</v>
      </c>
      <c r="F118" s="3438">
        <v>15</v>
      </c>
    </row>
    <row r="119" spans="1:6" s="1069" customFormat="1" ht="24">
      <c r="A119" s="3438">
        <v>47</v>
      </c>
      <c r="B119" s="3761"/>
      <c r="C119" s="3438" t="s">
        <v>3068</v>
      </c>
      <c r="D119" s="3416" t="s">
        <v>3069</v>
      </c>
      <c r="E119" s="3439">
        <v>0.1</v>
      </c>
      <c r="F119" s="3438">
        <v>15</v>
      </c>
    </row>
    <row r="120" spans="1:6" s="1069" customFormat="1" ht="24">
      <c r="A120" s="3438">
        <v>48</v>
      </c>
      <c r="B120" s="3760" t="s">
        <v>3070</v>
      </c>
      <c r="C120" s="3438" t="s">
        <v>3071</v>
      </c>
      <c r="D120" s="3416" t="s">
        <v>3072</v>
      </c>
      <c r="E120" s="3439">
        <v>0.1</v>
      </c>
      <c r="F120" s="3438">
        <v>15</v>
      </c>
    </row>
    <row r="121" spans="1:6" s="1069" customFormat="1">
      <c r="A121" s="3438">
        <v>49</v>
      </c>
      <c r="B121" s="3761"/>
      <c r="C121" s="3438" t="s">
        <v>3073</v>
      </c>
      <c r="D121" s="3416" t="s">
        <v>3074</v>
      </c>
      <c r="E121" s="3439">
        <v>0.1</v>
      </c>
      <c r="F121" s="3438">
        <v>15</v>
      </c>
    </row>
    <row r="122" spans="1:6" s="1069" customFormat="1" ht="24">
      <c r="A122" s="3438">
        <v>50</v>
      </c>
      <c r="B122" s="3759" t="s">
        <v>3075</v>
      </c>
      <c r="C122" s="3438" t="s">
        <v>3076</v>
      </c>
      <c r="D122" s="3416" t="s">
        <v>3077</v>
      </c>
      <c r="E122" s="3439">
        <v>0.1</v>
      </c>
      <c r="F122" s="3438">
        <v>15</v>
      </c>
    </row>
    <row r="123" spans="1:6" s="1069" customFormat="1" ht="24">
      <c r="A123" s="3438">
        <v>51</v>
      </c>
      <c r="B123" s="3759"/>
      <c r="C123" s="3438" t="s">
        <v>3078</v>
      </c>
      <c r="D123" s="3416" t="s">
        <v>3079</v>
      </c>
      <c r="E123" s="3439">
        <v>0.1</v>
      </c>
      <c r="F123" s="3438">
        <v>15</v>
      </c>
    </row>
    <row r="124" spans="1:6" s="1069" customFormat="1" ht="24">
      <c r="A124" s="3438">
        <v>52</v>
      </c>
      <c r="B124" s="3759" t="s">
        <v>3080</v>
      </c>
      <c r="C124" s="3438" t="s">
        <v>3081</v>
      </c>
      <c r="D124" s="3416" t="s">
        <v>3082</v>
      </c>
      <c r="E124" s="3439">
        <v>0.1</v>
      </c>
      <c r="F124" s="3438">
        <v>15</v>
      </c>
    </row>
    <row r="125" spans="1:6" s="1069" customFormat="1" ht="24">
      <c r="A125" s="3438">
        <v>53</v>
      </c>
      <c r="B125" s="3759"/>
      <c r="C125" s="3438" t="s">
        <v>3083</v>
      </c>
      <c r="D125" s="3416" t="s">
        <v>3084</v>
      </c>
      <c r="E125" s="3439">
        <v>0.1</v>
      </c>
      <c r="F125" s="3438">
        <v>15</v>
      </c>
    </row>
    <row r="126" spans="1:6" ht="24">
      <c r="A126" s="3438">
        <v>54</v>
      </c>
      <c r="B126" s="3438" t="s">
        <v>3085</v>
      </c>
      <c r="C126" s="3438" t="s">
        <v>3086</v>
      </c>
      <c r="D126" s="3416" t="s">
        <v>3087</v>
      </c>
      <c r="E126" s="3439">
        <v>0.1</v>
      </c>
      <c r="F126" s="3438">
        <v>15</v>
      </c>
    </row>
    <row r="127" spans="1:6">
      <c r="A127" s="3438">
        <v>55</v>
      </c>
      <c r="B127" s="3759" t="s">
        <v>3088</v>
      </c>
      <c r="C127" s="3438" t="s">
        <v>3089</v>
      </c>
      <c r="D127" s="3416" t="s">
        <v>3090</v>
      </c>
      <c r="E127" s="3439">
        <v>0.1</v>
      </c>
      <c r="F127" s="3438">
        <v>15</v>
      </c>
    </row>
    <row r="128" spans="1:6">
      <c r="A128" s="3438">
        <v>56</v>
      </c>
      <c r="B128" s="3759"/>
      <c r="C128" s="3438" t="s">
        <v>3091</v>
      </c>
      <c r="D128" s="3416" t="s">
        <v>3092</v>
      </c>
      <c r="E128" s="3439">
        <v>0.1</v>
      </c>
      <c r="F128" s="3438">
        <v>15</v>
      </c>
    </row>
    <row r="129" spans="1:14" ht="24">
      <c r="A129" s="3438">
        <v>57</v>
      </c>
      <c r="B129" s="3759"/>
      <c r="C129" s="3438" t="s">
        <v>3093</v>
      </c>
      <c r="D129" s="3416" t="s">
        <v>3094</v>
      </c>
      <c r="E129" s="3439">
        <v>0.1</v>
      </c>
      <c r="F129" s="3438">
        <v>15</v>
      </c>
    </row>
    <row r="130" spans="1:14" ht="24">
      <c r="A130" s="3438">
        <v>58</v>
      </c>
      <c r="B130" s="3759" t="s">
        <v>3095</v>
      </c>
      <c r="C130" s="3438" t="s">
        <v>3096</v>
      </c>
      <c r="D130" s="3416" t="s">
        <v>3097</v>
      </c>
      <c r="E130" s="3439">
        <v>0.1</v>
      </c>
      <c r="F130" s="3438">
        <v>15</v>
      </c>
    </row>
    <row r="131" spans="1:14" ht="24">
      <c r="A131" s="3438">
        <v>59</v>
      </c>
      <c r="B131" s="3759"/>
      <c r="C131" s="3438" t="s">
        <v>3098</v>
      </c>
      <c r="D131" s="3416" t="s">
        <v>3099</v>
      </c>
      <c r="E131" s="3439">
        <v>0.1</v>
      </c>
      <c r="F131" s="3438">
        <v>15</v>
      </c>
    </row>
    <row r="132" spans="1:14" ht="24">
      <c r="A132" s="3438">
        <v>60</v>
      </c>
      <c r="B132" s="3760" t="s">
        <v>3100</v>
      </c>
      <c r="C132" s="3438" t="s">
        <v>3101</v>
      </c>
      <c r="D132" s="3416" t="s">
        <v>3102</v>
      </c>
      <c r="E132" s="3439">
        <v>0.1</v>
      </c>
      <c r="F132" s="3438">
        <v>15</v>
      </c>
    </row>
    <row r="133" spans="1:14" ht="24">
      <c r="A133" s="3438">
        <v>61</v>
      </c>
      <c r="B133" s="3761"/>
      <c r="C133" s="3438" t="s">
        <v>3103</v>
      </c>
      <c r="D133" s="3416" t="s">
        <v>3104</v>
      </c>
      <c r="E133" s="3439">
        <v>0.1</v>
      </c>
      <c r="F133" s="3438">
        <v>15</v>
      </c>
    </row>
    <row r="134" spans="1:14" ht="24">
      <c r="A134" s="3438">
        <v>62</v>
      </c>
      <c r="B134" s="3438" t="s">
        <v>3105</v>
      </c>
      <c r="C134" s="3438" t="s">
        <v>3106</v>
      </c>
      <c r="D134" s="3416" t="s">
        <v>3107</v>
      </c>
      <c r="E134" s="3439">
        <v>0.1</v>
      </c>
      <c r="F134" s="3438">
        <v>15</v>
      </c>
    </row>
    <row r="135" spans="1:14" ht="24">
      <c r="A135" s="3438">
        <v>63</v>
      </c>
      <c r="B135" s="3759" t="s">
        <v>3108</v>
      </c>
      <c r="C135" s="3438" t="s">
        <v>3109</v>
      </c>
      <c r="D135" s="3416" t="s">
        <v>3110</v>
      </c>
      <c r="E135" s="3439">
        <v>0.1</v>
      </c>
      <c r="F135" s="3438">
        <v>15</v>
      </c>
    </row>
    <row r="136" spans="1:14">
      <c r="A136" s="3438">
        <v>64</v>
      </c>
      <c r="B136" s="3759"/>
      <c r="C136" s="3438" t="s">
        <v>3111</v>
      </c>
      <c r="D136" s="3416" t="s">
        <v>3112</v>
      </c>
      <c r="E136" s="3439">
        <v>0.1</v>
      </c>
      <c r="F136" s="3438">
        <v>15</v>
      </c>
    </row>
    <row r="137" spans="1:14" ht="24">
      <c r="A137" s="3438">
        <v>65</v>
      </c>
      <c r="B137" s="3438" t="s">
        <v>3113</v>
      </c>
      <c r="C137" s="3438" t="s">
        <v>3114</v>
      </c>
      <c r="D137" s="3416" t="s">
        <v>3115</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44" t="s">
        <v>1433</v>
      </c>
      <c r="B141" s="3744"/>
      <c r="C141" s="3744"/>
      <c r="D141" s="3744"/>
      <c r="E141" s="3744"/>
      <c r="F141" s="3744"/>
      <c r="G141" s="3744"/>
      <c r="H141" s="3744"/>
      <c r="I141" s="3744"/>
      <c r="J141" s="3744"/>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71" t="s">
        <v>1017</v>
      </c>
      <c r="B1" s="3771"/>
      <c r="C1" s="3771"/>
      <c r="D1" s="3771"/>
      <c r="E1" s="3771"/>
      <c r="F1" s="3771"/>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72" t="s">
        <v>1030</v>
      </c>
      <c r="B2" s="3772"/>
      <c r="C2" s="3772"/>
      <c r="D2" s="3772"/>
      <c r="E2" s="3772"/>
      <c r="F2" s="3772"/>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73"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74"/>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75" t="s">
        <v>1870</v>
      </c>
      <c r="B1" s="3775"/>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78" t="s">
        <v>2292</v>
      </c>
      <c r="C1" s="3778"/>
      <c r="D1" s="3778"/>
      <c r="E1" s="3778"/>
      <c r="F1" s="3778"/>
      <c r="G1" s="3777" t="s">
        <v>2293</v>
      </c>
      <c r="H1" s="3777"/>
      <c r="I1" s="3777"/>
      <c r="J1" s="3777"/>
      <c r="K1" s="3777"/>
      <c r="L1" s="3777"/>
      <c r="N1" s="3777" t="s">
        <v>2294</v>
      </c>
      <c r="O1" s="3777"/>
      <c r="P1" s="3777"/>
      <c r="Q1" s="3777"/>
      <c r="S1" s="3777" t="s">
        <v>2295</v>
      </c>
      <c r="T1" s="3777"/>
      <c r="U1" s="3777"/>
      <c r="V1" s="3777"/>
      <c r="X1" s="3776" t="s">
        <v>2355</v>
      </c>
      <c r="Y1" s="3777"/>
      <c r="Z1" s="3777"/>
      <c r="AA1" s="3777"/>
      <c r="AB1" s="3777"/>
      <c r="AD1" s="3776" t="s">
        <v>2359</v>
      </c>
      <c r="AE1" s="3777"/>
      <c r="AF1" s="3777"/>
      <c r="AG1" s="3777"/>
      <c r="AH1" s="3777"/>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2889</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2888</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2887</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2886</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2885</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2734</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2733</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2732</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2731</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2729</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2728</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2692</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2690</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2688</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2687</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80">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80"/>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80"/>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86"/>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85">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80"/>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80"/>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86"/>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85">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80"/>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80"/>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81"/>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79">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80"/>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80"/>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81"/>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79">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80"/>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80"/>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81"/>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82">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83"/>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83"/>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84"/>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79">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80"/>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80"/>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81"/>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79">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80">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80">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81">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79">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80">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80">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81">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79">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80">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80">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81">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79">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80">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80">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81">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79">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80">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80">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81">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79">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80">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80">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81">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79">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80">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80">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81">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79">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80">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80">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81">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79">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80">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80">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81">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79">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80">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80">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81">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56.25">
      <c r="A7" s="1663" t="s">
        <v>2463</v>
      </c>
    </row>
    <row r="8" spans="1:4" ht="18.75">
      <c r="A8" s="1662" t="s">
        <v>1701</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-3</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88" t="s">
        <v>2241</v>
      </c>
      <c r="C8" s="1693">
        <f ca="1">ROUND(F8*F10*F9*(1-F11)/10000,0)</f>
        <v>0</v>
      </c>
      <c r="D8" s="1690" t="s">
        <v>2251</v>
      </c>
      <c r="E8" s="61" t="s">
        <v>619</v>
      </c>
      <c r="F8" s="758">
        <f ca="1">INDIRECT("'数据-取费表'!u"&amp;$G$1)</f>
        <v>0</v>
      </c>
      <c r="G8" s="1480"/>
      <c r="H8" s="2307" t="s">
        <v>1623</v>
      </c>
      <c r="I8" s="3788" t="s">
        <v>2241</v>
      </c>
      <c r="J8" s="756">
        <f ca="1">ROUND(M8*M10*M9*(1-M11)/10000,0)</f>
        <v>0</v>
      </c>
      <c r="K8" s="339" t="s">
        <v>2251</v>
      </c>
      <c r="L8" s="757" t="s">
        <v>1537</v>
      </c>
      <c r="M8" s="758">
        <f ca="1">INDIRECT("'数据-取费表'!z"&amp;$G$1)</f>
        <v>0</v>
      </c>
    </row>
    <row r="9" spans="1:25" ht="18" customHeight="1">
      <c r="A9" s="2303"/>
      <c r="B9" s="3789"/>
      <c r="C9" s="1694"/>
      <c r="D9" s="1691"/>
      <c r="E9" s="61" t="s">
        <v>620</v>
      </c>
      <c r="F9" s="758">
        <f ca="1">IF(INDIRECT("'数据-取费表'!ah"&amp;$G$1)="",INDIRECT("'数据-取费表'!k"&amp;$G$1),INDIRECT("'数据-取费表'!ah"&amp;$G$1))</f>
        <v>0</v>
      </c>
      <c r="G9" s="1480"/>
      <c r="H9" s="2292"/>
      <c r="I9" s="3789"/>
      <c r="J9" s="761"/>
      <c r="K9" s="762"/>
      <c r="L9" s="757" t="s">
        <v>1538</v>
      </c>
      <c r="M9" s="758">
        <f ca="1">F9</f>
        <v>0</v>
      </c>
    </row>
    <row r="10" spans="1:25" ht="18" customHeight="1">
      <c r="A10" s="2296"/>
      <c r="B10" s="3790"/>
      <c r="C10" s="1694"/>
      <c r="D10" s="1691"/>
      <c r="E10" s="61" t="s">
        <v>621</v>
      </c>
      <c r="F10" s="758">
        <f ca="1">INDIRECT("'数据-取费表'!ai"&amp;$G$1)</f>
        <v>0</v>
      </c>
      <c r="G10" s="1480"/>
      <c r="H10" s="2292"/>
      <c r="I10" s="3790"/>
      <c r="J10" s="761"/>
      <c r="K10" s="762"/>
      <c r="L10" s="757" t="s">
        <v>1539</v>
      </c>
      <c r="M10" s="758">
        <f ca="1">INDIRECT("'数据-取费表'!ai"&amp;$G$1)</f>
        <v>0</v>
      </c>
    </row>
    <row r="11" spans="1:25" ht="18" customHeight="1">
      <c r="A11" s="759"/>
      <c r="B11" s="3791"/>
      <c r="C11" s="1694"/>
      <c r="D11" s="1691"/>
      <c r="E11" s="61" t="s">
        <v>622</v>
      </c>
      <c r="F11" s="767">
        <f ca="1">INDIRECT("'数据-取费表'!w"&amp;$G$1)</f>
        <v>0</v>
      </c>
      <c r="G11" s="1480"/>
      <c r="H11" s="2308"/>
      <c r="I11" s="3790"/>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2723</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87"/>
      <c r="J36" s="1914"/>
      <c r="K36" s="1915"/>
      <c r="L36" s="1914"/>
      <c r="M36" s="1914"/>
    </row>
    <row r="37" spans="1:18" ht="18" customHeight="1">
      <c r="A37" s="787"/>
      <c r="B37" s="766"/>
      <c r="C37" s="69"/>
      <c r="D37" s="788"/>
      <c r="E37" s="757" t="s">
        <v>656</v>
      </c>
      <c r="F37" s="758">
        <f ca="1">INDIRECT("'数据-取费表'!r"&amp;$G$1)</f>
        <v>0</v>
      </c>
      <c r="G37" s="1897"/>
      <c r="H37" s="1900"/>
      <c r="I37" s="3787"/>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-3</v>
      </c>
      <c r="K54" s="3792"/>
      <c r="L54" s="3793"/>
      <c r="O54" s="2208" t="s">
        <v>2174</v>
      </c>
      <c r="P54" s="2206" t="s">
        <v>2175</v>
      </c>
      <c r="Q54" s="2207">
        <f ca="1">J54</f>
        <v>-3</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2883</v>
      </c>
      <c r="B1" s="3222"/>
      <c r="C1" s="3235"/>
      <c r="D1" s="3235"/>
      <c r="E1" s="3223"/>
      <c r="F1" s="3224"/>
      <c r="G1" s="3225"/>
      <c r="J1" s="3228" t="s">
        <v>2740</v>
      </c>
      <c r="K1" s="3229"/>
      <c r="L1" s="3229"/>
      <c r="M1" s="3229"/>
      <c r="N1" s="3229"/>
      <c r="O1" s="3229"/>
      <c r="P1" s="3229"/>
      <c r="Q1" s="3229"/>
      <c r="R1" s="3230"/>
      <c r="S1" s="3231"/>
      <c r="T1" s="3231"/>
      <c r="U1" s="3231"/>
    </row>
    <row r="2" spans="1:22" s="3244" customFormat="1" ht="13.15" customHeight="1">
      <c r="A2" s="3233" t="s">
        <v>2741</v>
      </c>
      <c r="B2" s="3234" t="e">
        <f>C40</f>
        <v>#DIV/0!</v>
      </c>
      <c r="C2" s="3235" t="s">
        <v>2742</v>
      </c>
      <c r="D2" s="3235"/>
      <c r="E2" s="3236"/>
      <c r="F2" s="3237"/>
      <c r="G2" s="3238"/>
      <c r="H2" s="3239"/>
      <c r="I2" s="3240"/>
      <c r="J2" s="3800" t="s">
        <v>2743</v>
      </c>
      <c r="K2" s="3801"/>
      <c r="L2" s="3241" t="s">
        <v>2744</v>
      </c>
      <c r="M2" s="3241" t="s">
        <v>2745</v>
      </c>
      <c r="N2" s="3241" t="s">
        <v>2746</v>
      </c>
      <c r="O2" s="3241" t="s">
        <v>2747</v>
      </c>
      <c r="P2" s="3241" t="s">
        <v>2748</v>
      </c>
      <c r="Q2" s="3242" t="s">
        <v>2749</v>
      </c>
      <c r="R2" s="3243" t="s">
        <v>2750</v>
      </c>
      <c r="S2" s="3231"/>
      <c r="T2" s="3231"/>
      <c r="U2" s="3231"/>
      <c r="V2" s="3240"/>
    </row>
    <row r="3" spans="1:22" s="3244" customFormat="1" ht="13.15" customHeight="1">
      <c r="A3" s="3245" t="s">
        <v>2751</v>
      </c>
      <c r="B3" s="3246" t="e">
        <f>ROUND(B2*10000/B4,0)</f>
        <v>#DIV/0!</v>
      </c>
      <c r="C3" s="3235" t="s">
        <v>2752</v>
      </c>
      <c r="D3" s="3235"/>
      <c r="E3" s="3236"/>
      <c r="F3" s="3237"/>
      <c r="G3" s="3238"/>
      <c r="H3" s="3239"/>
      <c r="I3" s="3240"/>
      <c r="J3" s="3802" t="s">
        <v>2753</v>
      </c>
      <c r="K3" s="3803"/>
      <c r="L3" s="3247"/>
      <c r="M3" s="3247"/>
      <c r="N3" s="3247"/>
      <c r="O3" s="3247"/>
      <c r="P3" s="3247"/>
      <c r="Q3" s="3248"/>
      <c r="R3" s="3249">
        <f>SUM(L3:Q3)</f>
        <v>0</v>
      </c>
      <c r="S3" s="3231"/>
      <c r="T3" s="3231"/>
      <c r="U3" s="3231"/>
      <c r="V3" s="3240"/>
    </row>
    <row r="4" spans="1:22" s="3244" customFormat="1" ht="13.15" customHeight="1">
      <c r="A4" s="3250" t="s">
        <v>2754</v>
      </c>
      <c r="B4" s="3251"/>
      <c r="C4" s="3235"/>
      <c r="D4" s="3235"/>
      <c r="E4" s="3236"/>
      <c r="F4" s="3237"/>
      <c r="G4" s="3238"/>
      <c r="H4" s="3239"/>
      <c r="I4" s="3240"/>
      <c r="J4" s="3802" t="s">
        <v>2755</v>
      </c>
      <c r="K4" s="3803"/>
      <c r="L4" s="3252"/>
      <c r="M4" s="3252"/>
      <c r="N4" s="3252"/>
      <c r="O4" s="3252"/>
      <c r="P4" s="3252"/>
      <c r="Q4" s="3253"/>
      <c r="R4" s="3254">
        <f>SUM(L4:Q4)</f>
        <v>0</v>
      </c>
      <c r="S4" s="3231"/>
      <c r="T4" s="3231"/>
      <c r="U4" s="3231"/>
      <c r="V4" s="3240"/>
    </row>
    <row r="5" spans="1:22" s="3244" customFormat="1" ht="13.15" customHeight="1" thickBot="1">
      <c r="A5" s="3255" t="s">
        <v>2756</v>
      </c>
      <c r="B5" s="3256"/>
      <c r="C5" s="3235"/>
      <c r="D5" s="3257"/>
      <c r="E5" s="3237"/>
      <c r="F5" s="3237"/>
      <c r="G5" s="3238"/>
      <c r="H5" s="3239"/>
      <c r="I5" s="3240"/>
      <c r="J5" s="3258" t="s">
        <v>2757</v>
      </c>
      <c r="K5" s="3259"/>
      <c r="L5" s="3259"/>
      <c r="M5" s="3260"/>
      <c r="N5" s="3260"/>
      <c r="O5" s="3260"/>
      <c r="P5" s="3260"/>
      <c r="Q5" s="3260"/>
      <c r="R5" s="3243">
        <f>SUM(R14,R19,R24,R25,R27,R28)</f>
        <v>0</v>
      </c>
      <c r="S5" s="3231"/>
      <c r="T5" s="3231" t="s">
        <v>2758</v>
      </c>
      <c r="U5" s="3231" t="e">
        <f>ROUND(R5*10000/365/R3,1)</f>
        <v>#DIV/0!</v>
      </c>
      <c r="V5" s="3240"/>
    </row>
    <row r="6" spans="1:22" s="3244" customFormat="1" ht="13.15" customHeight="1" thickBot="1">
      <c r="A6" s="3808" t="s">
        <v>2759</v>
      </c>
      <c r="B6" s="3809"/>
      <c r="C6" s="3810"/>
      <c r="D6" s="3261"/>
      <c r="E6" s="3262"/>
      <c r="F6" s="3263"/>
      <c r="G6" s="3264"/>
      <c r="H6" s="3239"/>
      <c r="I6" s="3240"/>
      <c r="J6" s="3794">
        <v>1</v>
      </c>
      <c r="K6" s="3795" t="s">
        <v>2760</v>
      </c>
      <c r="L6" s="3265" t="s">
        <v>2761</v>
      </c>
      <c r="M6" s="3266" t="s">
        <v>2762</v>
      </c>
      <c r="N6" s="3266" t="s">
        <v>2763</v>
      </c>
      <c r="O6" s="3266" t="s">
        <v>2764</v>
      </c>
      <c r="P6" s="3266" t="s">
        <v>2765</v>
      </c>
      <c r="Q6" s="3266" t="s">
        <v>2766</v>
      </c>
      <c r="R6" s="3249" t="s">
        <v>2767</v>
      </c>
      <c r="S6" s="3231"/>
      <c r="T6" s="3231" t="s">
        <v>2768</v>
      </c>
      <c r="U6" s="3231"/>
      <c r="V6" s="3240"/>
    </row>
    <row r="7" spans="1:22" s="3244" customFormat="1" ht="13.15" customHeight="1">
      <c r="A7" s="3267" t="s">
        <v>2769</v>
      </c>
      <c r="B7" s="3268"/>
      <c r="C7" s="3269"/>
      <c r="D7" s="3270">
        <f>SUM(D9,D10,D11,D17,0)</f>
        <v>0</v>
      </c>
      <c r="E7" s="3271" t="e">
        <f>E9+E10+E11+E17</f>
        <v>#DIV/0!</v>
      </c>
      <c r="F7" s="3272"/>
      <c r="G7" s="3273"/>
      <c r="H7" s="3239"/>
      <c r="I7" s="3240"/>
      <c r="J7" s="3794"/>
      <c r="K7" s="3796"/>
      <c r="L7" s="3274" t="s">
        <v>2770</v>
      </c>
      <c r="M7" s="3275"/>
      <c r="N7" s="3251"/>
      <c r="O7" s="3276"/>
      <c r="P7" s="3276"/>
      <c r="Q7" s="3277">
        <v>365</v>
      </c>
      <c r="R7" s="3278">
        <f>ROUND(M7*N7*O7*P7*Q7/10000,0)</f>
        <v>0</v>
      </c>
      <c r="S7" s="3231"/>
      <c r="T7" s="3231" t="s">
        <v>2771</v>
      </c>
      <c r="U7" s="3231"/>
      <c r="V7" s="3240"/>
    </row>
    <row r="8" spans="1:22" s="3244" customFormat="1" ht="13.15" customHeight="1">
      <c r="A8" s="3279" t="s">
        <v>2772</v>
      </c>
      <c r="B8" s="3811" t="s">
        <v>2773</v>
      </c>
      <c r="C8" s="3812"/>
      <c r="D8" s="3280" t="s">
        <v>2774</v>
      </c>
      <c r="E8" s="3281" t="s">
        <v>2775</v>
      </c>
      <c r="F8" s="3282" t="s">
        <v>2776</v>
      </c>
      <c r="G8" s="3283"/>
      <c r="H8" s="3239"/>
      <c r="I8" s="3240"/>
      <c r="J8" s="3794"/>
      <c r="K8" s="3796"/>
      <c r="L8" s="3274" t="s">
        <v>2777</v>
      </c>
      <c r="M8" s="3275"/>
      <c r="N8" s="3251"/>
      <c r="O8" s="3276"/>
      <c r="P8" s="3276"/>
      <c r="Q8" s="3277">
        <v>365</v>
      </c>
      <c r="R8" s="3278">
        <f t="shared" ref="R8:R13" si="0">ROUND(M8*N8*O8*P8*Q8/10000,0)</f>
        <v>0</v>
      </c>
      <c r="S8" s="3231"/>
      <c r="T8" s="3231" t="s">
        <v>2778</v>
      </c>
      <c r="U8" s="3231"/>
      <c r="V8" s="3240"/>
    </row>
    <row r="9" spans="1:22" s="3244" customFormat="1" ht="13.15" customHeight="1">
      <c r="A9" s="3279">
        <v>1</v>
      </c>
      <c r="B9" s="3811" t="s">
        <v>2779</v>
      </c>
      <c r="C9" s="3812"/>
      <c r="D9" s="3280">
        <f>ROUND(D6*E9,0)</f>
        <v>0</v>
      </c>
      <c r="E9" s="3284"/>
      <c r="F9" s="3285" t="s">
        <v>2780</v>
      </c>
      <c r="G9" s="3264"/>
      <c r="H9" s="3239"/>
      <c r="I9" s="3240"/>
      <c r="J9" s="3794"/>
      <c r="K9" s="3796"/>
      <c r="L9" s="3274" t="s">
        <v>2781</v>
      </c>
      <c r="M9" s="3275"/>
      <c r="N9" s="3251"/>
      <c r="O9" s="3276"/>
      <c r="P9" s="3276"/>
      <c r="Q9" s="3277">
        <v>365</v>
      </c>
      <c r="R9" s="3278">
        <f t="shared" si="0"/>
        <v>0</v>
      </c>
      <c r="S9" s="3231"/>
      <c r="T9" s="3231"/>
      <c r="U9" s="3231"/>
      <c r="V9" s="3240"/>
    </row>
    <row r="10" spans="1:22" s="3244" customFormat="1" ht="13.15" customHeight="1">
      <c r="A10" s="3279">
        <v>2</v>
      </c>
      <c r="B10" s="3811" t="s">
        <v>2782</v>
      </c>
      <c r="C10" s="3812"/>
      <c r="D10" s="3280">
        <f>ROUND(D6*E10,0)</f>
        <v>0</v>
      </c>
      <c r="E10" s="3284"/>
      <c r="F10" s="3285" t="s">
        <v>2783</v>
      </c>
      <c r="G10" s="3264"/>
      <c r="H10" s="3239"/>
      <c r="I10" s="3240"/>
      <c r="J10" s="3794"/>
      <c r="K10" s="3796"/>
      <c r="L10" s="3274" t="s">
        <v>2784</v>
      </c>
      <c r="M10" s="3275"/>
      <c r="N10" s="3251"/>
      <c r="O10" s="3276"/>
      <c r="P10" s="3276"/>
      <c r="Q10" s="3277">
        <v>365</v>
      </c>
      <c r="R10" s="3278">
        <f t="shared" si="0"/>
        <v>0</v>
      </c>
      <c r="S10" s="3231"/>
      <c r="T10" s="3231"/>
      <c r="U10" s="3231"/>
      <c r="V10" s="3240"/>
    </row>
    <row r="11" spans="1:22" s="3244" customFormat="1" ht="13.15" customHeight="1">
      <c r="A11" s="3279">
        <v>3</v>
      </c>
      <c r="B11" s="3811" t="s">
        <v>2785</v>
      </c>
      <c r="C11" s="3812"/>
      <c r="D11" s="3280">
        <f>D12+D14+D15+D16</f>
        <v>0</v>
      </c>
      <c r="E11" s="3286" t="e">
        <f>D11/D6</f>
        <v>#DIV/0!</v>
      </c>
      <c r="F11" s="3282"/>
      <c r="G11" s="3283"/>
      <c r="H11" s="3239"/>
      <c r="I11" s="3240"/>
      <c r="J11" s="3794"/>
      <c r="K11" s="3796"/>
      <c r="L11" s="3274" t="s">
        <v>2786</v>
      </c>
      <c r="M11" s="3275"/>
      <c r="N11" s="3251"/>
      <c r="O11" s="3276"/>
      <c r="P11" s="3276"/>
      <c r="Q11" s="3277">
        <v>365</v>
      </c>
      <c r="R11" s="3278">
        <f t="shared" si="0"/>
        <v>0</v>
      </c>
      <c r="S11" s="3231"/>
      <c r="T11" s="3231"/>
      <c r="U11" s="3231"/>
      <c r="V11" s="3240"/>
    </row>
    <row r="12" spans="1:22" s="3244" customFormat="1" ht="13.15" customHeight="1">
      <c r="A12" s="3287" t="s">
        <v>2787</v>
      </c>
      <c r="B12" s="3804" t="s">
        <v>2788</v>
      </c>
      <c r="C12" s="3805"/>
      <c r="D12" s="3288">
        <f>ROUND(D13*1.2%*(1-30%),0)</f>
        <v>0</v>
      </c>
      <c r="E12" s="3289">
        <v>1.2E-2</v>
      </c>
      <c r="F12" s="3282" t="s">
        <v>2789</v>
      </c>
      <c r="G12" s="3283"/>
      <c r="H12" s="3239"/>
      <c r="I12" s="3240"/>
      <c r="J12" s="3794"/>
      <c r="K12" s="3796"/>
      <c r="L12" s="3274" t="s">
        <v>2790</v>
      </c>
      <c r="M12" s="3275"/>
      <c r="N12" s="3251"/>
      <c r="O12" s="3276"/>
      <c r="P12" s="3276"/>
      <c r="Q12" s="3277">
        <v>365</v>
      </c>
      <c r="R12" s="3278">
        <f t="shared" si="0"/>
        <v>0</v>
      </c>
      <c r="S12" s="3231"/>
      <c r="T12" s="3231"/>
      <c r="U12" s="3231"/>
      <c r="V12" s="3240"/>
    </row>
    <row r="13" spans="1:22" s="3244" customFormat="1" ht="13.15" customHeight="1">
      <c r="A13" s="3287"/>
      <c r="B13" s="3290"/>
      <c r="C13" s="3291" t="s">
        <v>2791</v>
      </c>
      <c r="D13" s="3292"/>
      <c r="E13" s="3293"/>
      <c r="F13" s="3282"/>
      <c r="G13" s="3283"/>
      <c r="H13" s="3239"/>
      <c r="I13" s="3240"/>
      <c r="J13" s="3794"/>
      <c r="K13" s="3796"/>
      <c r="L13" s="3274" t="s">
        <v>2792</v>
      </c>
      <c r="M13" s="3275"/>
      <c r="N13" s="3251"/>
      <c r="O13" s="3276"/>
      <c r="P13" s="3276"/>
      <c r="Q13" s="3277">
        <v>365</v>
      </c>
      <c r="R13" s="3278">
        <f t="shared" si="0"/>
        <v>0</v>
      </c>
      <c r="S13" s="3231"/>
      <c r="T13" s="3231"/>
      <c r="U13" s="3231"/>
      <c r="V13" s="3240"/>
    </row>
    <row r="14" spans="1:22" s="3244" customFormat="1" ht="13.15" customHeight="1">
      <c r="A14" s="3287" t="s">
        <v>2793</v>
      </c>
      <c r="B14" s="3804" t="s">
        <v>2794</v>
      </c>
      <c r="C14" s="3805"/>
      <c r="D14" s="3288">
        <f>ROUND(E14*B5/10000,0)</f>
        <v>0</v>
      </c>
      <c r="E14" s="3277"/>
      <c r="F14" s="3282" t="s">
        <v>2795</v>
      </c>
      <c r="G14" s="3283"/>
      <c r="H14" s="3239"/>
      <c r="I14" s="3240"/>
      <c r="J14" s="3794"/>
      <c r="K14" s="3797"/>
      <c r="L14" s="3294" t="s">
        <v>2796</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2797</v>
      </c>
      <c r="B15" s="3804" t="s">
        <v>2798</v>
      </c>
      <c r="C15" s="3805"/>
      <c r="D15" s="3288">
        <f>ROUND(D6*E15,0)</f>
        <v>0</v>
      </c>
      <c r="E15" s="3289">
        <v>5.5E-2</v>
      </c>
      <c r="F15" s="3282" t="s">
        <v>2799</v>
      </c>
      <c r="G15" s="3264"/>
      <c r="H15" s="3239"/>
      <c r="I15" s="3240"/>
      <c r="J15" s="3794">
        <v>2</v>
      </c>
      <c r="K15" s="3795" t="s">
        <v>2800</v>
      </c>
      <c r="L15" s="3274" t="s">
        <v>2801</v>
      </c>
      <c r="M15" s="3275" t="s">
        <v>2802</v>
      </c>
      <c r="N15" s="3275" t="s">
        <v>2803</v>
      </c>
      <c r="O15" s="3276" t="s">
        <v>2804</v>
      </c>
      <c r="P15" s="3276" t="s">
        <v>2805</v>
      </c>
      <c r="Q15" s="3251" t="s">
        <v>2806</v>
      </c>
      <c r="R15" s="3298" t="s">
        <v>2807</v>
      </c>
      <c r="S15" s="3231"/>
      <c r="T15" s="3231"/>
      <c r="U15" s="3231"/>
      <c r="V15" s="3240"/>
    </row>
    <row r="16" spans="1:22" s="3244" customFormat="1" ht="13.15" customHeight="1">
      <c r="A16" s="3287" t="s">
        <v>2808</v>
      </c>
      <c r="B16" s="3804" t="s">
        <v>2809</v>
      </c>
      <c r="C16" s="3805"/>
      <c r="D16" s="3299">
        <f>D6*E16</f>
        <v>0</v>
      </c>
      <c r="E16" s="3300"/>
      <c r="F16" s="3285" t="s">
        <v>2810</v>
      </c>
      <c r="G16" s="3264"/>
      <c r="H16" s="3239"/>
      <c r="I16" s="3240"/>
      <c r="J16" s="3794"/>
      <c r="K16" s="3796"/>
      <c r="L16" s="3274" t="s">
        <v>2811</v>
      </c>
      <c r="M16" s="3275"/>
      <c r="N16" s="3275"/>
      <c r="O16" s="3276"/>
      <c r="P16" s="3277">
        <v>365</v>
      </c>
      <c r="Q16" s="3251"/>
      <c r="R16" s="3298">
        <f>ROUND(M16*N16*O16*P16/10000,0)</f>
        <v>0</v>
      </c>
      <c r="S16" s="3231"/>
      <c r="T16" s="3231"/>
      <c r="U16" s="3231"/>
      <c r="V16" s="3240"/>
    </row>
    <row r="17" spans="1:22" s="3244" customFormat="1" ht="13.15" customHeight="1" thickBot="1">
      <c r="A17" s="3301">
        <v>4</v>
      </c>
      <c r="B17" s="3806" t="s">
        <v>2812</v>
      </c>
      <c r="C17" s="3807"/>
      <c r="D17" s="3302">
        <f>ROUND(D6*E17,0)</f>
        <v>0</v>
      </c>
      <c r="E17" s="3303"/>
      <c r="F17" s="3304" t="s">
        <v>2813</v>
      </c>
      <c r="G17" s="3264"/>
      <c r="H17" s="3239"/>
      <c r="I17" s="3240"/>
      <c r="J17" s="3794"/>
      <c r="K17" s="3796"/>
      <c r="L17" s="3274" t="s">
        <v>2814</v>
      </c>
      <c r="M17" s="3275"/>
      <c r="N17" s="3275"/>
      <c r="O17" s="3276"/>
      <c r="P17" s="3277">
        <v>365</v>
      </c>
      <c r="Q17" s="3251"/>
      <c r="R17" s="3298">
        <f>ROUND(M17*N17*O17*P17/10000,0)</f>
        <v>0</v>
      </c>
      <c r="S17" s="3231"/>
      <c r="T17" s="3231"/>
      <c r="U17" s="3231"/>
      <c r="V17" s="3240"/>
    </row>
    <row r="18" spans="1:22" s="3244" customFormat="1" ht="13.15" customHeight="1" thickBot="1">
      <c r="A18" s="3267" t="s">
        <v>2815</v>
      </c>
      <c r="B18" s="3268"/>
      <c r="C18" s="3268"/>
      <c r="D18" s="3305">
        <f>ROUND(D6*E18,0)</f>
        <v>0</v>
      </c>
      <c r="E18" s="3306"/>
      <c r="F18" s="3307" t="s">
        <v>2816</v>
      </c>
      <c r="G18" s="3264"/>
      <c r="H18" s="3239"/>
      <c r="I18" s="3240"/>
      <c r="J18" s="3794"/>
      <c r="K18" s="3796"/>
      <c r="L18" s="3274" t="s">
        <v>2817</v>
      </c>
      <c r="M18" s="3275"/>
      <c r="N18" s="3275"/>
      <c r="O18" s="3276"/>
      <c r="P18" s="3277">
        <v>365</v>
      </c>
      <c r="Q18" s="3251"/>
      <c r="R18" s="3298">
        <f>ROUND(M18*N18*O18*P18/10000,0)</f>
        <v>0</v>
      </c>
      <c r="S18" s="3231"/>
      <c r="T18" s="3231"/>
      <c r="U18" s="3231"/>
      <c r="V18" s="3240"/>
    </row>
    <row r="19" spans="1:22" s="3244" customFormat="1" ht="13.15" customHeight="1" thickBot="1">
      <c r="A19" s="3308" t="s">
        <v>2818</v>
      </c>
      <c r="B19" s="3262"/>
      <c r="C19" s="3262"/>
      <c r="D19" s="3262"/>
      <c r="E19" s="3262"/>
      <c r="F19" s="3263"/>
      <c r="G19" s="3283"/>
      <c r="H19" s="3239"/>
      <c r="I19" s="3240"/>
      <c r="J19" s="3794"/>
      <c r="K19" s="3797"/>
      <c r="L19" s="3294" t="s">
        <v>2796</v>
      </c>
      <c r="M19" s="3295"/>
      <c r="N19" s="3295">
        <f>SUM(N16:N18)</f>
        <v>0</v>
      </c>
      <c r="O19" s="3296"/>
      <c r="P19" s="3309" t="s">
        <v>2884</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94">
        <v>3</v>
      </c>
      <c r="K20" s="3795" t="s">
        <v>2819</v>
      </c>
      <c r="L20" s="3274" t="s">
        <v>2820</v>
      </c>
      <c r="M20" s="3275" t="s">
        <v>2821</v>
      </c>
      <c r="N20" s="3312" t="s">
        <v>2822</v>
      </c>
      <c r="O20" s="3276" t="s">
        <v>2823</v>
      </c>
      <c r="P20" s="3277" t="s">
        <v>2824</v>
      </c>
      <c r="Q20" s="3251" t="s">
        <v>2825</v>
      </c>
      <c r="R20" s="3298" t="s">
        <v>2767</v>
      </c>
      <c r="S20" s="3313"/>
      <c r="T20" s="3313"/>
      <c r="U20" s="3313"/>
      <c r="V20" s="3240"/>
    </row>
    <row r="21" spans="1:22" s="3244" customFormat="1" ht="13.15" customHeight="1">
      <c r="A21" s="3267"/>
      <c r="B21" s="3268"/>
      <c r="C21" s="3314" t="s">
        <v>2826</v>
      </c>
      <c r="D21" s="3315" t="s">
        <v>2827</v>
      </c>
      <c r="E21" s="3316" t="s">
        <v>2828</v>
      </c>
      <c r="F21" s="3311"/>
      <c r="G21" s="3283"/>
      <c r="H21" s="3239"/>
      <c r="I21" s="3240"/>
      <c r="J21" s="3794"/>
      <c r="K21" s="3796"/>
      <c r="L21" s="3274" t="s">
        <v>2829</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2830</v>
      </c>
      <c r="D22" s="3319" t="s">
        <v>2831</v>
      </c>
      <c r="E22" s="3320" t="s">
        <v>2832</v>
      </c>
      <c r="F22" s="3311"/>
      <c r="G22" s="3321"/>
      <c r="H22" s="3239"/>
      <c r="I22" s="3240"/>
      <c r="J22" s="3794"/>
      <c r="K22" s="3796"/>
      <c r="L22" s="3274" t="s">
        <v>2833</v>
      </c>
      <c r="M22" s="3275"/>
      <c r="N22" s="3275"/>
      <c r="O22" s="3276"/>
      <c r="P22" s="3277">
        <v>365</v>
      </c>
      <c r="Q22" s="3251"/>
      <c r="R22" s="3317">
        <f>ROUND(M22*N22*O22*P22/10000,0)</f>
        <v>0</v>
      </c>
      <c r="S22" s="3313"/>
      <c r="T22" s="3313"/>
      <c r="U22" s="3313"/>
      <c r="V22" s="3240"/>
    </row>
    <row r="23" spans="1:22" s="3244" customFormat="1" ht="13.15" customHeight="1">
      <c r="A23" s="3322">
        <v>1</v>
      </c>
      <c r="B23" s="3323" t="s">
        <v>2834</v>
      </c>
      <c r="C23" s="3324">
        <f>D6</f>
        <v>0</v>
      </c>
      <c r="D23" s="3325">
        <f>C23*(1+D24)</f>
        <v>0</v>
      </c>
      <c r="E23" s="3326">
        <f>D23*(1+E24)</f>
        <v>0</v>
      </c>
      <c r="F23" s="3327"/>
      <c r="G23" s="3328"/>
      <c r="H23" s="3239"/>
      <c r="I23" s="3240"/>
      <c r="J23" s="3794"/>
      <c r="K23" s="3796"/>
      <c r="L23" s="3274" t="s">
        <v>2835</v>
      </c>
      <c r="M23" s="3275"/>
      <c r="N23" s="3275"/>
      <c r="O23" s="3276"/>
      <c r="P23" s="3277">
        <v>365</v>
      </c>
      <c r="Q23" s="3251"/>
      <c r="R23" s="3317">
        <f>ROUND(M23*N23*O23*P23/10000,0)</f>
        <v>0</v>
      </c>
      <c r="S23" s="3231"/>
      <c r="T23" s="3231"/>
      <c r="U23" s="3231"/>
      <c r="V23" s="3240"/>
    </row>
    <row r="24" spans="1:22" s="3244" customFormat="1" ht="13.15" customHeight="1">
      <c r="A24" s="3329"/>
      <c r="B24" s="3330" t="s">
        <v>2836</v>
      </c>
      <c r="C24" s="3331"/>
      <c r="D24" s="3332"/>
      <c r="E24" s="3333"/>
      <c r="F24" s="3334"/>
      <c r="G24" s="3328"/>
      <c r="H24" s="3239"/>
      <c r="I24" s="3240"/>
      <c r="J24" s="3794"/>
      <c r="K24" s="3797"/>
      <c r="L24" s="3294" t="s">
        <v>2796</v>
      </c>
      <c r="M24" s="3295">
        <f>SUM(M21:M23)</f>
        <v>0</v>
      </c>
      <c r="N24" s="3295"/>
      <c r="O24" s="3296"/>
      <c r="P24" s="3309" t="s">
        <v>2884</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2837</v>
      </c>
      <c r="L25" s="3337"/>
      <c r="M25" s="3337"/>
      <c r="N25" s="3337"/>
      <c r="O25" s="3337"/>
      <c r="P25" s="3338"/>
      <c r="Q25" s="3339"/>
      <c r="R25" s="3310">
        <f>ROUND(R14*Q25,0)</f>
        <v>0</v>
      </c>
      <c r="S25" s="3231"/>
      <c r="T25" s="3231"/>
      <c r="U25" s="3231"/>
      <c r="V25" s="3340"/>
    </row>
    <row r="26" spans="1:22" s="3341" customFormat="1" ht="13.15" customHeight="1">
      <c r="A26" s="3322">
        <v>2</v>
      </c>
      <c r="B26" s="3323" t="s">
        <v>2838</v>
      </c>
      <c r="C26" s="3324">
        <f>D7</f>
        <v>0</v>
      </c>
      <c r="D26" s="3325">
        <f>D23*D27</f>
        <v>0</v>
      </c>
      <c r="E26" s="3326">
        <f>E23*E27</f>
        <v>0</v>
      </c>
      <c r="F26" s="3327"/>
      <c r="G26" s="3328"/>
      <c r="H26" s="3239"/>
      <c r="I26" s="3240"/>
      <c r="J26" s="3798">
        <v>5</v>
      </c>
      <c r="K26" s="3342" t="s">
        <v>2839</v>
      </c>
      <c r="L26" s="3343"/>
      <c r="M26" s="3344"/>
      <c r="N26" s="3345" t="s">
        <v>2840</v>
      </c>
      <c r="O26" s="3345" t="s">
        <v>2841</v>
      </c>
      <c r="P26" s="3346" t="s">
        <v>2842</v>
      </c>
      <c r="Q26" s="3346" t="s">
        <v>2843</v>
      </c>
      <c r="R26" s="3249" t="s">
        <v>2844</v>
      </c>
      <c r="S26" s="3347"/>
      <c r="T26" s="3347"/>
      <c r="U26" s="3347"/>
      <c r="V26" s="3340"/>
    </row>
    <row r="27" spans="1:22" s="3244" customFormat="1" ht="13.15" customHeight="1">
      <c r="A27" s="3329"/>
      <c r="B27" s="3330" t="s">
        <v>2845</v>
      </c>
      <c r="C27" s="3348" t="e">
        <f>E7</f>
        <v>#DIV/0!</v>
      </c>
      <c r="D27" s="3332"/>
      <c r="E27" s="3333"/>
      <c r="F27" s="3334"/>
      <c r="G27" s="3328"/>
      <c r="H27" s="3349"/>
      <c r="I27" s="3340"/>
      <c r="J27" s="3799"/>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2846</v>
      </c>
      <c r="F28" s="3334"/>
      <c r="G28" s="3321"/>
      <c r="H28" s="3349"/>
      <c r="I28" s="3340"/>
      <c r="J28" s="3355">
        <v>6</v>
      </c>
      <c r="K28" s="3356" t="s">
        <v>2847</v>
      </c>
      <c r="L28" s="3357" t="s">
        <v>2848</v>
      </c>
      <c r="M28" s="3358"/>
      <c r="N28" s="3357" t="s">
        <v>2849</v>
      </c>
      <c r="O28" s="3359"/>
      <c r="P28" s="3357" t="s">
        <v>2850</v>
      </c>
      <c r="Q28" s="3360">
        <v>1.4999999999999999E-2</v>
      </c>
      <c r="R28" s="3361"/>
      <c r="S28" s="3313"/>
      <c r="T28" s="3313"/>
      <c r="U28" s="3313"/>
      <c r="V28" s="3340"/>
    </row>
    <row r="29" spans="1:22" s="3341" customFormat="1" ht="13.15" customHeight="1">
      <c r="A29" s="3322">
        <v>3</v>
      </c>
      <c r="B29" s="3323" t="s">
        <v>2851</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2852</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2853</v>
      </c>
      <c r="K31" s="3229"/>
      <c r="L31" s="3229"/>
      <c r="M31" s="3229"/>
      <c r="N31" s="3229"/>
      <c r="O31" s="3229"/>
      <c r="P31" s="3229"/>
      <c r="Q31" s="3229"/>
      <c r="R31" s="3230"/>
      <c r="S31" s="3313"/>
      <c r="T31" s="3231"/>
      <c r="U31" s="3231"/>
      <c r="V31" s="3340"/>
    </row>
    <row r="32" spans="1:22" s="3341" customFormat="1" ht="13.15" customHeight="1">
      <c r="A32" s="3322">
        <v>4</v>
      </c>
      <c r="B32" s="3323" t="s">
        <v>2854</v>
      </c>
      <c r="C32" s="3324">
        <f>C23-C26-C29</f>
        <v>0</v>
      </c>
      <c r="D32" s="3325">
        <f>D23-D26-D29</f>
        <v>0</v>
      </c>
      <c r="E32" s="3326">
        <f>E23-E26-E29</f>
        <v>0</v>
      </c>
      <c r="F32" s="3327"/>
      <c r="G32" s="3321"/>
      <c r="H32" s="3239"/>
      <c r="I32" s="3240"/>
      <c r="J32" s="3800" t="s">
        <v>2855</v>
      </c>
      <c r="K32" s="3801"/>
      <c r="L32" s="3241" t="s">
        <v>2856</v>
      </c>
      <c r="M32" s="3241" t="s">
        <v>2745</v>
      </c>
      <c r="N32" s="3241" t="s">
        <v>2746</v>
      </c>
      <c r="O32" s="3241" t="s">
        <v>2747</v>
      </c>
      <c r="P32" s="3241" t="s">
        <v>2748</v>
      </c>
      <c r="Q32" s="3242" t="s">
        <v>2857</v>
      </c>
      <c r="R32" s="3364" t="s">
        <v>2858</v>
      </c>
      <c r="S32" s="3313"/>
      <c r="T32" s="3231"/>
      <c r="U32" s="3231"/>
      <c r="V32" s="3340"/>
    </row>
    <row r="33" spans="1:23" s="3244" customFormat="1" ht="13.15" customHeight="1">
      <c r="A33" s="3322"/>
      <c r="B33" s="3323"/>
      <c r="C33" s="3324"/>
      <c r="D33" s="3365"/>
      <c r="E33" s="3366"/>
      <c r="F33" s="3327"/>
      <c r="G33" s="3321"/>
      <c r="H33" s="3349"/>
      <c r="I33" s="3340"/>
      <c r="J33" s="3802" t="s">
        <v>2859</v>
      </c>
      <c r="K33" s="3803"/>
      <c r="L33" s="3247"/>
      <c r="M33" s="3247"/>
      <c r="N33" s="3247"/>
      <c r="O33" s="3247"/>
      <c r="P33" s="3247"/>
      <c r="Q33" s="3248"/>
      <c r="R33" s="3367">
        <f>SUM(L33:Q33)</f>
        <v>0</v>
      </c>
      <c r="S33" s="3313"/>
      <c r="T33" s="3231"/>
      <c r="U33" s="3231"/>
      <c r="V33" s="3240"/>
    </row>
    <row r="34" spans="1:23" s="3244" customFormat="1" ht="13.15" customHeight="1">
      <c r="A34" s="3322">
        <v>5</v>
      </c>
      <c r="B34" s="3323" t="s">
        <v>2860</v>
      </c>
      <c r="C34" s="3368"/>
      <c r="D34" s="3369"/>
      <c r="E34" s="3370"/>
      <c r="F34" s="3327"/>
      <c r="G34" s="3321"/>
      <c r="H34" s="3349"/>
      <c r="I34" s="3340"/>
      <c r="J34" s="3802" t="s">
        <v>2861</v>
      </c>
      <c r="K34" s="3803"/>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2862</v>
      </c>
      <c r="C35" s="3372"/>
      <c r="D35" s="3373"/>
      <c r="E35" s="3374"/>
      <c r="F35" s="3327"/>
      <c r="G35" s="3375"/>
      <c r="H35" s="3239"/>
      <c r="I35" s="3340"/>
      <c r="J35" s="3258" t="s">
        <v>2863</v>
      </c>
      <c r="K35" s="3259"/>
      <c r="L35" s="3259"/>
      <c r="M35" s="3260"/>
      <c r="N35" s="3260"/>
      <c r="O35" s="3260"/>
      <c r="P35" s="3260"/>
      <c r="Q35" s="3260"/>
      <c r="R35" s="3376">
        <f>R40+R41+R43</f>
        <v>0</v>
      </c>
      <c r="S35" s="3313"/>
      <c r="T35" s="3231" t="s">
        <v>2864</v>
      </c>
      <c r="U35" s="3231"/>
      <c r="V35" s="3240"/>
    </row>
    <row r="36" spans="1:23" s="3244" customFormat="1" ht="13.15" customHeight="1" thickBot="1">
      <c r="A36" s="3322">
        <v>7</v>
      </c>
      <c r="B36" s="3377" t="s">
        <v>2865</v>
      </c>
      <c r="C36" s="3378"/>
      <c r="D36" s="3379"/>
      <c r="E36" s="3380"/>
      <c r="F36" s="3381">
        <f>C36+D36+E36</f>
        <v>0</v>
      </c>
      <c r="G36" s="3321"/>
      <c r="H36" s="3239"/>
      <c r="I36" s="3240"/>
      <c r="J36" s="3794">
        <v>1</v>
      </c>
      <c r="K36" s="3795" t="s">
        <v>2866</v>
      </c>
      <c r="L36" s="3265"/>
      <c r="M36" s="3266"/>
      <c r="N36" s="3266"/>
      <c r="O36" s="3266"/>
      <c r="P36" s="3266"/>
      <c r="Q36" s="3266"/>
      <c r="R36" s="3249" t="s">
        <v>2767</v>
      </c>
      <c r="S36" s="3313"/>
      <c r="T36" s="3231" t="s">
        <v>2768</v>
      </c>
      <c r="U36" s="3231"/>
      <c r="V36" s="3240"/>
    </row>
    <row r="37" spans="1:23" s="3244" customFormat="1" ht="13.15" customHeight="1">
      <c r="A37" s="3322"/>
      <c r="B37" s="3323"/>
      <c r="C37" s="3323"/>
      <c r="D37" s="3323"/>
      <c r="E37" s="3323"/>
      <c r="F37" s="3327"/>
      <c r="G37" s="3321"/>
      <c r="H37" s="3239"/>
      <c r="I37" s="3240"/>
      <c r="J37" s="3794"/>
      <c r="K37" s="3796"/>
      <c r="L37" s="3274"/>
      <c r="M37" s="3275"/>
      <c r="N37" s="3251"/>
      <c r="O37" s="3276"/>
      <c r="P37" s="3276"/>
      <c r="Q37" s="3277"/>
      <c r="R37" s="3278"/>
      <c r="S37" s="3313"/>
      <c r="T37" s="3231" t="s">
        <v>2771</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94"/>
      <c r="K38" s="3796"/>
      <c r="L38" s="3274"/>
      <c r="M38" s="3275"/>
      <c r="N38" s="3251"/>
      <c r="O38" s="3276"/>
      <c r="P38" s="3276"/>
      <c r="Q38" s="3277"/>
      <c r="R38" s="3278"/>
      <c r="S38" s="3313"/>
      <c r="T38" s="3231" t="s">
        <v>2778</v>
      </c>
      <c r="U38" s="3231"/>
      <c r="V38" s="3240"/>
    </row>
    <row r="39" spans="1:23" s="3244" customFormat="1" ht="13.15" customHeight="1">
      <c r="A39" s="3322">
        <v>9</v>
      </c>
      <c r="B39" s="3323" t="s">
        <v>2867</v>
      </c>
      <c r="C39" s="3288" t="e">
        <f>C38</f>
        <v>#DIV/0!</v>
      </c>
      <c r="D39" s="3323">
        <f>D38/(1+D34)^C36</f>
        <v>0</v>
      </c>
      <c r="E39" s="3323">
        <f>E38/(1+E34)^(C36+D36)</f>
        <v>0</v>
      </c>
      <c r="F39" s="3327"/>
      <c r="G39" s="3382"/>
      <c r="H39" s="3239"/>
      <c r="I39" s="3240"/>
      <c r="J39" s="3794"/>
      <c r="K39" s="3796"/>
      <c r="L39" s="3274"/>
      <c r="M39" s="3275"/>
      <c r="N39" s="3251"/>
      <c r="O39" s="3276"/>
      <c r="P39" s="3276"/>
      <c r="Q39" s="3277"/>
      <c r="R39" s="3278"/>
      <c r="S39" s="3313"/>
      <c r="T39" s="3231"/>
      <c r="U39" s="3231"/>
      <c r="V39" s="3240"/>
    </row>
    <row r="40" spans="1:23" s="3244" customFormat="1" ht="13.15" customHeight="1">
      <c r="A40" s="3383">
        <v>10</v>
      </c>
      <c r="B40" s="3323" t="s">
        <v>2868</v>
      </c>
      <c r="C40" s="3384" t="e">
        <f>C39+D39+E39</f>
        <v>#DIV/0!</v>
      </c>
      <c r="D40" s="3385"/>
      <c r="E40" s="3385"/>
      <c r="F40" s="3386"/>
      <c r="G40" s="3321"/>
      <c r="H40" s="3239"/>
      <c r="I40" s="3240"/>
      <c r="J40" s="3794"/>
      <c r="K40" s="3797"/>
      <c r="L40" s="3294" t="s">
        <v>2869</v>
      </c>
      <c r="M40" s="3295"/>
      <c r="N40" s="3295"/>
      <c r="O40" s="3296"/>
      <c r="P40" s="3296"/>
      <c r="Q40" s="3297"/>
      <c r="R40" s="3243">
        <f>SUM(R37:R39)</f>
        <v>0</v>
      </c>
      <c r="S40" s="3313"/>
      <c r="T40" s="3231"/>
      <c r="U40" s="3231"/>
      <c r="V40" s="3240"/>
    </row>
    <row r="41" spans="1:23" s="3244" customFormat="1" ht="13.15" customHeight="1" thickBot="1">
      <c r="A41" s="3387">
        <v>11</v>
      </c>
      <c r="B41" s="3388" t="s">
        <v>2870</v>
      </c>
      <c r="C41" s="3388" t="e">
        <f>ROUND(C40*10000/B4,0)</f>
        <v>#DIV/0!</v>
      </c>
      <c r="D41" s="3389"/>
      <c r="E41" s="3389"/>
      <c r="F41" s="3390"/>
      <c r="G41" s="3391"/>
      <c r="H41" s="3239"/>
      <c r="I41" s="3240"/>
      <c r="J41" s="3335">
        <v>2</v>
      </c>
      <c r="K41" s="3336" t="s">
        <v>2871</v>
      </c>
      <c r="L41" s="3337"/>
      <c r="M41" s="3337"/>
      <c r="N41" s="3337"/>
      <c r="O41" s="3337"/>
      <c r="P41" s="3338"/>
      <c r="Q41" s="3339"/>
      <c r="R41" s="3310">
        <f>ROUND(R40*Q41,0)</f>
        <v>0</v>
      </c>
      <c r="S41" s="3313"/>
      <c r="T41" s="3231"/>
      <c r="U41" s="3347"/>
      <c r="V41" s="3240"/>
    </row>
    <row r="42" spans="1:23" s="3244" customFormat="1" ht="13.15" customHeight="1">
      <c r="G42" s="3391"/>
      <c r="H42" s="3239"/>
      <c r="I42" s="3240"/>
      <c r="J42" s="3798">
        <v>3</v>
      </c>
      <c r="K42" s="3342" t="s">
        <v>2872</v>
      </c>
      <c r="L42" s="3343"/>
      <c r="M42" s="3344"/>
      <c r="N42" s="3345" t="s">
        <v>2873</v>
      </c>
      <c r="O42" s="3345" t="s">
        <v>2874</v>
      </c>
      <c r="P42" s="3346" t="s">
        <v>2875</v>
      </c>
      <c r="Q42" s="3346" t="s">
        <v>2876</v>
      </c>
      <c r="R42" s="3249" t="s">
        <v>2877</v>
      </c>
      <c r="S42" s="3347"/>
      <c r="T42" s="3347"/>
      <c r="U42" s="3231"/>
      <c r="V42" s="3240"/>
    </row>
    <row r="43" spans="1:23" ht="13.15" customHeight="1">
      <c r="A43" s="3244"/>
      <c r="B43" s="3244"/>
      <c r="C43" s="3244"/>
      <c r="D43" s="3244"/>
      <c r="E43" s="3244"/>
      <c r="F43" s="3244"/>
      <c r="I43" s="3226"/>
      <c r="J43" s="3799"/>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2878</v>
      </c>
      <c r="L44" s="3395" t="s">
        <v>2879</v>
      </c>
      <c r="M44" s="3358"/>
      <c r="N44" s="3395" t="s">
        <v>2880</v>
      </c>
      <c r="O44" s="3358"/>
      <c r="P44" s="3395" t="s">
        <v>2881</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2725</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1701</v>
      </c>
      <c r="D12" s="3176">
        <f>'数据-汇总表'!E5</f>
        <v>100035.04</v>
      </c>
      <c r="E12" s="3176">
        <f>'数据-取费表'!B27</f>
        <v>170</v>
      </c>
      <c r="F12" s="729"/>
      <c r="G12" s="732"/>
    </row>
    <row r="13" spans="1:25" s="2016" customFormat="1" ht="13.5" customHeight="1">
      <c r="A13" s="2281" t="s">
        <v>2227</v>
      </c>
      <c r="B13" s="730" t="s">
        <v>594</v>
      </c>
      <c r="C13" s="731">
        <f>ROUND(D13*E13/10000,0)</f>
        <v>1440</v>
      </c>
      <c r="D13" s="3176">
        <f>'数据-汇总表'!E6</f>
        <v>84680.42</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0.91900000000000004</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zoomScaleSheetLayoutView="80" workbookViewId="0">
      <selection activeCell="C10" sqref="C10"/>
    </sheetView>
  </sheetViews>
  <sheetFormatPr defaultColWidth="9" defaultRowHeight="14.25"/>
  <cols>
    <col min="1" max="1" width="10.5" style="1245" customWidth="1"/>
    <col min="2" max="2" width="15.75" style="1245" customWidth="1"/>
    <col min="3" max="3" width="16.25" style="1245" customWidth="1"/>
    <col min="4" max="4" width="12.25" style="1245" customWidth="1"/>
    <col min="5" max="5" width="15.25" style="1245" customWidth="1"/>
    <col min="6" max="6" width="12.25" style="1245" customWidth="1"/>
    <col min="7" max="7" width="17.125" style="1245" customWidth="1"/>
    <col min="8" max="8" width="12.25" style="1245" customWidth="1"/>
    <col min="9" max="9" width="16.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3403</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118572</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11853</v>
      </c>
      <c r="C3" s="824" t="s">
        <v>704</v>
      </c>
      <c r="D3" s="823">
        <f>SUMIF('数据-汇总表'!$C19:$C33,D1,'数据-汇总表'!$E19:$E33)</f>
        <v>100035.04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704" t="s">
        <v>505</v>
      </c>
      <c r="D4" s="3705"/>
      <c r="E4" s="3732" t="s">
        <v>506</v>
      </c>
      <c r="F4" s="3733"/>
      <c r="G4" s="3704" t="s">
        <v>507</v>
      </c>
      <c r="H4" s="3705"/>
      <c r="I4" s="3704" t="s">
        <v>508</v>
      </c>
      <c r="J4" s="3705"/>
      <c r="K4" s="825" t="s">
        <v>509</v>
      </c>
      <c r="L4" s="1967"/>
      <c r="M4" s="1968"/>
      <c r="N4" s="1968"/>
      <c r="O4" s="1968"/>
      <c r="P4" s="3706" t="s">
        <v>510</v>
      </c>
      <c r="Q4" s="3707"/>
      <c r="R4" s="3690" t="s">
        <v>506</v>
      </c>
      <c r="S4" s="3691"/>
      <c r="T4" s="3690" t="s">
        <v>507</v>
      </c>
      <c r="U4" s="3691"/>
      <c r="V4" s="3712" t="s">
        <v>508</v>
      </c>
      <c r="W4" s="3712"/>
      <c r="X4" s="1455"/>
      <c r="Y4" s="3690" t="s">
        <v>510</v>
      </c>
      <c r="Z4" s="3691"/>
      <c r="AA4" s="3685" t="s">
        <v>506</v>
      </c>
      <c r="AB4" s="3685" t="s">
        <v>507</v>
      </c>
      <c r="AC4" s="3685" t="s">
        <v>508</v>
      </c>
    </row>
    <row r="5" spans="1:29" ht="15">
      <c r="A5" s="492"/>
      <c r="B5" s="493"/>
      <c r="C5" s="3715" t="s">
        <v>2630</v>
      </c>
      <c r="D5" s="3716"/>
      <c r="E5" s="3734" t="str">
        <f>住宅案例!D137</f>
        <v>风和朗庭</v>
      </c>
      <c r="F5" s="3735"/>
      <c r="G5" s="3715" t="str">
        <f>住宅案例!D138</f>
        <v>碧桂园凤凰城</v>
      </c>
      <c r="H5" s="3716"/>
      <c r="I5" s="3715" t="str">
        <f>住宅案例!D139</f>
        <v>保利心语</v>
      </c>
      <c r="J5" s="3716"/>
      <c r="K5" s="826"/>
      <c r="L5" s="1967"/>
      <c r="M5" s="1968"/>
      <c r="N5" s="1968"/>
      <c r="O5" s="1968"/>
      <c r="P5" s="3708"/>
      <c r="Q5" s="3709"/>
      <c r="R5" s="3692"/>
      <c r="S5" s="3693"/>
      <c r="T5" s="3692"/>
      <c r="U5" s="3693"/>
      <c r="V5" s="3712"/>
      <c r="W5" s="3712"/>
      <c r="X5" s="1455"/>
      <c r="Y5" s="3692"/>
      <c r="Z5" s="3693"/>
      <c r="AA5" s="3686"/>
      <c r="AB5" s="3686"/>
      <c r="AC5" s="3686"/>
    </row>
    <row r="6" spans="1:29" ht="15.75" thickBot="1">
      <c r="A6" s="494"/>
      <c r="B6" s="495"/>
      <c r="C6" s="3713" t="s">
        <v>2634</v>
      </c>
      <c r="D6" s="3714"/>
      <c r="E6" s="3736" t="s">
        <v>2634</v>
      </c>
      <c r="F6" s="3737"/>
      <c r="G6" s="3713" t="s">
        <v>2634</v>
      </c>
      <c r="H6" s="3714"/>
      <c r="I6" s="3713" t="s">
        <v>2634</v>
      </c>
      <c r="J6" s="3714"/>
      <c r="K6" s="826" t="s">
        <v>511</v>
      </c>
      <c r="L6" s="1967"/>
      <c r="M6" s="1968"/>
      <c r="N6" s="1968"/>
      <c r="O6" s="1968"/>
      <c r="P6" s="3710"/>
      <c r="Q6" s="3711"/>
      <c r="R6" s="3692"/>
      <c r="S6" s="3693"/>
      <c r="T6" s="3694"/>
      <c r="U6" s="3695"/>
      <c r="V6" s="3712"/>
      <c r="W6" s="3712"/>
      <c r="X6" s="1455"/>
      <c r="Y6" s="3694"/>
      <c r="Z6" s="3695"/>
      <c r="AA6" s="3687"/>
      <c r="AB6" s="3687"/>
      <c r="AC6" s="3687"/>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688" t="s">
        <v>513</v>
      </c>
      <c r="Q7" s="3697"/>
      <c r="R7" s="1456" t="s">
        <v>13</v>
      </c>
      <c r="S7" s="1457">
        <f t="shared" ref="S7:S15" si="0">F7</f>
        <v>100</v>
      </c>
      <c r="T7" s="1456" t="s">
        <v>13</v>
      </c>
      <c r="U7" s="1457">
        <f t="shared" ref="U7:U15" si="1">H7</f>
        <v>100</v>
      </c>
      <c r="V7" s="1456" t="s">
        <v>13</v>
      </c>
      <c r="W7" s="1457">
        <f t="shared" ref="W7:W15" si="2">J7</f>
        <v>100</v>
      </c>
      <c r="X7" s="1458"/>
      <c r="Y7" s="3688" t="s">
        <v>513</v>
      </c>
      <c r="Z7" s="3689"/>
      <c r="AA7" s="1459">
        <f>D7/F7</f>
        <v>1</v>
      </c>
      <c r="AB7" s="1459">
        <f>D7/H7</f>
        <v>1</v>
      </c>
      <c r="AC7" s="1459">
        <f>D7/J7</f>
        <v>1</v>
      </c>
    </row>
    <row r="8" spans="1:29" s="1165" customFormat="1" ht="15.75" thickBot="1">
      <c r="A8" s="2549"/>
      <c r="B8" s="2556" t="s">
        <v>514</v>
      </c>
      <c r="C8" s="502" t="s">
        <v>558</v>
      </c>
      <c r="D8" s="497">
        <v>100</v>
      </c>
      <c r="E8" s="3481" t="s">
        <v>3412</v>
      </c>
      <c r="F8" s="499">
        <f>SUMIF(61:61,E8,62:62)-SUMIF(61:61,C8,62:62)+100</f>
        <v>100</v>
      </c>
      <c r="G8" s="3473" t="s">
        <v>3412</v>
      </c>
      <c r="H8" s="497">
        <f>SUMIF(61:61,G8,62:62)-SUMIF(61:61,C8,62:62)+100</f>
        <v>100</v>
      </c>
      <c r="I8" s="3481" t="s">
        <v>3413</v>
      </c>
      <c r="J8" s="497">
        <f>SUMIF(61:61,I8,62:62)-SUMIF(61:61,C8,62:62)+100</f>
        <v>100</v>
      </c>
      <c r="K8" s="827"/>
      <c r="L8" s="1969"/>
      <c r="M8" s="1970"/>
      <c r="N8" s="1970"/>
      <c r="O8" s="1970"/>
      <c r="P8" s="3688" t="s">
        <v>516</v>
      </c>
      <c r="Q8" s="3689"/>
      <c r="R8" s="1456" t="s">
        <v>13</v>
      </c>
      <c r="S8" s="1457">
        <f t="shared" si="0"/>
        <v>100</v>
      </c>
      <c r="T8" s="1456" t="s">
        <v>13</v>
      </c>
      <c r="U8" s="1457">
        <f t="shared" si="1"/>
        <v>100</v>
      </c>
      <c r="V8" s="1456" t="s">
        <v>13</v>
      </c>
      <c r="W8" s="1457">
        <f t="shared" si="2"/>
        <v>100</v>
      </c>
      <c r="X8" s="1458"/>
      <c r="Y8" s="3688" t="s">
        <v>516</v>
      </c>
      <c r="Z8" s="3689"/>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96" t="s">
        <v>518</v>
      </c>
      <c r="Q9" s="1096" t="str">
        <f t="shared" ref="Q9:Q15" si="6">B9</f>
        <v>用途</v>
      </c>
      <c r="R9" s="1456" t="s">
        <v>8</v>
      </c>
      <c r="S9" s="1457">
        <f t="shared" si="0"/>
        <v>100</v>
      </c>
      <c r="T9" s="1456" t="s">
        <v>8</v>
      </c>
      <c r="U9" s="1457">
        <f t="shared" si="1"/>
        <v>100</v>
      </c>
      <c r="V9" s="1456" t="s">
        <v>8</v>
      </c>
      <c r="W9" s="1457">
        <f t="shared" si="2"/>
        <v>100</v>
      </c>
      <c r="X9" s="1458"/>
      <c r="Y9" s="364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96"/>
      <c r="Q10" s="1096" t="str">
        <f t="shared" si="6"/>
        <v>土地使用年限（年）</v>
      </c>
      <c r="R10" s="1456" t="s">
        <v>8</v>
      </c>
      <c r="S10" s="1457">
        <f t="shared" si="0"/>
        <v>100</v>
      </c>
      <c r="T10" s="1456" t="s">
        <v>8</v>
      </c>
      <c r="U10" s="1457">
        <f t="shared" si="1"/>
        <v>100</v>
      </c>
      <c r="V10" s="1456" t="s">
        <v>8</v>
      </c>
      <c r="W10" s="1457">
        <f t="shared" si="2"/>
        <v>100</v>
      </c>
      <c r="X10" s="1458"/>
      <c r="Y10" s="3648"/>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f>住宅案例!E137</f>
        <v>6.49</v>
      </c>
      <c r="F11" s="835">
        <f>LOOKUP(E11,68:68,69:69)-LOOKUP(C11,68:68,69:69)+100</f>
        <v>98</v>
      </c>
      <c r="G11" s="510">
        <f>住宅案例!E138</f>
        <v>4.1900000000000004</v>
      </c>
      <c r="H11" s="253">
        <f>LOOKUP(G11,68:68,69:69)-LOOKUP(C11,68:68,69:69)+100</f>
        <v>102</v>
      </c>
      <c r="I11" s="510">
        <f>住宅案例!E139</f>
        <v>6.38</v>
      </c>
      <c r="J11" s="253">
        <f>LOOKUP(I11,68:68,69:69)-LOOKUP(C11,68:68,69:69)+100</f>
        <v>98</v>
      </c>
      <c r="K11" s="836">
        <v>2</v>
      </c>
      <c r="L11" s="1974"/>
      <c r="M11" s="1968"/>
      <c r="N11" s="1968"/>
      <c r="O11" s="1975"/>
      <c r="P11" s="3696"/>
      <c r="Q11" s="1096" t="str">
        <f t="shared" si="6"/>
        <v>容积率</v>
      </c>
      <c r="R11" s="1456" t="s">
        <v>11</v>
      </c>
      <c r="S11" s="1457">
        <f t="shared" si="0"/>
        <v>98</v>
      </c>
      <c r="T11" s="1456" t="s">
        <v>11</v>
      </c>
      <c r="U11" s="1457">
        <f t="shared" si="1"/>
        <v>102</v>
      </c>
      <c r="V11" s="1456" t="s">
        <v>11</v>
      </c>
      <c r="W11" s="1457">
        <f t="shared" si="2"/>
        <v>98</v>
      </c>
      <c r="X11" s="1458"/>
      <c r="Y11" s="3648"/>
      <c r="Z11" s="1095" t="str">
        <f t="shared" si="7"/>
        <v>容积率</v>
      </c>
      <c r="AA11" s="1459">
        <f t="shared" si="3"/>
        <v>1.0204081632653061</v>
      </c>
      <c r="AB11" s="1459">
        <f t="shared" si="4"/>
        <v>0.98039215686274506</v>
      </c>
      <c r="AC11" s="1459">
        <f t="shared" si="5"/>
        <v>1.0204081632653061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96"/>
      <c r="Q12" s="1096">
        <f t="shared" si="6"/>
        <v>111</v>
      </c>
      <c r="R12" s="1456" t="s">
        <v>11</v>
      </c>
      <c r="S12" s="1457">
        <f t="shared" si="0"/>
        <v>100</v>
      </c>
      <c r="T12" s="1456" t="s">
        <v>11</v>
      </c>
      <c r="U12" s="1457">
        <f t="shared" si="1"/>
        <v>100</v>
      </c>
      <c r="V12" s="1456" t="s">
        <v>11</v>
      </c>
      <c r="W12" s="1457">
        <f t="shared" si="2"/>
        <v>100</v>
      </c>
      <c r="X12" s="1458"/>
      <c r="Y12" s="3648"/>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96"/>
      <c r="Q13" s="1096">
        <f t="shared" si="6"/>
        <v>111</v>
      </c>
      <c r="R13" s="1456" t="s">
        <v>11</v>
      </c>
      <c r="S13" s="1457">
        <f t="shared" si="0"/>
        <v>100</v>
      </c>
      <c r="T13" s="1456" t="s">
        <v>11</v>
      </c>
      <c r="U13" s="1457">
        <f t="shared" si="1"/>
        <v>100</v>
      </c>
      <c r="V13" s="1456" t="s">
        <v>11</v>
      </c>
      <c r="W13" s="1457">
        <f t="shared" si="2"/>
        <v>100</v>
      </c>
      <c r="X13" s="1458"/>
      <c r="Y13" s="3648"/>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96"/>
      <c r="Q14" s="1096">
        <f t="shared" si="6"/>
        <v>111</v>
      </c>
      <c r="R14" s="1456" t="s">
        <v>11</v>
      </c>
      <c r="S14" s="1457">
        <f t="shared" si="0"/>
        <v>100</v>
      </c>
      <c r="T14" s="1456" t="s">
        <v>11</v>
      </c>
      <c r="U14" s="1457">
        <f t="shared" si="1"/>
        <v>100</v>
      </c>
      <c r="V14" s="1456" t="s">
        <v>11</v>
      </c>
      <c r="W14" s="1457">
        <f t="shared" si="2"/>
        <v>100</v>
      </c>
      <c r="X14" s="1458"/>
      <c r="Y14" s="3648"/>
      <c r="Z14" s="1095">
        <f t="shared" si="7"/>
        <v>111</v>
      </c>
      <c r="AA14" s="1459">
        <f t="shared" si="3"/>
        <v>1</v>
      </c>
      <c r="AB14" s="1459">
        <f t="shared" si="4"/>
        <v>1</v>
      </c>
      <c r="AC14" s="1459">
        <f t="shared" si="5"/>
        <v>1</v>
      </c>
    </row>
    <row r="15" spans="1:29" ht="85.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98" t="s">
        <v>523</v>
      </c>
      <c r="Q15" s="1460" t="str">
        <f t="shared" si="6"/>
        <v>居住社区成熟度</v>
      </c>
      <c r="R15" s="1461" t="s">
        <v>11</v>
      </c>
      <c r="S15" s="1462">
        <f t="shared" si="0"/>
        <v>100</v>
      </c>
      <c r="T15" s="1461" t="s">
        <v>11</v>
      </c>
      <c r="U15" s="1462">
        <f t="shared" si="1"/>
        <v>100</v>
      </c>
      <c r="V15" s="1461" t="s">
        <v>11</v>
      </c>
      <c r="W15" s="1462">
        <f t="shared" si="2"/>
        <v>100</v>
      </c>
      <c r="X15" s="1455"/>
      <c r="Y15" s="3698" t="s">
        <v>523</v>
      </c>
      <c r="Z15" s="1463" t="str">
        <f t="shared" si="7"/>
        <v>居住社区成熟度</v>
      </c>
      <c r="AA15" s="1464">
        <f t="shared" si="3"/>
        <v>1</v>
      </c>
      <c r="AB15" s="1464">
        <f t="shared" si="4"/>
        <v>1</v>
      </c>
      <c r="AC15" s="1464">
        <f t="shared" si="5"/>
        <v>1</v>
      </c>
    </row>
    <row r="16" spans="1:29" ht="15">
      <c r="A16" s="509"/>
      <c r="B16" s="841"/>
      <c r="C16" s="3466" t="s">
        <v>3410</v>
      </c>
      <c r="D16" s="532"/>
      <c r="E16" s="3474" t="s">
        <v>3411</v>
      </c>
      <c r="F16" s="534"/>
      <c r="G16" s="3464" t="s">
        <v>3410</v>
      </c>
      <c r="H16" s="536"/>
      <c r="I16" s="3474" t="s">
        <v>3410</v>
      </c>
      <c r="J16" s="532"/>
      <c r="K16" s="842"/>
      <c r="L16" s="1976"/>
      <c r="M16" s="1968"/>
      <c r="N16" s="1968"/>
      <c r="O16" s="1975"/>
      <c r="P16" s="3699"/>
      <c r="Q16" s="1460"/>
      <c r="R16" s="1461"/>
      <c r="S16" s="1462"/>
      <c r="T16" s="1461"/>
      <c r="U16" s="1462"/>
      <c r="V16" s="1461"/>
      <c r="W16" s="1462"/>
      <c r="X16" s="1455"/>
      <c r="Y16" s="3699"/>
      <c r="Z16" s="1463"/>
      <c r="AA16" s="1464">
        <v>1</v>
      </c>
      <c r="AB16" s="1464">
        <v>1</v>
      </c>
      <c r="AC16" s="1464">
        <v>1</v>
      </c>
    </row>
    <row r="17" spans="1:29" ht="71.2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99"/>
      <c r="Q17" s="1460" t="str">
        <f>B17</f>
        <v>交通便捷度</v>
      </c>
      <c r="R17" s="1461" t="s">
        <v>11</v>
      </c>
      <c r="S17" s="1462">
        <f>F17</f>
        <v>100</v>
      </c>
      <c r="T17" s="1461" t="s">
        <v>11</v>
      </c>
      <c r="U17" s="1462">
        <f>H17</f>
        <v>100</v>
      </c>
      <c r="V17" s="1461" t="s">
        <v>11</v>
      </c>
      <c r="W17" s="1462">
        <f>J17</f>
        <v>100</v>
      </c>
      <c r="X17" s="1455"/>
      <c r="Y17" s="3699"/>
      <c r="Z17" s="1463" t="str">
        <f>Q17</f>
        <v>交通便捷度</v>
      </c>
      <c r="AA17" s="1464">
        <f t="shared" si="3"/>
        <v>1</v>
      </c>
      <c r="AB17" s="1464">
        <f t="shared" si="4"/>
        <v>1</v>
      </c>
      <c r="AC17" s="1464">
        <f t="shared" si="5"/>
        <v>1</v>
      </c>
    </row>
    <row r="18" spans="1:29" ht="15">
      <c r="A18" s="509"/>
      <c r="B18" s="572"/>
      <c r="C18" s="3482" t="s">
        <v>3410</v>
      </c>
      <c r="D18" s="536"/>
      <c r="E18" s="3475" t="s">
        <v>3410</v>
      </c>
      <c r="F18" s="540"/>
      <c r="G18" s="3465" t="s">
        <v>3411</v>
      </c>
      <c r="H18" s="532"/>
      <c r="I18" s="3475" t="s">
        <v>3410</v>
      </c>
      <c r="J18" s="532"/>
      <c r="K18" s="842"/>
      <c r="L18" s="1976"/>
      <c r="M18" s="1968"/>
      <c r="N18" s="1968"/>
      <c r="O18" s="1975"/>
      <c r="P18" s="3699"/>
      <c r="Q18" s="1460"/>
      <c r="R18" s="1461"/>
      <c r="S18" s="1462"/>
      <c r="T18" s="1461"/>
      <c r="U18" s="1462"/>
      <c r="V18" s="1461"/>
      <c r="W18" s="1462"/>
      <c r="X18" s="1455"/>
      <c r="Y18" s="3699"/>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99"/>
      <c r="Q19" s="1460" t="str">
        <f>B19</f>
        <v>公共配套设施</v>
      </c>
      <c r="R19" s="1461" t="s">
        <v>11</v>
      </c>
      <c r="S19" s="1462">
        <f>F19</f>
        <v>100</v>
      </c>
      <c r="T19" s="1461" t="s">
        <v>11</v>
      </c>
      <c r="U19" s="1462">
        <f>H19</f>
        <v>100</v>
      </c>
      <c r="V19" s="1461" t="s">
        <v>11</v>
      </c>
      <c r="W19" s="1462">
        <f>J19</f>
        <v>100</v>
      </c>
      <c r="X19" s="1455"/>
      <c r="Y19" s="3699"/>
      <c r="Z19" s="1463" t="str">
        <f>Q19</f>
        <v>公共配套设施</v>
      </c>
      <c r="AA19" s="1464">
        <f t="shared" si="3"/>
        <v>1</v>
      </c>
      <c r="AB19" s="1464">
        <f t="shared" si="4"/>
        <v>1</v>
      </c>
      <c r="AC19" s="1464">
        <f t="shared" si="5"/>
        <v>1</v>
      </c>
    </row>
    <row r="20" spans="1:29" ht="15">
      <c r="A20" s="509"/>
      <c r="B20" s="572"/>
      <c r="C20" s="3466" t="s">
        <v>3410</v>
      </c>
      <c r="D20" s="532"/>
      <c r="E20" s="3474" t="s">
        <v>3411</v>
      </c>
      <c r="F20" s="534"/>
      <c r="G20" s="3464" t="s">
        <v>3411</v>
      </c>
      <c r="H20" s="532"/>
      <c r="I20" s="3474" t="s">
        <v>3410</v>
      </c>
      <c r="J20" s="532"/>
      <c r="K20" s="842"/>
      <c r="L20" s="1976"/>
      <c r="M20" s="1968"/>
      <c r="N20" s="1968"/>
      <c r="O20" s="1975"/>
      <c r="P20" s="3699"/>
      <c r="Q20" s="1460"/>
      <c r="R20" s="1461"/>
      <c r="S20" s="1462"/>
      <c r="T20" s="1461"/>
      <c r="U20" s="1462"/>
      <c r="V20" s="1461"/>
      <c r="W20" s="1462"/>
      <c r="X20" s="1455"/>
      <c r="Y20" s="3699"/>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99"/>
      <c r="Q21" s="2349" t="str">
        <f>B21</f>
        <v>基础设施水平</v>
      </c>
      <c r="R21" s="1461" t="s">
        <v>11</v>
      </c>
      <c r="S21" s="1462">
        <f>F21</f>
        <v>100</v>
      </c>
      <c r="T21" s="1461" t="s">
        <v>11</v>
      </c>
      <c r="U21" s="1462">
        <f>H21</f>
        <v>100</v>
      </c>
      <c r="V21" s="1461" t="s">
        <v>11</v>
      </c>
      <c r="W21" s="1462">
        <f>J21</f>
        <v>100</v>
      </c>
      <c r="X21" s="2351"/>
      <c r="Y21" s="3699"/>
      <c r="Z21" s="2350" t="str">
        <f>Q21</f>
        <v>基础设施水平</v>
      </c>
      <c r="AA21" s="1464">
        <f t="shared" ref="AA21" si="8">D21/F21</f>
        <v>1</v>
      </c>
      <c r="AB21" s="1464">
        <f t="shared" ref="AB21" si="9">D21/H21</f>
        <v>1</v>
      </c>
      <c r="AC21" s="1464">
        <f t="shared" ref="AC21" si="10">D21/J21</f>
        <v>1</v>
      </c>
    </row>
    <row r="22" spans="1:29" ht="15">
      <c r="A22" s="509"/>
      <c r="B22" s="892"/>
      <c r="C22" s="3482" t="s">
        <v>3414</v>
      </c>
      <c r="D22" s="532"/>
      <c r="E22" s="3466" t="s">
        <v>3415</v>
      </c>
      <c r="F22" s="534"/>
      <c r="G22" s="3466" t="s">
        <v>3414</v>
      </c>
      <c r="H22" s="532"/>
      <c r="I22" s="3466" t="s">
        <v>3416</v>
      </c>
      <c r="J22" s="532"/>
      <c r="K22" s="2363"/>
      <c r="L22" s="1976"/>
      <c r="M22" s="1968"/>
      <c r="N22" s="1968"/>
      <c r="O22" s="1975"/>
      <c r="P22" s="3699"/>
      <c r="Q22" s="2349"/>
      <c r="R22" s="1461"/>
      <c r="S22" s="1462"/>
      <c r="T22" s="1461"/>
      <c r="U22" s="1462"/>
      <c r="V22" s="1461"/>
      <c r="W22" s="1462"/>
      <c r="X22" s="2351"/>
      <c r="Y22" s="3699"/>
      <c r="Z22" s="2350"/>
      <c r="AA22" s="1464">
        <v>1</v>
      </c>
      <c r="AB22" s="1464">
        <v>1</v>
      </c>
      <c r="AC22" s="1464">
        <v>1</v>
      </c>
    </row>
    <row r="23" spans="1:29" ht="42.75">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99"/>
      <c r="Q23" s="1460" t="str">
        <f>B23</f>
        <v>自然及人文环境</v>
      </c>
      <c r="R23" s="1461" t="s">
        <v>11</v>
      </c>
      <c r="S23" s="1462">
        <f>F23</f>
        <v>100</v>
      </c>
      <c r="T23" s="1461" t="s">
        <v>11</v>
      </c>
      <c r="U23" s="1462">
        <f>H23</f>
        <v>100</v>
      </c>
      <c r="V23" s="1461" t="s">
        <v>11</v>
      </c>
      <c r="W23" s="1462">
        <f>J23</f>
        <v>100</v>
      </c>
      <c r="X23" s="1455"/>
      <c r="Y23" s="3699"/>
      <c r="Z23" s="1463" t="str">
        <f>Q23</f>
        <v>自然及人文环境</v>
      </c>
      <c r="AA23" s="1464">
        <f t="shared" si="3"/>
        <v>1</v>
      </c>
      <c r="AB23" s="1464">
        <f t="shared" si="4"/>
        <v>1</v>
      </c>
      <c r="AC23" s="1464">
        <f t="shared" si="5"/>
        <v>1</v>
      </c>
    </row>
    <row r="24" spans="1:29" ht="15">
      <c r="A24" s="509"/>
      <c r="B24" s="572"/>
      <c r="C24" s="3466" t="s">
        <v>3410</v>
      </c>
      <c r="D24" s="532"/>
      <c r="E24" s="3474" t="s">
        <v>3410</v>
      </c>
      <c r="F24" s="534"/>
      <c r="G24" s="3464" t="s">
        <v>3410</v>
      </c>
      <c r="H24" s="532"/>
      <c r="I24" s="3474" t="s">
        <v>3411</v>
      </c>
      <c r="J24" s="532"/>
      <c r="K24" s="842"/>
      <c r="L24" s="1976"/>
      <c r="M24" s="1968"/>
      <c r="N24" s="1968"/>
      <c r="O24" s="1975"/>
      <c r="P24" s="3699"/>
      <c r="Q24" s="1460"/>
      <c r="R24" s="1461"/>
      <c r="S24" s="1462"/>
      <c r="T24" s="1461"/>
      <c r="U24" s="1462"/>
      <c r="V24" s="1461"/>
      <c r="W24" s="1462"/>
      <c r="X24" s="1455"/>
      <c r="Y24" s="3699"/>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99"/>
      <c r="Q25" s="1460" t="str">
        <f t="shared" ref="Q25:Q46" si="11">B25</f>
        <v>楼层-1</v>
      </c>
      <c r="R25" s="1461" t="s">
        <v>11</v>
      </c>
      <c r="S25" s="1462">
        <f>F25</f>
        <v>100</v>
      </c>
      <c r="T25" s="1461" t="s">
        <v>11</v>
      </c>
      <c r="U25" s="1462">
        <f>H25</f>
        <v>100</v>
      </c>
      <c r="V25" s="1461" t="s">
        <v>11</v>
      </c>
      <c r="W25" s="1462">
        <f>J25</f>
        <v>100</v>
      </c>
      <c r="X25" s="1455"/>
      <c r="Y25" s="3699"/>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99"/>
      <c r="Q26" s="1460" t="str">
        <f t="shared" si="11"/>
        <v>朝向</v>
      </c>
      <c r="R26" s="1461" t="s">
        <v>11</v>
      </c>
      <c r="S26" s="1462">
        <f>F26</f>
        <v>100</v>
      </c>
      <c r="T26" s="1461" t="s">
        <v>11</v>
      </c>
      <c r="U26" s="1462">
        <f>H26</f>
        <v>100</v>
      </c>
      <c r="V26" s="1461" t="s">
        <v>11</v>
      </c>
      <c r="W26" s="1462">
        <f>J26</f>
        <v>100</v>
      </c>
      <c r="X26" s="1455"/>
      <c r="Y26" s="3699"/>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99"/>
      <c r="Q27" s="1096" t="str">
        <f t="shared" si="11"/>
        <v>道路级别</v>
      </c>
      <c r="R27" s="1456" t="s">
        <v>11</v>
      </c>
      <c r="S27" s="1457">
        <f>F27</f>
        <v>100</v>
      </c>
      <c r="T27" s="1456" t="s">
        <v>11</v>
      </c>
      <c r="U27" s="1457">
        <f>H27</f>
        <v>100</v>
      </c>
      <c r="V27" s="1456" t="s">
        <v>11</v>
      </c>
      <c r="W27" s="1457">
        <f>J27</f>
        <v>100</v>
      </c>
      <c r="X27" s="1458"/>
      <c r="Y27" s="3699"/>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99"/>
      <c r="Q28" s="1460">
        <f t="shared" si="11"/>
        <v>111</v>
      </c>
      <c r="R28" s="1461" t="s">
        <v>11</v>
      </c>
      <c r="S28" s="1462">
        <f t="shared" ref="S28:S46" si="12">F28</f>
        <v>100</v>
      </c>
      <c r="T28" s="1461" t="s">
        <v>11</v>
      </c>
      <c r="U28" s="1462">
        <f t="shared" ref="U28:U46" si="13">H28</f>
        <v>100</v>
      </c>
      <c r="V28" s="1461" t="s">
        <v>11</v>
      </c>
      <c r="W28" s="1462">
        <f t="shared" ref="W28:W46" si="14">J28</f>
        <v>100</v>
      </c>
      <c r="X28" s="1455"/>
      <c r="Y28" s="3699"/>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99"/>
      <c r="Q29" s="1460">
        <f t="shared" si="11"/>
        <v>111</v>
      </c>
      <c r="R29" s="1461" t="s">
        <v>11</v>
      </c>
      <c r="S29" s="1462">
        <f t="shared" si="12"/>
        <v>100</v>
      </c>
      <c r="T29" s="1461" t="s">
        <v>11</v>
      </c>
      <c r="U29" s="1462">
        <f t="shared" si="13"/>
        <v>100</v>
      </c>
      <c r="V29" s="1461" t="s">
        <v>11</v>
      </c>
      <c r="W29" s="1462">
        <f t="shared" si="14"/>
        <v>100</v>
      </c>
      <c r="X29" s="1455"/>
      <c r="Y29" s="3699"/>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99"/>
      <c r="Q30" s="1460">
        <f t="shared" si="11"/>
        <v>111</v>
      </c>
      <c r="R30" s="1461" t="s">
        <v>11</v>
      </c>
      <c r="S30" s="1462">
        <f t="shared" si="12"/>
        <v>100</v>
      </c>
      <c r="T30" s="1461" t="s">
        <v>11</v>
      </c>
      <c r="U30" s="1462">
        <f t="shared" si="13"/>
        <v>100</v>
      </c>
      <c r="V30" s="1461" t="s">
        <v>11</v>
      </c>
      <c r="W30" s="1462">
        <f t="shared" si="14"/>
        <v>100</v>
      </c>
      <c r="X30" s="1455"/>
      <c r="Y30" s="3699"/>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99"/>
      <c r="Q31" s="1460">
        <f t="shared" si="11"/>
        <v>111</v>
      </c>
      <c r="R31" s="1461" t="s">
        <v>11</v>
      </c>
      <c r="S31" s="1462">
        <f t="shared" si="12"/>
        <v>100</v>
      </c>
      <c r="T31" s="1461" t="s">
        <v>11</v>
      </c>
      <c r="U31" s="1462">
        <f t="shared" si="13"/>
        <v>100</v>
      </c>
      <c r="V31" s="1461" t="s">
        <v>11</v>
      </c>
      <c r="W31" s="1462">
        <f t="shared" si="14"/>
        <v>100</v>
      </c>
      <c r="X31" s="1455"/>
      <c r="Y31" s="3699"/>
      <c r="Z31" s="1463">
        <f t="shared" si="15"/>
        <v>111</v>
      </c>
      <c r="AA31" s="1464">
        <f t="shared" si="3"/>
        <v>1</v>
      </c>
      <c r="AB31" s="1464">
        <f t="shared" si="4"/>
        <v>1</v>
      </c>
      <c r="AC31" s="1464">
        <f t="shared" si="5"/>
        <v>1</v>
      </c>
    </row>
    <row r="32" spans="1:29" ht="15">
      <c r="A32" s="2544" t="s">
        <v>2471</v>
      </c>
      <c r="B32" s="170" t="s">
        <v>707</v>
      </c>
      <c r="C32" s="3483" t="s">
        <v>3417</v>
      </c>
      <c r="D32" s="574">
        <v>100</v>
      </c>
      <c r="E32" s="3484" t="s">
        <v>3417</v>
      </c>
      <c r="F32" s="552">
        <f>SUMIF(100:100,E32,101:101)-SUMIF(100:100,C32,101:101)+100</f>
        <v>100</v>
      </c>
      <c r="G32" s="3483" t="s">
        <v>3417</v>
      </c>
      <c r="H32" s="574">
        <f>SUMIF(100:100,G32,101:101)-SUMIF(100:100,C32,101:101)+100</f>
        <v>100</v>
      </c>
      <c r="I32" s="3484" t="s">
        <v>3417</v>
      </c>
      <c r="J32" s="517">
        <f>SUMIF(100:100,I32,101:101)-SUMIF(100:100,C32,101:101)+100</f>
        <v>100</v>
      </c>
      <c r="K32" s="836"/>
      <c r="L32" s="1976"/>
      <c r="M32" s="1968"/>
      <c r="N32" s="1968"/>
      <c r="O32" s="1975"/>
      <c r="P32" s="3700" t="s">
        <v>533</v>
      </c>
      <c r="Q32" s="1460" t="str">
        <f t="shared" si="11"/>
        <v>建筑类型</v>
      </c>
      <c r="R32" s="1461" t="s">
        <v>11</v>
      </c>
      <c r="S32" s="1462">
        <f t="shared" si="12"/>
        <v>100</v>
      </c>
      <c r="T32" s="1461" t="s">
        <v>11</v>
      </c>
      <c r="U32" s="1462">
        <f t="shared" si="13"/>
        <v>100</v>
      </c>
      <c r="V32" s="1461" t="s">
        <v>11</v>
      </c>
      <c r="W32" s="1462">
        <f t="shared" si="14"/>
        <v>100</v>
      </c>
      <c r="X32" s="1455"/>
      <c r="Y32" s="3701" t="s">
        <v>533</v>
      </c>
      <c r="Z32" s="1463" t="str">
        <f t="shared" si="15"/>
        <v>建筑类型</v>
      </c>
      <c r="AA32" s="1464">
        <f t="shared" si="3"/>
        <v>1</v>
      </c>
      <c r="AB32" s="1464">
        <f t="shared" si="4"/>
        <v>1</v>
      </c>
      <c r="AC32" s="1464">
        <f t="shared" si="5"/>
        <v>1</v>
      </c>
    </row>
    <row r="33" spans="1:29" s="1247" customFormat="1" ht="15">
      <c r="A33" s="580"/>
      <c r="B33" s="504" t="s">
        <v>708</v>
      </c>
      <c r="C33" s="850">
        <f>'数据-汇总表'!E3</f>
        <v>184715.46</v>
      </c>
      <c r="D33" s="253">
        <v>100</v>
      </c>
      <c r="E33" s="511">
        <f>住宅案例!F137</f>
        <v>361115</v>
      </c>
      <c r="F33" s="835">
        <f>LOOKUP(E33,103:103,104:104)-LOOKUP(C33,103:103,104:104)+100</f>
        <v>102</v>
      </c>
      <c r="G33" s="510">
        <f>住宅案例!F138</f>
        <v>2700000</v>
      </c>
      <c r="H33" s="253">
        <f>LOOKUP(G33,103:103,104:104)-LOOKUP(C33,103:103,104:104)+100</f>
        <v>102</v>
      </c>
      <c r="I33" s="511">
        <f>住宅案例!F139</f>
        <v>44200</v>
      </c>
      <c r="J33" s="253">
        <f>LOOKUP(I33,103:103,104:104)-LOOKUP(C33,103:103,104:104)+100</f>
        <v>98</v>
      </c>
      <c r="K33" s="837"/>
      <c r="L33" s="1974"/>
      <c r="M33" s="2004"/>
      <c r="N33" s="2004"/>
      <c r="O33" s="1977"/>
      <c r="P33" s="3701"/>
      <c r="Q33" s="1489" t="str">
        <f t="shared" si="11"/>
        <v>项目建筑规模</v>
      </c>
      <c r="R33" s="1465" t="s">
        <v>11</v>
      </c>
      <c r="S33" s="1466">
        <f t="shared" si="12"/>
        <v>102</v>
      </c>
      <c r="T33" s="1465" t="s">
        <v>11</v>
      </c>
      <c r="U33" s="1466">
        <f t="shared" si="13"/>
        <v>102</v>
      </c>
      <c r="V33" s="1465" t="s">
        <v>11</v>
      </c>
      <c r="W33" s="1466">
        <f t="shared" si="14"/>
        <v>98</v>
      </c>
      <c r="X33" s="1467"/>
      <c r="Y33" s="3701"/>
      <c r="Z33" s="1468" t="str">
        <f t="shared" si="15"/>
        <v>项目建筑规模</v>
      </c>
      <c r="AA33" s="1464">
        <f t="shared" si="3"/>
        <v>0.98039215686274506</v>
      </c>
      <c r="AB33" s="1464">
        <f t="shared" si="4"/>
        <v>0.98039215686274506</v>
      </c>
      <c r="AC33" s="1464">
        <f t="shared" si="5"/>
        <v>1.0204081632653061</v>
      </c>
    </row>
    <row r="34" spans="1:29" ht="15">
      <c r="A34" s="571"/>
      <c r="B34" s="504" t="s">
        <v>709</v>
      </c>
      <c r="C34" s="3485" t="s">
        <v>3419</v>
      </c>
      <c r="D34" s="517">
        <v>100</v>
      </c>
      <c r="E34" s="3486" t="s">
        <v>3419</v>
      </c>
      <c r="F34" s="552">
        <f>SUMIF(105:105,E34,106:106)-SUMIF(105:105,C34,106:106)+100</f>
        <v>100</v>
      </c>
      <c r="G34" s="3485" t="s">
        <v>3419</v>
      </c>
      <c r="H34" s="517">
        <f>SUMIF(105:105,G34,106:106)-SUMIF(105:105,C34,106:106)+100</f>
        <v>100</v>
      </c>
      <c r="I34" s="3486" t="s">
        <v>3419</v>
      </c>
      <c r="J34" s="517">
        <f>SUMIF(105:105,I34,106:106)-SUMIF(105:105,C34,106:106)+100</f>
        <v>100</v>
      </c>
      <c r="K34" s="836"/>
      <c r="L34" s="1976"/>
      <c r="M34" s="1968"/>
      <c r="N34" s="1968"/>
      <c r="O34" s="1975"/>
      <c r="P34" s="3701"/>
      <c r="Q34" s="1460" t="str">
        <f t="shared" si="11"/>
        <v>建筑结构</v>
      </c>
      <c r="R34" s="1461" t="s">
        <v>11</v>
      </c>
      <c r="S34" s="1462">
        <f t="shared" si="12"/>
        <v>100</v>
      </c>
      <c r="T34" s="1461" t="s">
        <v>11</v>
      </c>
      <c r="U34" s="1462">
        <f t="shared" si="13"/>
        <v>100</v>
      </c>
      <c r="V34" s="1461" t="s">
        <v>11</v>
      </c>
      <c r="W34" s="1462">
        <f t="shared" si="14"/>
        <v>100</v>
      </c>
      <c r="X34" s="1455"/>
      <c r="Y34" s="3701"/>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1"/>
      <c r="Q35" s="1460" t="str">
        <f t="shared" si="11"/>
        <v>建筑品质</v>
      </c>
      <c r="R35" s="1461" t="s">
        <v>11</v>
      </c>
      <c r="S35" s="1462">
        <f t="shared" si="12"/>
        <v>100</v>
      </c>
      <c r="T35" s="1461" t="s">
        <v>11</v>
      </c>
      <c r="U35" s="1462">
        <f t="shared" si="13"/>
        <v>100</v>
      </c>
      <c r="V35" s="1461" t="s">
        <v>11</v>
      </c>
      <c r="W35" s="1462">
        <f t="shared" si="14"/>
        <v>100</v>
      </c>
      <c r="X35" s="1455"/>
      <c r="Y35" s="3701"/>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1"/>
      <c r="Q36" s="1460" t="str">
        <f t="shared" si="11"/>
        <v>公共部分装修</v>
      </c>
      <c r="R36" s="1461" t="s">
        <v>11</v>
      </c>
      <c r="S36" s="1462">
        <f t="shared" si="12"/>
        <v>100</v>
      </c>
      <c r="T36" s="1461" t="s">
        <v>11</v>
      </c>
      <c r="U36" s="1462">
        <f t="shared" si="13"/>
        <v>100</v>
      </c>
      <c r="V36" s="1461" t="s">
        <v>11</v>
      </c>
      <c r="W36" s="1462">
        <f t="shared" si="14"/>
        <v>100</v>
      </c>
      <c r="X36" s="1455"/>
      <c r="Y36" s="3701"/>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1"/>
      <c r="Q37" s="1096" t="str">
        <f t="shared" si="11"/>
        <v>成新度</v>
      </c>
      <c r="R37" s="1456" t="s">
        <v>11</v>
      </c>
      <c r="S37" s="1457">
        <f t="shared" si="12"/>
        <v>100</v>
      </c>
      <c r="T37" s="1456" t="s">
        <v>11</v>
      </c>
      <c r="U37" s="1457">
        <f t="shared" si="13"/>
        <v>100</v>
      </c>
      <c r="V37" s="1456" t="s">
        <v>11</v>
      </c>
      <c r="W37" s="1457">
        <f t="shared" si="14"/>
        <v>100</v>
      </c>
      <c r="X37" s="1458"/>
      <c r="Y37" s="3701"/>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1" t="s">
        <v>533</v>
      </c>
      <c r="Q38" s="1460" t="str">
        <f t="shared" si="11"/>
        <v>物业管理</v>
      </c>
      <c r="R38" s="1461" t="s">
        <v>11</v>
      </c>
      <c r="S38" s="1462">
        <f t="shared" si="12"/>
        <v>100</v>
      </c>
      <c r="T38" s="1461" t="s">
        <v>11</v>
      </c>
      <c r="U38" s="1462">
        <f t="shared" si="13"/>
        <v>100</v>
      </c>
      <c r="V38" s="1461" t="s">
        <v>11</v>
      </c>
      <c r="W38" s="1462">
        <f t="shared" si="14"/>
        <v>100</v>
      </c>
      <c r="X38" s="1455"/>
      <c r="Y38" s="3701"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1"/>
      <c r="Q39" s="1460" t="str">
        <f t="shared" si="11"/>
        <v>市政基础设施</v>
      </c>
      <c r="R39" s="1461" t="s">
        <v>11</v>
      </c>
      <c r="S39" s="1462">
        <f t="shared" si="12"/>
        <v>100</v>
      </c>
      <c r="T39" s="1461" t="s">
        <v>11</v>
      </c>
      <c r="U39" s="1462">
        <f t="shared" si="13"/>
        <v>100</v>
      </c>
      <c r="V39" s="1461" t="s">
        <v>11</v>
      </c>
      <c r="W39" s="1462">
        <f t="shared" si="14"/>
        <v>100</v>
      </c>
      <c r="X39" s="1455"/>
      <c r="Y39" s="3701"/>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1"/>
      <c r="Q40" s="1460" t="str">
        <f t="shared" si="11"/>
        <v>房型</v>
      </c>
      <c r="R40" s="1461" t="s">
        <v>11</v>
      </c>
      <c r="S40" s="1462">
        <f t="shared" si="12"/>
        <v>100</v>
      </c>
      <c r="T40" s="1461" t="s">
        <v>11</v>
      </c>
      <c r="U40" s="1462">
        <f t="shared" si="13"/>
        <v>100</v>
      </c>
      <c r="V40" s="1461" t="s">
        <v>11</v>
      </c>
      <c r="W40" s="1462">
        <f t="shared" si="14"/>
        <v>100</v>
      </c>
      <c r="X40" s="1455"/>
      <c r="Y40" s="3701"/>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1"/>
      <c r="Q41" s="1489" t="str">
        <f t="shared" si="11"/>
        <v>单套/主力户型建筑面积</v>
      </c>
      <c r="R41" s="1465" t="s">
        <v>11</v>
      </c>
      <c r="S41" s="1466">
        <f t="shared" si="12"/>
        <v>100</v>
      </c>
      <c r="T41" s="1465" t="s">
        <v>11</v>
      </c>
      <c r="U41" s="1466">
        <f t="shared" si="13"/>
        <v>100</v>
      </c>
      <c r="V41" s="1465" t="s">
        <v>11</v>
      </c>
      <c r="W41" s="1466">
        <f t="shared" si="14"/>
        <v>100</v>
      </c>
      <c r="X41" s="1467"/>
      <c r="Y41" s="3701"/>
      <c r="Z41" s="1468" t="str">
        <f t="shared" si="15"/>
        <v>单套/主力户型建筑面积</v>
      </c>
      <c r="AA41" s="1464">
        <f t="shared" si="3"/>
        <v>1</v>
      </c>
      <c r="AB41" s="1464">
        <f t="shared" si="4"/>
        <v>1</v>
      </c>
      <c r="AC41" s="1464">
        <f t="shared" si="5"/>
        <v>1</v>
      </c>
    </row>
    <row r="42" spans="1:29" ht="15">
      <c r="A42" s="571"/>
      <c r="B42" s="504" t="s">
        <v>716</v>
      </c>
      <c r="C42" s="3487" t="s">
        <v>3420</v>
      </c>
      <c r="D42" s="517">
        <v>100</v>
      </c>
      <c r="E42" s="3488" t="s">
        <v>3420</v>
      </c>
      <c r="F42" s="552">
        <f>SUMIF(122:122,E42,123:123)-SUMIF(122:122,C42,123:123)+100</f>
        <v>100</v>
      </c>
      <c r="G42" s="3487" t="s">
        <v>3421</v>
      </c>
      <c r="H42" s="517">
        <f>SUMIF(122:122,G42,123:123)-SUMIF(122:122,C42,123:123)+100</f>
        <v>106</v>
      </c>
      <c r="I42" s="3488" t="s">
        <v>3420</v>
      </c>
      <c r="J42" s="517">
        <f>SUMIF(122:122,I42,123:123)-SUMIF(122:122,C42,123:123)+100</f>
        <v>100</v>
      </c>
      <c r="K42" s="836">
        <v>2</v>
      </c>
      <c r="L42" s="1976"/>
      <c r="M42" s="1968"/>
      <c r="N42" s="1968"/>
      <c r="O42" s="1975"/>
      <c r="P42" s="3701"/>
      <c r="Q42" s="1460" t="str">
        <f t="shared" si="11"/>
        <v>内部装修</v>
      </c>
      <c r="R42" s="1461" t="s">
        <v>11</v>
      </c>
      <c r="S42" s="1462">
        <f t="shared" si="12"/>
        <v>100</v>
      </c>
      <c r="T42" s="1461" t="s">
        <v>11</v>
      </c>
      <c r="U42" s="1462">
        <f t="shared" si="13"/>
        <v>106</v>
      </c>
      <c r="V42" s="1461" t="s">
        <v>11</v>
      </c>
      <c r="W42" s="1462">
        <f t="shared" si="14"/>
        <v>100</v>
      </c>
      <c r="X42" s="1455"/>
      <c r="Y42" s="3701"/>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1"/>
      <c r="Q43" s="1460" t="str">
        <f t="shared" si="11"/>
        <v>内部装修维护情况</v>
      </c>
      <c r="R43" s="1461" t="s">
        <v>11</v>
      </c>
      <c r="S43" s="1462">
        <f t="shared" si="12"/>
        <v>100</v>
      </c>
      <c r="T43" s="1461" t="s">
        <v>11</v>
      </c>
      <c r="U43" s="1462">
        <f t="shared" si="13"/>
        <v>100</v>
      </c>
      <c r="V43" s="1461" t="s">
        <v>11</v>
      </c>
      <c r="W43" s="1462">
        <f t="shared" si="14"/>
        <v>100</v>
      </c>
      <c r="X43" s="1455"/>
      <c r="Y43" s="3701"/>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701"/>
      <c r="Q44" s="1096">
        <f t="shared" si="11"/>
        <v>111</v>
      </c>
      <c r="R44" s="1456" t="s">
        <v>11</v>
      </c>
      <c r="S44" s="1457">
        <f t="shared" si="12"/>
        <v>100</v>
      </c>
      <c r="T44" s="1456" t="s">
        <v>11</v>
      </c>
      <c r="U44" s="1457">
        <f t="shared" si="13"/>
        <v>100</v>
      </c>
      <c r="V44" s="1456" t="s">
        <v>11</v>
      </c>
      <c r="W44" s="1457">
        <f t="shared" si="14"/>
        <v>100</v>
      </c>
      <c r="X44" s="1458"/>
      <c r="Y44" s="3701"/>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1"/>
      <c r="Q45" s="1460">
        <f t="shared" si="11"/>
        <v>111</v>
      </c>
      <c r="R45" s="1461" t="s">
        <v>11</v>
      </c>
      <c r="S45" s="1462">
        <f t="shared" si="12"/>
        <v>100</v>
      </c>
      <c r="T45" s="1461" t="s">
        <v>11</v>
      </c>
      <c r="U45" s="1462">
        <f t="shared" si="13"/>
        <v>100</v>
      </c>
      <c r="V45" s="1461" t="s">
        <v>11</v>
      </c>
      <c r="W45" s="1462">
        <f t="shared" si="14"/>
        <v>100</v>
      </c>
      <c r="X45" s="1455"/>
      <c r="Y45" s="3701"/>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15"/>
      <c r="Q46" s="1460">
        <f t="shared" si="11"/>
        <v>111</v>
      </c>
      <c r="R46" s="1461" t="s">
        <v>10</v>
      </c>
      <c r="S46" s="1462">
        <f t="shared" si="12"/>
        <v>100</v>
      </c>
      <c r="T46" s="1461" t="s">
        <v>10</v>
      </c>
      <c r="U46" s="1462">
        <f t="shared" si="13"/>
        <v>100</v>
      </c>
      <c r="V46" s="1461" t="s">
        <v>10</v>
      </c>
      <c r="W46" s="1462">
        <f t="shared" si="14"/>
        <v>100</v>
      </c>
      <c r="X46" s="1455"/>
      <c r="Y46" s="3815"/>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96" t="str">
        <f>A47</f>
        <v>成交单价（元/平方米）</v>
      </c>
      <c r="Q47" s="3696"/>
      <c r="R47" s="3814">
        <f>E47</f>
        <v>11825</v>
      </c>
      <c r="S47" s="3814"/>
      <c r="T47" s="3814">
        <f>G47</f>
        <v>12817</v>
      </c>
      <c r="U47" s="3814"/>
      <c r="V47" s="3814">
        <f>I47</f>
        <v>11629</v>
      </c>
      <c r="W47" s="3814"/>
      <c r="X47" s="1450"/>
      <c r="Y47" s="1469"/>
      <c r="Z47" s="1450"/>
      <c r="AA47" s="1450"/>
      <c r="AB47" s="1450"/>
      <c r="AC47" s="1450"/>
    </row>
    <row r="48" spans="1:29" ht="15.75" thickBot="1">
      <c r="A48" s="592" t="s">
        <v>2476</v>
      </c>
      <c r="B48" s="858"/>
      <c r="C48" s="2396">
        <f>R49</f>
        <v>11853</v>
      </c>
      <c r="D48" s="2919" t="s">
        <v>2700</v>
      </c>
      <c r="E48" s="2397">
        <f>R48</f>
        <v>11830</v>
      </c>
      <c r="F48" s="2920"/>
      <c r="G48" s="2396">
        <f>T48</f>
        <v>11622</v>
      </c>
      <c r="H48" s="2920"/>
      <c r="I48" s="2397">
        <f>V48</f>
        <v>12108</v>
      </c>
      <c r="J48" s="2920"/>
      <c r="K48" s="2928">
        <f>F48+H48+J48</f>
        <v>0</v>
      </c>
      <c r="L48" s="1978"/>
      <c r="M48" s="1979"/>
      <c r="N48" s="1979"/>
      <c r="O48" s="1979"/>
      <c r="P48" s="3696" t="str">
        <f>A48</f>
        <v>比较价格（元/平方米）</v>
      </c>
      <c r="Q48" s="3696"/>
      <c r="R48" s="3814">
        <f>IF(F1="售价",ROUND(PRODUCT(R47,AA7:AA46),0),ROUND(PRODUCT(R47,AA7:AA46),1))</f>
        <v>11830</v>
      </c>
      <c r="S48" s="3814"/>
      <c r="T48" s="3814">
        <f>IF(F1="售价",ROUND(PRODUCT(T47,AB7:AB46),0),ROUND(PRODUCT(T47,AB7:AB46),1))</f>
        <v>11622</v>
      </c>
      <c r="U48" s="3814"/>
      <c r="V48" s="3814">
        <f>IF(F1="售价",ROUND(PRODUCT(V47,AC7:AC46),0),ROUND(PRODUCT(V47,AC7:AC46),1))</f>
        <v>12108</v>
      </c>
      <c r="W48" s="3814"/>
      <c r="X48" s="1450"/>
      <c r="Y48" s="1450"/>
      <c r="Z48" s="1450"/>
      <c r="AA48" s="1450"/>
      <c r="AB48" s="1450"/>
      <c r="AC48" s="1450"/>
    </row>
    <row r="49" spans="1:29" ht="15.75" thickBot="1">
      <c r="A49" s="596" t="s">
        <v>2636</v>
      </c>
      <c r="B49" s="597"/>
      <c r="C49" s="2398">
        <f>R49</f>
        <v>11853</v>
      </c>
      <c r="D49" s="2398"/>
      <c r="E49" s="2398"/>
      <c r="F49" s="2398"/>
      <c r="G49" s="2398"/>
      <c r="H49" s="2398"/>
      <c r="I49" s="2398"/>
      <c r="J49" s="2398"/>
      <c r="K49" s="1491"/>
      <c r="L49" s="1978"/>
      <c r="M49" s="1979"/>
      <c r="N49" s="1979"/>
      <c r="O49" s="1979"/>
      <c r="P49" s="3702" t="str">
        <f>A49</f>
        <v>估价对象XX用房的比较价格（楼面单价，元/平方米）</v>
      </c>
      <c r="Q49" s="3703"/>
      <c r="R49" s="3813">
        <f>IF(F1="售价",ROUND(IF(D48="简单平均",AVERAGE(R48:V48),R48*F48+T48*H48+V48*J48),0),ROUND(IF(D48="简单平均",AVERAGE(R48:V48),R48*F48+T48*H48+V48*J48),1))</f>
        <v>11853</v>
      </c>
      <c r="S49" s="3813"/>
      <c r="T49" s="3813"/>
      <c r="U49" s="3813"/>
      <c r="V49" s="3813"/>
      <c r="W49" s="3813"/>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4.2283298097256505E-4</v>
      </c>
      <c r="F52" s="602" t="str">
        <f>IF(OR(E52&gt;=0.3,E52&lt;=-0.3),"超过30%","")</f>
        <v/>
      </c>
      <c r="G52" s="601">
        <f>IF(G47&lt;G48,G48/G47-1,G47/G48-1)</f>
        <v>0.10282223369471688</v>
      </c>
      <c r="H52" s="602" t="str">
        <f>IF(OR(G52&gt;=0.3,G52&lt;=-0.3),"超过30%","")</f>
        <v/>
      </c>
      <c r="I52" s="601">
        <f>IF(I47&lt;I48,I48/I47-1,I47/I48-1)</f>
        <v>4.1190128127956083E-2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1.7897091722595126E-2</v>
      </c>
      <c r="F53" s="602" t="str">
        <f>IF(OR(E53&gt;=0.2,E53&lt;=-0.2),"超过20%","")</f>
        <v/>
      </c>
      <c r="G53" s="601">
        <f>IF(G48&lt;I48,I48/G48-1,G48/I48-1)</f>
        <v>4.1817243159524953E-2</v>
      </c>
      <c r="H53" s="602" t="str">
        <f>IF(OR(G53&gt;=0.2,G53&lt;=-0.2),"超过20%","")</f>
        <v/>
      </c>
      <c r="I53" s="601">
        <f>IF(I48&lt;E48,E48/I48-1,I48/E48-1)</f>
        <v>2.349957734573116E-2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100000(含)-300000</v>
      </c>
      <c r="E102" s="683" t="str">
        <f t="shared" si="23"/>
        <v>300000(含)-500000</v>
      </c>
      <c r="F102" s="683" t="str">
        <f t="shared" si="23"/>
        <v>500000(含)-1000000</v>
      </c>
      <c r="G102" s="683" t="str">
        <f t="shared" si="23"/>
        <v>1000000(含)-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300000</v>
      </c>
      <c r="F103" s="705">
        <v>500000</v>
      </c>
      <c r="G103" s="705">
        <v>1000000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104</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3421</v>
      </c>
      <c r="D122" s="3489" t="s">
        <v>3422</v>
      </c>
      <c r="E122" s="3489" t="s">
        <v>3423</v>
      </c>
      <c r="F122" s="3477" t="s">
        <v>3420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C60" sqref="C6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3121</v>
      </c>
      <c r="E1" s="483"/>
      <c r="F1" s="2444" t="s">
        <v>3403</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6169</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23333</v>
      </c>
      <c r="C3" s="824" t="s">
        <v>704</v>
      </c>
      <c r="D3" s="823">
        <f>SUMIF('数据-汇总表'!$C19:$C33,D1,'数据-汇总表'!$E19:$E33)</f>
        <v>2643.8</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704" t="s">
        <v>505</v>
      </c>
      <c r="D4" s="3705"/>
      <c r="E4" s="3732" t="s">
        <v>506</v>
      </c>
      <c r="F4" s="3733"/>
      <c r="G4" s="3704" t="s">
        <v>507</v>
      </c>
      <c r="H4" s="3705"/>
      <c r="I4" s="3704" t="s">
        <v>508</v>
      </c>
      <c r="J4" s="3705"/>
      <c r="K4" s="491" t="s">
        <v>509</v>
      </c>
      <c r="L4" s="1967"/>
      <c r="M4" s="1968"/>
      <c r="N4" s="1968"/>
      <c r="O4" s="1968"/>
      <c r="P4" s="3706" t="s">
        <v>510</v>
      </c>
      <c r="Q4" s="3707"/>
      <c r="R4" s="3690" t="s">
        <v>506</v>
      </c>
      <c r="S4" s="3691"/>
      <c r="T4" s="3690" t="s">
        <v>507</v>
      </c>
      <c r="U4" s="3691"/>
      <c r="V4" s="3712" t="s">
        <v>508</v>
      </c>
      <c r="W4" s="3712"/>
      <c r="X4" s="1455"/>
      <c r="Y4" s="3690" t="s">
        <v>510</v>
      </c>
      <c r="Z4" s="3691"/>
      <c r="AA4" s="3685" t="s">
        <v>506</v>
      </c>
      <c r="AB4" s="3712" t="s">
        <v>507</v>
      </c>
      <c r="AC4" s="3685" t="s">
        <v>508</v>
      </c>
    </row>
    <row r="5" spans="1:29" ht="15">
      <c r="A5" s="492"/>
      <c r="B5" s="493"/>
      <c r="C5" s="3715" t="s">
        <v>2630</v>
      </c>
      <c r="D5" s="3716"/>
      <c r="E5" s="3734" t="str">
        <f>商业案例!E50</f>
        <v>宏江中央广场</v>
      </c>
      <c r="F5" s="3735"/>
      <c r="G5" s="3715" t="str">
        <f>商业案例!E51</f>
        <v>盛润锦绣城</v>
      </c>
      <c r="H5" s="3716"/>
      <c r="I5" s="3715" t="str">
        <f>商业案例!E52</f>
        <v>方圆经纬花园</v>
      </c>
      <c r="J5" s="3716"/>
      <c r="K5" s="491"/>
      <c r="L5" s="1967"/>
      <c r="M5" s="1968"/>
      <c r="N5" s="1968"/>
      <c r="O5" s="1968"/>
      <c r="P5" s="3708"/>
      <c r="Q5" s="3709"/>
      <c r="R5" s="3692"/>
      <c r="S5" s="3693"/>
      <c r="T5" s="3692"/>
      <c r="U5" s="3693"/>
      <c r="V5" s="3712"/>
      <c r="W5" s="3712"/>
      <c r="X5" s="1455"/>
      <c r="Y5" s="3692"/>
      <c r="Z5" s="3693"/>
      <c r="AA5" s="3686"/>
      <c r="AB5" s="3712"/>
      <c r="AC5" s="3686"/>
    </row>
    <row r="6" spans="1:29" ht="15.75" thickBot="1">
      <c r="A6" s="494"/>
      <c r="B6" s="495"/>
      <c r="C6" s="3713" t="s">
        <v>2634</v>
      </c>
      <c r="D6" s="3714"/>
      <c r="E6" s="3736" t="s">
        <v>2634</v>
      </c>
      <c r="F6" s="3737"/>
      <c r="G6" s="3713" t="s">
        <v>2634</v>
      </c>
      <c r="H6" s="3714"/>
      <c r="I6" s="3713" t="s">
        <v>2634</v>
      </c>
      <c r="J6" s="3714"/>
      <c r="K6" s="491" t="s">
        <v>511</v>
      </c>
      <c r="L6" s="1967"/>
      <c r="M6" s="1968"/>
      <c r="N6" s="1968"/>
      <c r="O6" s="1968"/>
      <c r="P6" s="3710"/>
      <c r="Q6" s="3711"/>
      <c r="R6" s="3692"/>
      <c r="S6" s="3693"/>
      <c r="T6" s="3694"/>
      <c r="U6" s="3695"/>
      <c r="V6" s="3712"/>
      <c r="W6" s="3712"/>
      <c r="X6" s="1455"/>
      <c r="Y6" s="3694"/>
      <c r="Z6" s="3695"/>
      <c r="AA6" s="3687"/>
      <c r="AB6" s="3712"/>
      <c r="AC6" s="3687"/>
    </row>
    <row r="7" spans="1:29" s="1165" customFormat="1" ht="15.75" thickBot="1">
      <c r="A7" s="2548"/>
      <c r="B7" s="2555" t="s">
        <v>512</v>
      </c>
      <c r="C7" s="496">
        <f>'数据-取费表'!B2</f>
        <v>44895</v>
      </c>
      <c r="D7" s="497">
        <v>100</v>
      </c>
      <c r="E7" s="498">
        <v>44866</v>
      </c>
      <c r="F7" s="499">
        <f>SUMIF(58:58,YEAR(E7)&amp;"-"&amp;MONTH(E7),59:59)</f>
        <v>100</v>
      </c>
      <c r="G7" s="498">
        <f>E7</f>
        <v>44866</v>
      </c>
      <c r="H7" s="497">
        <f>SUMIF(58:58,YEAR(G7)&amp;"-"&amp;MONTH(G7),59:59)</f>
        <v>100</v>
      </c>
      <c r="I7" s="498">
        <f>E7</f>
        <v>44866</v>
      </c>
      <c r="J7" s="497">
        <f>SUMIF(58:58,YEAR(I7)&amp;"-"&amp;MONTH(I7),59:59)</f>
        <v>100</v>
      </c>
      <c r="K7" s="501"/>
      <c r="L7" s="1969"/>
      <c r="M7" s="1970"/>
      <c r="N7" s="1970"/>
      <c r="O7" s="1970"/>
      <c r="P7" s="3688" t="s">
        <v>513</v>
      </c>
      <c r="Q7" s="3697"/>
      <c r="R7" s="1456" t="s">
        <v>8</v>
      </c>
      <c r="S7" s="1457">
        <f t="shared" ref="S7:S15" si="0">F7</f>
        <v>100</v>
      </c>
      <c r="T7" s="1456" t="s">
        <v>8</v>
      </c>
      <c r="U7" s="1457">
        <f t="shared" ref="U7:U15" si="1">H7</f>
        <v>100</v>
      </c>
      <c r="V7" s="1456" t="s">
        <v>8</v>
      </c>
      <c r="W7" s="1457">
        <f t="shared" ref="W7:W15" si="2">J7</f>
        <v>100</v>
      </c>
      <c r="X7" s="1458"/>
      <c r="Y7" s="3688" t="s">
        <v>513</v>
      </c>
      <c r="Z7" s="3689"/>
      <c r="AA7" s="1459">
        <f>D7/F7</f>
        <v>1</v>
      </c>
      <c r="AB7" s="1459">
        <f>D7/H7</f>
        <v>1</v>
      </c>
      <c r="AC7" s="1459">
        <f>D7/J7</f>
        <v>1</v>
      </c>
    </row>
    <row r="8" spans="1:29" s="1165" customFormat="1" ht="15.75" thickBot="1">
      <c r="A8" s="2549"/>
      <c r="B8" s="2556" t="s">
        <v>514</v>
      </c>
      <c r="C8" s="502" t="s">
        <v>558</v>
      </c>
      <c r="D8" s="497">
        <v>100</v>
      </c>
      <c r="E8" s="3473" t="s">
        <v>3428</v>
      </c>
      <c r="F8" s="499">
        <f>SUMIF(61:61,E8,62:62)-SUMIF(61:61,C8,62:62)+100</f>
        <v>100</v>
      </c>
      <c r="G8" s="3473" t="s">
        <v>3428</v>
      </c>
      <c r="H8" s="497">
        <f>SUMIF(61:61,G8,62:62)-SUMIF(61:61,C8,62:62)+100</f>
        <v>100</v>
      </c>
      <c r="I8" s="3473" t="s">
        <v>3429</v>
      </c>
      <c r="J8" s="497">
        <f>SUMIF(61:61,I8,62:62)-SUMIF(61:61,C8,62:62)+100</f>
        <v>100</v>
      </c>
      <c r="K8" s="501"/>
      <c r="L8" s="1969"/>
      <c r="M8" s="1970"/>
      <c r="N8" s="1970"/>
      <c r="O8" s="1970"/>
      <c r="P8" s="3688" t="s">
        <v>516</v>
      </c>
      <c r="Q8" s="3689"/>
      <c r="R8" s="1456" t="s">
        <v>8</v>
      </c>
      <c r="S8" s="1457">
        <f t="shared" si="0"/>
        <v>100</v>
      </c>
      <c r="T8" s="1456" t="s">
        <v>8</v>
      </c>
      <c r="U8" s="1457">
        <f t="shared" si="1"/>
        <v>100</v>
      </c>
      <c r="V8" s="1456" t="s">
        <v>8</v>
      </c>
      <c r="W8" s="1457">
        <f t="shared" si="2"/>
        <v>100</v>
      </c>
      <c r="X8" s="1458"/>
      <c r="Y8" s="3688" t="s">
        <v>516</v>
      </c>
      <c r="Z8" s="3689"/>
      <c r="AA8" s="1459">
        <f t="shared" ref="AA8:AA46" si="3">D8/F8</f>
        <v>1</v>
      </c>
      <c r="AB8" s="1459">
        <f t="shared" ref="AB8:AB46" si="4">D8/H8</f>
        <v>1</v>
      </c>
      <c r="AC8" s="1459">
        <f t="shared" ref="AC8:AC46" si="5">D8/J8</f>
        <v>1</v>
      </c>
    </row>
    <row r="9" spans="1:29" s="1165" customFormat="1" ht="15">
      <c r="A9" s="2550"/>
      <c r="B9" s="2557" t="s">
        <v>2472</v>
      </c>
      <c r="C9" s="3490" t="s">
        <v>3430</v>
      </c>
      <c r="D9" s="252">
        <v>100</v>
      </c>
      <c r="E9" s="3491" t="s">
        <v>3430</v>
      </c>
      <c r="F9" s="252">
        <f>SUMIF(63:63,E9,64:64)-SUMIF(63:63,C9,64:64)+100</f>
        <v>100</v>
      </c>
      <c r="G9" s="3492" t="s">
        <v>3430</v>
      </c>
      <c r="H9" s="252">
        <f>SUMIF(63:63,G9,64:64)-SUMIF(63:63,C9,64:64)+100</f>
        <v>100</v>
      </c>
      <c r="I9" s="3492" t="s">
        <v>3430</v>
      </c>
      <c r="J9" s="252">
        <f>SUMIF(63:63,I9,64:64)-SUMIF(63:63,C9,64:64)+100</f>
        <v>100</v>
      </c>
      <c r="K9" s="501"/>
      <c r="L9" s="1969"/>
      <c r="M9" s="1970"/>
      <c r="N9" s="1970"/>
      <c r="O9" s="1971"/>
      <c r="P9" s="3696" t="s">
        <v>518</v>
      </c>
      <c r="Q9" s="1096" t="str">
        <f t="shared" ref="Q9:Q15" si="6">B9</f>
        <v>用途</v>
      </c>
      <c r="R9" s="1456" t="s">
        <v>8</v>
      </c>
      <c r="S9" s="1457">
        <f t="shared" si="0"/>
        <v>100</v>
      </c>
      <c r="T9" s="1456" t="s">
        <v>8</v>
      </c>
      <c r="U9" s="1457">
        <f t="shared" si="1"/>
        <v>100</v>
      </c>
      <c r="V9" s="1456" t="s">
        <v>8</v>
      </c>
      <c r="W9" s="1457">
        <f t="shared" si="2"/>
        <v>100</v>
      </c>
      <c r="X9" s="1458"/>
      <c r="Y9" s="364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96"/>
      <c r="Q10" s="1096" t="str">
        <f t="shared" si="6"/>
        <v>土地使用年限（年）</v>
      </c>
      <c r="R10" s="1456" t="s">
        <v>8</v>
      </c>
      <c r="S10" s="1457">
        <f t="shared" si="0"/>
        <v>100</v>
      </c>
      <c r="T10" s="1456" t="s">
        <v>8</v>
      </c>
      <c r="U10" s="1457">
        <f t="shared" si="1"/>
        <v>100</v>
      </c>
      <c r="V10" s="1456" t="s">
        <v>8</v>
      </c>
      <c r="W10" s="1457">
        <f t="shared" si="2"/>
        <v>100</v>
      </c>
      <c r="X10" s="1458"/>
      <c r="Y10" s="3648"/>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0">
        <v>4.2</v>
      </c>
      <c r="F11" s="253">
        <f>LOOKUP(E11,68:68,69:69)-LOOKUP(C11,68:68,69:69)+100</f>
        <v>100</v>
      </c>
      <c r="G11" s="511">
        <v>3.5</v>
      </c>
      <c r="H11" s="253">
        <f>LOOKUP(G11,68:68,69:69)-LOOKUP(C11,68:68,69:69)+100</f>
        <v>100</v>
      </c>
      <c r="I11" s="510">
        <v>3.4</v>
      </c>
      <c r="J11" s="253">
        <f>LOOKUP(I11,68:68,69:69)-LOOKUP(C11,68:68,69:69)+100</f>
        <v>100</v>
      </c>
      <c r="K11" s="561">
        <v>0</v>
      </c>
      <c r="L11" s="1974"/>
      <c r="M11" s="1968"/>
      <c r="N11" s="1968"/>
      <c r="O11" s="1975"/>
      <c r="P11" s="3696"/>
      <c r="Q11" s="1096" t="str">
        <f t="shared" si="6"/>
        <v>容积率</v>
      </c>
      <c r="R11" s="1456" t="s">
        <v>8</v>
      </c>
      <c r="S11" s="1457">
        <f t="shared" si="0"/>
        <v>100</v>
      </c>
      <c r="T11" s="1456" t="s">
        <v>8</v>
      </c>
      <c r="U11" s="1457">
        <f t="shared" si="1"/>
        <v>100</v>
      </c>
      <c r="V11" s="1456" t="s">
        <v>8</v>
      </c>
      <c r="W11" s="1457">
        <f t="shared" si="2"/>
        <v>100</v>
      </c>
      <c r="X11" s="1458"/>
      <c r="Y11" s="3648"/>
      <c r="Z11" s="1095" t="str">
        <f t="shared" si="7"/>
        <v>容积率</v>
      </c>
      <c r="AA11" s="1459">
        <f t="shared" si="3"/>
        <v>1</v>
      </c>
      <c r="AB11" s="1459">
        <f t="shared" si="4"/>
        <v>1</v>
      </c>
      <c r="AC11" s="1459">
        <f t="shared" si="5"/>
        <v>1</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96"/>
      <c r="Q12" s="1096">
        <f t="shared" si="6"/>
        <v>111</v>
      </c>
      <c r="R12" s="1456" t="s">
        <v>8</v>
      </c>
      <c r="S12" s="1457">
        <f t="shared" si="0"/>
        <v>100</v>
      </c>
      <c r="T12" s="1456" t="s">
        <v>8</v>
      </c>
      <c r="U12" s="1457">
        <f t="shared" si="1"/>
        <v>100</v>
      </c>
      <c r="V12" s="1456" t="s">
        <v>8</v>
      </c>
      <c r="W12" s="1457">
        <f t="shared" si="2"/>
        <v>100</v>
      </c>
      <c r="X12" s="1458"/>
      <c r="Y12" s="3648"/>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96"/>
      <c r="Q13" s="1096">
        <f t="shared" si="6"/>
        <v>111</v>
      </c>
      <c r="R13" s="1456" t="s">
        <v>8</v>
      </c>
      <c r="S13" s="1457">
        <f t="shared" si="0"/>
        <v>100</v>
      </c>
      <c r="T13" s="1456" t="s">
        <v>8</v>
      </c>
      <c r="U13" s="1457">
        <f t="shared" si="1"/>
        <v>100</v>
      </c>
      <c r="V13" s="1456" t="s">
        <v>8</v>
      </c>
      <c r="W13" s="1457">
        <f t="shared" si="2"/>
        <v>100</v>
      </c>
      <c r="X13" s="1458"/>
      <c r="Y13" s="3648"/>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96"/>
      <c r="Q14" s="1096">
        <f t="shared" si="6"/>
        <v>111</v>
      </c>
      <c r="R14" s="1456" t="s">
        <v>8</v>
      </c>
      <c r="S14" s="1457">
        <f t="shared" si="0"/>
        <v>100</v>
      </c>
      <c r="T14" s="1456" t="s">
        <v>8</v>
      </c>
      <c r="U14" s="1457">
        <f t="shared" si="1"/>
        <v>100</v>
      </c>
      <c r="V14" s="1456" t="s">
        <v>8</v>
      </c>
      <c r="W14" s="1457">
        <f t="shared" si="2"/>
        <v>100</v>
      </c>
      <c r="X14" s="1458"/>
      <c r="Y14" s="3648"/>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698" t="s">
        <v>523</v>
      </c>
      <c r="Q15" s="1460" t="str">
        <f t="shared" si="6"/>
        <v>商业繁华度</v>
      </c>
      <c r="R15" s="1461" t="s">
        <v>8</v>
      </c>
      <c r="S15" s="1462">
        <f t="shared" si="0"/>
        <v>100</v>
      </c>
      <c r="T15" s="1461" t="s">
        <v>8</v>
      </c>
      <c r="U15" s="1462">
        <f t="shared" si="1"/>
        <v>100</v>
      </c>
      <c r="V15" s="1461" t="s">
        <v>8</v>
      </c>
      <c r="W15" s="1462">
        <f t="shared" si="2"/>
        <v>100</v>
      </c>
      <c r="X15" s="1455"/>
      <c r="Y15" s="3698" t="s">
        <v>523</v>
      </c>
      <c r="Z15" s="1463" t="str">
        <f t="shared" si="7"/>
        <v>商业繁华度</v>
      </c>
      <c r="AA15" s="1464">
        <f t="shared" si="3"/>
        <v>1</v>
      </c>
      <c r="AB15" s="1464">
        <f t="shared" si="4"/>
        <v>1</v>
      </c>
      <c r="AC15" s="1464">
        <f t="shared" si="5"/>
        <v>1</v>
      </c>
    </row>
    <row r="16" spans="1:29" ht="15">
      <c r="A16" s="509"/>
      <c r="B16" s="841"/>
      <c r="C16" s="3466" t="s">
        <v>3431</v>
      </c>
      <c r="D16" s="532"/>
      <c r="E16" s="3466" t="s">
        <v>3432</v>
      </c>
      <c r="F16" s="534"/>
      <c r="G16" s="3466" t="s">
        <v>3431</v>
      </c>
      <c r="H16" s="536"/>
      <c r="I16" s="3466" t="s">
        <v>3432</v>
      </c>
      <c r="J16" s="532"/>
      <c r="K16" s="869"/>
      <c r="L16" s="1976"/>
      <c r="M16" s="1968"/>
      <c r="N16" s="1968"/>
      <c r="O16" s="1975"/>
      <c r="P16" s="3699"/>
      <c r="Q16" s="1460"/>
      <c r="R16" s="1461"/>
      <c r="S16" s="1462"/>
      <c r="T16" s="1461"/>
      <c r="U16" s="1462"/>
      <c r="V16" s="1461"/>
      <c r="W16" s="1462"/>
      <c r="X16" s="1455"/>
      <c r="Y16" s="3699"/>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699"/>
      <c r="Q17" s="1460" t="str">
        <f>B17</f>
        <v>交通便捷度</v>
      </c>
      <c r="R17" s="1461" t="s">
        <v>8</v>
      </c>
      <c r="S17" s="1462">
        <f>F17</f>
        <v>100</v>
      </c>
      <c r="T17" s="1461" t="s">
        <v>8</v>
      </c>
      <c r="U17" s="1462">
        <f>H17</f>
        <v>100</v>
      </c>
      <c r="V17" s="1461" t="s">
        <v>8</v>
      </c>
      <c r="W17" s="1462">
        <f>J17</f>
        <v>100</v>
      </c>
      <c r="X17" s="1455"/>
      <c r="Y17" s="3699"/>
      <c r="Z17" s="1463" t="str">
        <f>Q17</f>
        <v>交通便捷度</v>
      </c>
      <c r="AA17" s="1464">
        <f t="shared" si="3"/>
        <v>1</v>
      </c>
      <c r="AB17" s="1464">
        <f t="shared" si="4"/>
        <v>1</v>
      </c>
      <c r="AC17" s="1464">
        <f t="shared" si="5"/>
        <v>1</v>
      </c>
    </row>
    <row r="18" spans="1:29" ht="15">
      <c r="A18" s="509"/>
      <c r="B18" s="572"/>
      <c r="C18" s="3482" t="s">
        <v>3431</v>
      </c>
      <c r="D18" s="536"/>
      <c r="E18" s="3475" t="s">
        <v>3431</v>
      </c>
      <c r="F18" s="540"/>
      <c r="G18" s="3465" t="s">
        <v>3431</v>
      </c>
      <c r="H18" s="532"/>
      <c r="I18" s="3475" t="s">
        <v>3432</v>
      </c>
      <c r="J18" s="532"/>
      <c r="K18" s="869"/>
      <c r="L18" s="1976"/>
      <c r="M18" s="1968"/>
      <c r="N18" s="1968"/>
      <c r="O18" s="1975"/>
      <c r="P18" s="3699"/>
      <c r="Q18" s="1460"/>
      <c r="R18" s="1461"/>
      <c r="S18" s="1462"/>
      <c r="T18" s="1461"/>
      <c r="U18" s="1462"/>
      <c r="V18" s="1461"/>
      <c r="W18" s="1462"/>
      <c r="X18" s="1455"/>
      <c r="Y18" s="3699"/>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699"/>
      <c r="Q19" s="1460" t="str">
        <f>B19</f>
        <v>公共配套设施</v>
      </c>
      <c r="R19" s="1461" t="s">
        <v>8</v>
      </c>
      <c r="S19" s="1462">
        <f>F19</f>
        <v>100</v>
      </c>
      <c r="T19" s="1461" t="s">
        <v>8</v>
      </c>
      <c r="U19" s="1462">
        <f>H19</f>
        <v>100</v>
      </c>
      <c r="V19" s="1461" t="s">
        <v>8</v>
      </c>
      <c r="W19" s="1462">
        <f>J19</f>
        <v>100</v>
      </c>
      <c r="X19" s="1455"/>
      <c r="Y19" s="3699"/>
      <c r="Z19" s="1463" t="str">
        <f>Q19</f>
        <v>公共配套设施</v>
      </c>
      <c r="AA19" s="1464">
        <f t="shared" si="3"/>
        <v>1</v>
      </c>
      <c r="AB19" s="1464">
        <f t="shared" si="4"/>
        <v>1</v>
      </c>
      <c r="AC19" s="1464">
        <f t="shared" si="5"/>
        <v>1</v>
      </c>
    </row>
    <row r="20" spans="1:29" ht="15">
      <c r="A20" s="509"/>
      <c r="B20" s="572"/>
      <c r="C20" s="3466" t="s">
        <v>3431</v>
      </c>
      <c r="D20" s="532"/>
      <c r="E20" s="3474" t="s">
        <v>3432</v>
      </c>
      <c r="F20" s="534"/>
      <c r="G20" s="3464" t="s">
        <v>3431</v>
      </c>
      <c r="H20" s="532"/>
      <c r="I20" s="3474" t="s">
        <v>3432</v>
      </c>
      <c r="J20" s="532"/>
      <c r="K20" s="869"/>
      <c r="L20" s="1976"/>
      <c r="M20" s="1968"/>
      <c r="N20" s="1968"/>
      <c r="O20" s="1975"/>
      <c r="P20" s="3699"/>
      <c r="Q20" s="1460"/>
      <c r="R20" s="1461"/>
      <c r="S20" s="1462"/>
      <c r="T20" s="1461"/>
      <c r="U20" s="1462"/>
      <c r="V20" s="1461"/>
      <c r="W20" s="1462"/>
      <c r="X20" s="1455"/>
      <c r="Y20" s="3699"/>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699"/>
      <c r="Q21" s="2349" t="str">
        <f>B21</f>
        <v>基础设施水平</v>
      </c>
      <c r="R21" s="1461" t="s">
        <v>8</v>
      </c>
      <c r="S21" s="1462">
        <f>F21</f>
        <v>100</v>
      </c>
      <c r="T21" s="1461" t="s">
        <v>8</v>
      </c>
      <c r="U21" s="1462">
        <f>H21</f>
        <v>100</v>
      </c>
      <c r="V21" s="1461" t="s">
        <v>8</v>
      </c>
      <c r="W21" s="1462">
        <f>J21</f>
        <v>100</v>
      </c>
      <c r="X21" s="2351"/>
      <c r="Y21" s="3699"/>
      <c r="Z21" s="2350" t="str">
        <f>Q21</f>
        <v>基础设施水平</v>
      </c>
      <c r="AA21" s="1464">
        <f t="shared" ref="AA21" si="8">D21/F21</f>
        <v>1</v>
      </c>
      <c r="AB21" s="1464">
        <f t="shared" ref="AB21" si="9">D21/H21</f>
        <v>1</v>
      </c>
      <c r="AC21" s="1464">
        <f t="shared" ref="AC21" si="10">D21/J21</f>
        <v>1</v>
      </c>
    </row>
    <row r="22" spans="1:29" ht="15">
      <c r="A22" s="509"/>
      <c r="B22" s="892"/>
      <c r="C22" s="3482" t="s">
        <v>3433</v>
      </c>
      <c r="D22" s="532"/>
      <c r="E22" s="3466" t="s">
        <v>3434</v>
      </c>
      <c r="F22" s="534"/>
      <c r="G22" s="3466" t="s">
        <v>3433</v>
      </c>
      <c r="H22" s="532"/>
      <c r="I22" s="3466" t="s">
        <v>3433</v>
      </c>
      <c r="J22" s="532"/>
      <c r="K22" s="2366"/>
      <c r="L22" s="1976"/>
      <c r="M22" s="1968"/>
      <c r="N22" s="1968"/>
      <c r="O22" s="1975"/>
      <c r="P22" s="3699"/>
      <c r="Q22" s="2349"/>
      <c r="R22" s="1461"/>
      <c r="S22" s="1462"/>
      <c r="T22" s="1461"/>
      <c r="U22" s="1462"/>
      <c r="V22" s="1461"/>
      <c r="W22" s="1462"/>
      <c r="X22" s="2351"/>
      <c r="Y22" s="3699"/>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699"/>
      <c r="Q23" s="1460" t="str">
        <f>B23</f>
        <v>自然及人文环境</v>
      </c>
      <c r="R23" s="1461" t="s">
        <v>8</v>
      </c>
      <c r="S23" s="1462">
        <f>F23</f>
        <v>100</v>
      </c>
      <c r="T23" s="1461" t="s">
        <v>8</v>
      </c>
      <c r="U23" s="1462">
        <f>H23</f>
        <v>100</v>
      </c>
      <c r="V23" s="1461" t="s">
        <v>8</v>
      </c>
      <c r="W23" s="1462">
        <f>J23</f>
        <v>100</v>
      </c>
      <c r="X23" s="1455"/>
      <c r="Y23" s="3699"/>
      <c r="Z23" s="1463" t="str">
        <f>Q23</f>
        <v>自然及人文环境</v>
      </c>
      <c r="AA23" s="1464">
        <f t="shared" si="3"/>
        <v>1</v>
      </c>
      <c r="AB23" s="1464">
        <f t="shared" si="4"/>
        <v>1</v>
      </c>
      <c r="AC23" s="1464">
        <f t="shared" si="5"/>
        <v>1</v>
      </c>
    </row>
    <row r="24" spans="1:29" ht="15">
      <c r="A24" s="509"/>
      <c r="B24" s="572"/>
      <c r="C24" s="3466" t="s">
        <v>3431</v>
      </c>
      <c r="D24" s="532"/>
      <c r="E24" s="3474" t="s">
        <v>3432</v>
      </c>
      <c r="F24" s="534"/>
      <c r="G24" s="3464" t="s">
        <v>3431</v>
      </c>
      <c r="H24" s="532"/>
      <c r="I24" s="3474" t="s">
        <v>3431</v>
      </c>
      <c r="J24" s="532"/>
      <c r="K24" s="869"/>
      <c r="L24" s="1976"/>
      <c r="M24" s="1968"/>
      <c r="N24" s="1968"/>
      <c r="O24" s="1975"/>
      <c r="P24" s="3699"/>
      <c r="Q24" s="1460"/>
      <c r="R24" s="1461"/>
      <c r="S24" s="1462"/>
      <c r="T24" s="1461"/>
      <c r="U24" s="1462"/>
      <c r="V24" s="1461"/>
      <c r="W24" s="1462"/>
      <c r="X24" s="1455"/>
      <c r="Y24" s="3699"/>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99"/>
      <c r="Q25" s="1460" t="str">
        <f t="shared" ref="Q25:Q46" si="11">B25</f>
        <v>临街状况</v>
      </c>
      <c r="R25" s="1461" t="s">
        <v>8</v>
      </c>
      <c r="S25" s="1462">
        <f>F25</f>
        <v>100</v>
      </c>
      <c r="T25" s="1461" t="s">
        <v>8</v>
      </c>
      <c r="U25" s="1462">
        <f>H25</f>
        <v>100</v>
      </c>
      <c r="V25" s="1461" t="s">
        <v>8</v>
      </c>
      <c r="W25" s="1462">
        <f>J25</f>
        <v>100</v>
      </c>
      <c r="X25" s="1455"/>
      <c r="Y25" s="3699"/>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99"/>
      <c r="Q26" s="1460" t="str">
        <f t="shared" si="11"/>
        <v>平面位置/可视性</v>
      </c>
      <c r="R26" s="1461" t="s">
        <v>8</v>
      </c>
      <c r="S26" s="1462">
        <f>F26</f>
        <v>100</v>
      </c>
      <c r="T26" s="1461" t="s">
        <v>8</v>
      </c>
      <c r="U26" s="1462">
        <f>H26</f>
        <v>100</v>
      </c>
      <c r="V26" s="1461" t="s">
        <v>8</v>
      </c>
      <c r="W26" s="1462">
        <f>J26</f>
        <v>100</v>
      </c>
      <c r="X26" s="1455"/>
      <c r="Y26" s="3699"/>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699"/>
      <c r="Q27" s="1096" t="str">
        <f t="shared" si="11"/>
        <v>人流量</v>
      </c>
      <c r="R27" s="1456" t="s">
        <v>8</v>
      </c>
      <c r="S27" s="1457">
        <f>F27</f>
        <v>100</v>
      </c>
      <c r="T27" s="1456" t="s">
        <v>8</v>
      </c>
      <c r="U27" s="1457">
        <f>H27</f>
        <v>100</v>
      </c>
      <c r="V27" s="1456" t="s">
        <v>8</v>
      </c>
      <c r="W27" s="1457">
        <f>J27</f>
        <v>100</v>
      </c>
      <c r="X27" s="1458"/>
      <c r="Y27" s="3699"/>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99"/>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99"/>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99"/>
      <c r="Q29" s="1460">
        <f t="shared" si="11"/>
        <v>111</v>
      </c>
      <c r="R29" s="1461" t="s">
        <v>8</v>
      </c>
      <c r="S29" s="1462">
        <f t="shared" si="12"/>
        <v>100</v>
      </c>
      <c r="T29" s="1461" t="s">
        <v>8</v>
      </c>
      <c r="U29" s="1462">
        <f t="shared" si="13"/>
        <v>100</v>
      </c>
      <c r="V29" s="1461" t="s">
        <v>8</v>
      </c>
      <c r="W29" s="1462">
        <f t="shared" si="14"/>
        <v>100</v>
      </c>
      <c r="X29" s="1455"/>
      <c r="Y29" s="3699"/>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99"/>
      <c r="Q30" s="1460">
        <f t="shared" si="11"/>
        <v>111</v>
      </c>
      <c r="R30" s="1461" t="s">
        <v>8</v>
      </c>
      <c r="S30" s="1462">
        <f t="shared" si="12"/>
        <v>100</v>
      </c>
      <c r="T30" s="1461" t="s">
        <v>8</v>
      </c>
      <c r="U30" s="1462">
        <f t="shared" si="13"/>
        <v>100</v>
      </c>
      <c r="V30" s="1461" t="s">
        <v>8</v>
      </c>
      <c r="W30" s="1462">
        <f t="shared" si="14"/>
        <v>100</v>
      </c>
      <c r="X30" s="1455"/>
      <c r="Y30" s="3699"/>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99"/>
      <c r="Q31" s="1460">
        <f t="shared" si="11"/>
        <v>111</v>
      </c>
      <c r="R31" s="1461" t="s">
        <v>8</v>
      </c>
      <c r="S31" s="1462">
        <f t="shared" si="12"/>
        <v>100</v>
      </c>
      <c r="T31" s="1461" t="s">
        <v>8</v>
      </c>
      <c r="U31" s="1462">
        <f t="shared" si="13"/>
        <v>100</v>
      </c>
      <c r="V31" s="1461" t="s">
        <v>8</v>
      </c>
      <c r="W31" s="1462">
        <f t="shared" si="14"/>
        <v>100</v>
      </c>
      <c r="X31" s="1455"/>
      <c r="Y31" s="3699"/>
      <c r="Z31" s="1463">
        <f t="shared" si="15"/>
        <v>111</v>
      </c>
      <c r="AA31" s="1464">
        <f t="shared" si="3"/>
        <v>1</v>
      </c>
      <c r="AB31" s="1464">
        <f t="shared" si="4"/>
        <v>1</v>
      </c>
      <c r="AC31" s="1464">
        <f t="shared" si="5"/>
        <v>1</v>
      </c>
    </row>
    <row r="32" spans="1:29" ht="15">
      <c r="A32" s="2544" t="s">
        <v>2471</v>
      </c>
      <c r="B32" s="170" t="s">
        <v>744</v>
      </c>
      <c r="C32" s="3483" t="s">
        <v>3435</v>
      </c>
      <c r="D32" s="574">
        <v>100</v>
      </c>
      <c r="E32" s="3483" t="s">
        <v>3436</v>
      </c>
      <c r="F32" s="552">
        <f>SUMIF(100:100,E32,101:101)-SUMIF(100:100,C32,101:101)+100</f>
        <v>100</v>
      </c>
      <c r="G32" s="3483" t="s">
        <v>3435</v>
      </c>
      <c r="H32" s="517">
        <f>SUMIF(100:100,G32,101:101)-SUMIF(100:100,C32,101:101)+100</f>
        <v>100</v>
      </c>
      <c r="I32" s="3483" t="s">
        <v>3435</v>
      </c>
      <c r="J32" s="574">
        <f>SUMIF(100:100,I32,101:101)-SUMIF(100:100,C32,101:101)+100</f>
        <v>100</v>
      </c>
      <c r="K32" s="561"/>
      <c r="L32" s="1976"/>
      <c r="M32" s="1968"/>
      <c r="N32" s="1968"/>
      <c r="O32" s="1975"/>
      <c r="P32" s="3700" t="s">
        <v>533</v>
      </c>
      <c r="Q32" s="1460" t="str">
        <f t="shared" si="11"/>
        <v>商业类型</v>
      </c>
      <c r="R32" s="1461" t="s">
        <v>8</v>
      </c>
      <c r="S32" s="1462">
        <f t="shared" si="12"/>
        <v>100</v>
      </c>
      <c r="T32" s="1461" t="s">
        <v>8</v>
      </c>
      <c r="U32" s="1462">
        <f t="shared" si="13"/>
        <v>100</v>
      </c>
      <c r="V32" s="1461" t="s">
        <v>8</v>
      </c>
      <c r="W32" s="1462">
        <f t="shared" si="14"/>
        <v>100</v>
      </c>
      <c r="X32" s="1455"/>
      <c r="Y32" s="3701" t="s">
        <v>533</v>
      </c>
      <c r="Z32" s="1463" t="str">
        <f t="shared" si="15"/>
        <v>商业类型</v>
      </c>
      <c r="AA32" s="1464">
        <f t="shared" si="3"/>
        <v>1</v>
      </c>
      <c r="AB32" s="1464">
        <f t="shared" si="4"/>
        <v>1</v>
      </c>
      <c r="AC32" s="1464">
        <f t="shared" si="5"/>
        <v>1</v>
      </c>
    </row>
    <row r="33" spans="1:29" s="1247" customFormat="1" ht="15">
      <c r="A33" s="580"/>
      <c r="B33" s="504" t="s">
        <v>708</v>
      </c>
      <c r="C33" s="850">
        <f>'数据-汇总表'!E3</f>
        <v>184715.46</v>
      </c>
      <c r="D33" s="253">
        <v>100</v>
      </c>
      <c r="E33" s="511">
        <f>商业案例!F50</f>
        <v>750000</v>
      </c>
      <c r="F33" s="835">
        <f>LOOKUP(E33,103:103,104:104)-LOOKUP(C33,103:103,104:104)+100</f>
        <v>100</v>
      </c>
      <c r="G33" s="510">
        <f>商业案例!F51</f>
        <v>1000000</v>
      </c>
      <c r="H33" s="253">
        <f>LOOKUP(G33,103:103,104:104)-LOOKUP(C33,103:103,104:104)+100</f>
        <v>100</v>
      </c>
      <c r="I33" s="510">
        <f>商业案例!F52</f>
        <v>506706</v>
      </c>
      <c r="J33" s="253">
        <f>LOOKUP(I33,103:103,104:104)-LOOKUP(C33,103:103,104:104)+100</f>
        <v>100</v>
      </c>
      <c r="K33" s="558"/>
      <c r="L33" s="1974"/>
      <c r="M33" s="2004"/>
      <c r="N33" s="2004"/>
      <c r="O33" s="1977"/>
      <c r="P33" s="3701"/>
      <c r="Q33" s="1489" t="str">
        <f t="shared" si="11"/>
        <v>项目建筑规模</v>
      </c>
      <c r="R33" s="1465" t="s">
        <v>8</v>
      </c>
      <c r="S33" s="1466">
        <f t="shared" si="12"/>
        <v>100</v>
      </c>
      <c r="T33" s="1465" t="s">
        <v>8</v>
      </c>
      <c r="U33" s="1466">
        <f t="shared" si="13"/>
        <v>100</v>
      </c>
      <c r="V33" s="1465" t="s">
        <v>8</v>
      </c>
      <c r="W33" s="1466">
        <f t="shared" si="14"/>
        <v>100</v>
      </c>
      <c r="X33" s="1467"/>
      <c r="Y33" s="3701"/>
      <c r="Z33" s="1468" t="str">
        <f t="shared" si="15"/>
        <v>项目建筑规模</v>
      </c>
      <c r="AA33" s="1464">
        <f t="shared" si="3"/>
        <v>1</v>
      </c>
      <c r="AB33" s="1464">
        <f t="shared" si="4"/>
        <v>1</v>
      </c>
      <c r="AC33" s="1464">
        <f t="shared" si="5"/>
        <v>1</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701"/>
      <c r="Q34" s="1460" t="str">
        <f t="shared" si="11"/>
        <v>建筑结构</v>
      </c>
      <c r="R34" s="1461" t="s">
        <v>8</v>
      </c>
      <c r="S34" s="1462">
        <f t="shared" si="12"/>
        <v>100</v>
      </c>
      <c r="T34" s="1461" t="s">
        <v>8</v>
      </c>
      <c r="U34" s="1462">
        <f t="shared" si="13"/>
        <v>100</v>
      </c>
      <c r="V34" s="1461" t="s">
        <v>8</v>
      </c>
      <c r="W34" s="1462">
        <f t="shared" si="14"/>
        <v>100</v>
      </c>
      <c r="X34" s="1455"/>
      <c r="Y34" s="3701"/>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701"/>
      <c r="Q35" s="1460" t="str">
        <f t="shared" si="11"/>
        <v>公共部分装修</v>
      </c>
      <c r="R35" s="1461" t="s">
        <v>8</v>
      </c>
      <c r="S35" s="1462">
        <f t="shared" si="12"/>
        <v>100</v>
      </c>
      <c r="T35" s="1461" t="s">
        <v>8</v>
      </c>
      <c r="U35" s="1462">
        <f t="shared" si="13"/>
        <v>100</v>
      </c>
      <c r="V35" s="1461" t="s">
        <v>8</v>
      </c>
      <c r="W35" s="1462">
        <f t="shared" si="14"/>
        <v>100</v>
      </c>
      <c r="X35" s="1455"/>
      <c r="Y35" s="3701"/>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701"/>
      <c r="Q36" s="1460" t="str">
        <f t="shared" si="11"/>
        <v>成新度</v>
      </c>
      <c r="R36" s="1461" t="s">
        <v>8</v>
      </c>
      <c r="S36" s="1462">
        <f t="shared" si="12"/>
        <v>100</v>
      </c>
      <c r="T36" s="1461" t="s">
        <v>8</v>
      </c>
      <c r="U36" s="1462">
        <f t="shared" si="13"/>
        <v>100</v>
      </c>
      <c r="V36" s="1461" t="s">
        <v>8</v>
      </c>
      <c r="W36" s="1462">
        <f t="shared" si="14"/>
        <v>100</v>
      </c>
      <c r="X36" s="1455"/>
      <c r="Y36" s="3701"/>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701"/>
      <c r="Q37" s="1096" t="str">
        <f t="shared" si="11"/>
        <v>市政基础设施</v>
      </c>
      <c r="R37" s="1456" t="s">
        <v>8</v>
      </c>
      <c r="S37" s="1457">
        <f t="shared" si="12"/>
        <v>100</v>
      </c>
      <c r="T37" s="1456" t="s">
        <v>8</v>
      </c>
      <c r="U37" s="1457">
        <f t="shared" si="13"/>
        <v>100</v>
      </c>
      <c r="V37" s="1456" t="s">
        <v>8</v>
      </c>
      <c r="W37" s="1457">
        <f t="shared" si="14"/>
        <v>100</v>
      </c>
      <c r="X37" s="1458"/>
      <c r="Y37" s="3701"/>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701" t="s">
        <v>748</v>
      </c>
      <c r="Q38" s="1460" t="str">
        <f t="shared" si="11"/>
        <v>业态</v>
      </c>
      <c r="R38" s="1461" t="s">
        <v>8</v>
      </c>
      <c r="S38" s="1462">
        <f t="shared" si="12"/>
        <v>100</v>
      </c>
      <c r="T38" s="1461" t="s">
        <v>8</v>
      </c>
      <c r="U38" s="1462">
        <f t="shared" si="13"/>
        <v>100</v>
      </c>
      <c r="V38" s="1461" t="s">
        <v>8</v>
      </c>
      <c r="W38" s="1462">
        <f t="shared" si="14"/>
        <v>100</v>
      </c>
      <c r="X38" s="1455"/>
      <c r="Y38" s="3701"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701"/>
      <c r="Q39" s="1460" t="str">
        <f t="shared" si="11"/>
        <v>层高</v>
      </c>
      <c r="R39" s="1461" t="s">
        <v>8</v>
      </c>
      <c r="S39" s="1462">
        <f t="shared" si="12"/>
        <v>100</v>
      </c>
      <c r="T39" s="1461" t="s">
        <v>8</v>
      </c>
      <c r="U39" s="1462">
        <f t="shared" si="13"/>
        <v>100</v>
      </c>
      <c r="V39" s="1461" t="s">
        <v>8</v>
      </c>
      <c r="W39" s="1462">
        <f t="shared" si="14"/>
        <v>100</v>
      </c>
      <c r="X39" s="1455"/>
      <c r="Y39" s="3701"/>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701"/>
      <c r="Q40" s="1460" t="str">
        <f t="shared" si="11"/>
        <v>单套建筑面积</v>
      </c>
      <c r="R40" s="1461" t="s">
        <v>8</v>
      </c>
      <c r="S40" s="1462">
        <f t="shared" si="12"/>
        <v>100</v>
      </c>
      <c r="T40" s="1461" t="s">
        <v>8</v>
      </c>
      <c r="U40" s="1462">
        <f t="shared" si="13"/>
        <v>100</v>
      </c>
      <c r="V40" s="1461" t="s">
        <v>8</v>
      </c>
      <c r="W40" s="1462">
        <f t="shared" si="14"/>
        <v>100</v>
      </c>
      <c r="X40" s="1455"/>
      <c r="Y40" s="3701"/>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701"/>
      <c r="Q41" s="1489" t="str">
        <f t="shared" si="11"/>
        <v>进深比</v>
      </c>
      <c r="R41" s="1465" t="s">
        <v>8</v>
      </c>
      <c r="S41" s="1466">
        <f t="shared" si="12"/>
        <v>100</v>
      </c>
      <c r="T41" s="1465" t="s">
        <v>8</v>
      </c>
      <c r="U41" s="1466">
        <f t="shared" si="13"/>
        <v>100</v>
      </c>
      <c r="V41" s="1465" t="s">
        <v>8</v>
      </c>
      <c r="W41" s="1466">
        <f t="shared" si="14"/>
        <v>100</v>
      </c>
      <c r="X41" s="1467"/>
      <c r="Y41" s="3701"/>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701"/>
      <c r="Q42" s="1460" t="str">
        <f t="shared" si="11"/>
        <v>内部装修</v>
      </c>
      <c r="R42" s="1461" t="s">
        <v>8</v>
      </c>
      <c r="S42" s="1462">
        <f t="shared" si="12"/>
        <v>100</v>
      </c>
      <c r="T42" s="1461" t="s">
        <v>8</v>
      </c>
      <c r="U42" s="1462">
        <f t="shared" si="13"/>
        <v>100</v>
      </c>
      <c r="V42" s="1461" t="s">
        <v>8</v>
      </c>
      <c r="W42" s="1462">
        <f t="shared" si="14"/>
        <v>100</v>
      </c>
      <c r="X42" s="1455"/>
      <c r="Y42" s="3701"/>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701"/>
      <c r="Q43" s="1460" t="str">
        <f t="shared" si="11"/>
        <v>内部装修维护情况</v>
      </c>
      <c r="R43" s="1461" t="s">
        <v>8</v>
      </c>
      <c r="S43" s="1462">
        <f t="shared" si="12"/>
        <v>100</v>
      </c>
      <c r="T43" s="1461" t="s">
        <v>8</v>
      </c>
      <c r="U43" s="1462">
        <f t="shared" si="13"/>
        <v>100</v>
      </c>
      <c r="V43" s="1461" t="s">
        <v>8</v>
      </c>
      <c r="W43" s="1462">
        <f t="shared" si="14"/>
        <v>100</v>
      </c>
      <c r="X43" s="1455"/>
      <c r="Y43" s="3701"/>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701"/>
      <c r="Q44" s="1096">
        <f t="shared" si="11"/>
        <v>111</v>
      </c>
      <c r="R44" s="1456" t="s">
        <v>8</v>
      </c>
      <c r="S44" s="1457">
        <f t="shared" si="12"/>
        <v>100</v>
      </c>
      <c r="T44" s="1456" t="s">
        <v>8</v>
      </c>
      <c r="U44" s="1457">
        <f t="shared" si="13"/>
        <v>100</v>
      </c>
      <c r="V44" s="1456" t="s">
        <v>8</v>
      </c>
      <c r="W44" s="1457">
        <f t="shared" si="14"/>
        <v>100</v>
      </c>
      <c r="X44" s="1458"/>
      <c r="Y44" s="3701"/>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701"/>
      <c r="Q45" s="1460">
        <f t="shared" si="11"/>
        <v>111</v>
      </c>
      <c r="R45" s="1461" t="s">
        <v>8</v>
      </c>
      <c r="S45" s="1462">
        <f t="shared" si="12"/>
        <v>100</v>
      </c>
      <c r="T45" s="1461" t="s">
        <v>8</v>
      </c>
      <c r="U45" s="1462">
        <f t="shared" si="13"/>
        <v>100</v>
      </c>
      <c r="V45" s="1461" t="s">
        <v>8</v>
      </c>
      <c r="W45" s="1462">
        <f t="shared" si="14"/>
        <v>100</v>
      </c>
      <c r="X45" s="1455"/>
      <c r="Y45" s="3701"/>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15"/>
      <c r="Q46" s="1460">
        <f t="shared" si="11"/>
        <v>111</v>
      </c>
      <c r="R46" s="1461" t="s">
        <v>8</v>
      </c>
      <c r="S46" s="1462">
        <f t="shared" si="12"/>
        <v>100</v>
      </c>
      <c r="T46" s="1461" t="s">
        <v>8</v>
      </c>
      <c r="U46" s="1462">
        <f t="shared" si="13"/>
        <v>100</v>
      </c>
      <c r="V46" s="1461" t="s">
        <v>8</v>
      </c>
      <c r="W46" s="1462">
        <f t="shared" si="14"/>
        <v>100</v>
      </c>
      <c r="X46" s="1455"/>
      <c r="Y46" s="3815"/>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96" t="str">
        <f>A47</f>
        <v>成交单价（元/平方米）</v>
      </c>
      <c r="Q47" s="3696"/>
      <c r="R47" s="3814">
        <f>E47</f>
        <v>20000</v>
      </c>
      <c r="S47" s="3814"/>
      <c r="T47" s="3814">
        <f>G47</f>
        <v>25000</v>
      </c>
      <c r="U47" s="3814"/>
      <c r="V47" s="3814">
        <f>I47</f>
        <v>25000</v>
      </c>
      <c r="W47" s="3814"/>
      <c r="X47" s="1450"/>
      <c r="Y47" s="1469"/>
      <c r="Z47" s="1450"/>
      <c r="AA47" s="1450"/>
      <c r="AB47" s="1450"/>
      <c r="AC47" s="1450"/>
    </row>
    <row r="48" spans="1:29" ht="15.75" thickBot="1">
      <c r="A48" s="592" t="s">
        <v>2476</v>
      </c>
      <c r="B48" s="858"/>
      <c r="C48" s="2396">
        <f>R49</f>
        <v>23333</v>
      </c>
      <c r="D48" s="2919" t="s">
        <v>2700</v>
      </c>
      <c r="E48" s="2397">
        <f>R48</f>
        <v>20000</v>
      </c>
      <c r="F48" s="2920"/>
      <c r="G48" s="2396">
        <f>T48</f>
        <v>25000</v>
      </c>
      <c r="H48" s="2920"/>
      <c r="I48" s="2397">
        <f>V48</f>
        <v>25000</v>
      </c>
      <c r="J48" s="2920"/>
      <c r="K48" s="2928">
        <f>F48+H48+J48</f>
        <v>0</v>
      </c>
      <c r="L48" s="1978"/>
      <c r="M48" s="1979"/>
      <c r="N48" s="1968"/>
      <c r="O48" s="1979"/>
      <c r="P48" s="3696" t="str">
        <f>A48</f>
        <v>比较价格（元/平方米）</v>
      </c>
      <c r="Q48" s="3696"/>
      <c r="R48" s="3814">
        <f>IF(F1="售价",ROUND(PRODUCT(R47,AA7:AA46),0),ROUND(PRODUCT(R47,AA7:AA46),1))</f>
        <v>20000</v>
      </c>
      <c r="S48" s="3814"/>
      <c r="T48" s="3814">
        <f>IF(F1="售价",ROUND(PRODUCT(T47,AB7:AB46),0),ROUND(PRODUCT(T47,AB7:AB46),1))</f>
        <v>25000</v>
      </c>
      <c r="U48" s="3814"/>
      <c r="V48" s="3814">
        <f>IF(F1="售价",ROUND(PRODUCT(V47,AC7:AC46),0),ROUND(PRODUCT(V47,AC7:AC46),1))</f>
        <v>25000</v>
      </c>
      <c r="W48" s="3814"/>
      <c r="X48" s="1450"/>
      <c r="Y48" s="1450"/>
      <c r="Z48" s="1450"/>
      <c r="AA48" s="1450"/>
      <c r="AB48" s="1450"/>
      <c r="AC48" s="1450"/>
    </row>
    <row r="49" spans="1:29" ht="15.75" thickBot="1">
      <c r="A49" s="596" t="s">
        <v>2636</v>
      </c>
      <c r="B49" s="597"/>
      <c r="C49" s="2398">
        <f>R49</f>
        <v>23333</v>
      </c>
      <c r="D49" s="2398"/>
      <c r="E49" s="2398"/>
      <c r="F49" s="2398"/>
      <c r="G49" s="2398"/>
      <c r="H49" s="2398"/>
      <c r="I49" s="2398"/>
      <c r="J49" s="2398"/>
      <c r="K49" s="1495"/>
      <c r="L49" s="1978"/>
      <c r="M49" s="1979"/>
      <c r="N49" s="1968"/>
      <c r="O49" s="1979"/>
      <c r="P49" s="3702" t="str">
        <f>A49</f>
        <v>估价对象XX用房的比较价格（楼面单价，元/平方米）</v>
      </c>
      <c r="Q49" s="3703"/>
      <c r="R49" s="3813">
        <f>IF(F1="售价",ROUND(IF(D48="简单平均",AVERAGE(R48:V48),R48*F48+T48*H48+V48*J48),0),ROUND(IF(D48="简单平均",AVERAGE(R48:V48),R48*F48+T48*H48+V48*J48),1))</f>
        <v>23333</v>
      </c>
      <c r="S49" s="3813"/>
      <c r="T49" s="3813"/>
      <c r="U49" s="3813"/>
      <c r="V49" s="3813"/>
      <c r="W49" s="3813"/>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0</v>
      </c>
      <c r="F52" s="602" t="str">
        <f>IF(OR(E52&gt;=0.3,E52&lt;=-0.3),"超过30%","")</f>
        <v/>
      </c>
      <c r="G52" s="601">
        <f>IF(G47&lt;G48,G48/G47-1,G47/G48-1)</f>
        <v>0</v>
      </c>
      <c r="H52" s="602" t="str">
        <f>IF(OR(G52&gt;=0.3,G52&lt;=-0.3),"超过30%","")</f>
        <v/>
      </c>
      <c r="I52" s="601">
        <f>IF(I47&lt;I48,I48/I47-1,I47/I48-1)</f>
        <v>0</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0.25</v>
      </c>
      <c r="F53" s="602" t="str">
        <f>IF(OR(E53&gt;=0.2,E53&lt;=-0.2),"超过20%","")</f>
        <v>超过20%</v>
      </c>
      <c r="G53" s="601">
        <f>IF(G48&lt;I48,I48/G48-1,G48/I48-1)</f>
        <v>0</v>
      </c>
      <c r="H53" s="602" t="str">
        <f>IF(OR(G53&gt;=0.2,G53&lt;=-0.2),"超过20%","")</f>
        <v/>
      </c>
      <c r="I53" s="601">
        <f>IF(I48&lt;E48,E48/I48-1,I48/E48-1)</f>
        <v>0.25</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0（含）-10</v>
      </c>
      <c r="D67" s="657" t="str">
        <f t="shared" ref="D67:L67" si="17">D68&amp;"（含）"&amp;"-"&amp;E68</f>
        <v>10（含）-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10</v>
      </c>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0(含)-2000000</v>
      </c>
      <c r="D102" s="683" t="str">
        <f t="shared" ref="D102:L102" si="22">D103&amp;"(含)"&amp;"-"&amp;E103</f>
        <v>2000000(含)-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2000000</v>
      </c>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100</v>
      </c>
      <c r="E104" s="646"/>
      <c r="F104" s="646"/>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704" t="s">
        <v>505</v>
      </c>
      <c r="D4" s="3705"/>
      <c r="E4" s="3732" t="s">
        <v>506</v>
      </c>
      <c r="F4" s="3733"/>
      <c r="G4" s="3704" t="s">
        <v>507</v>
      </c>
      <c r="H4" s="3705"/>
      <c r="I4" s="3704" t="s">
        <v>508</v>
      </c>
      <c r="J4" s="3705"/>
      <c r="K4" s="491" t="s">
        <v>509</v>
      </c>
      <c r="L4" s="1967"/>
      <c r="M4" s="1968"/>
      <c r="N4" s="1968"/>
      <c r="O4" s="1968"/>
      <c r="P4" s="3816" t="s">
        <v>510</v>
      </c>
      <c r="Q4" s="3707"/>
      <c r="R4" s="3690" t="s">
        <v>506</v>
      </c>
      <c r="S4" s="3691"/>
      <c r="T4" s="3690" t="s">
        <v>507</v>
      </c>
      <c r="U4" s="3691"/>
      <c r="V4" s="3712" t="s">
        <v>508</v>
      </c>
      <c r="W4" s="3712"/>
      <c r="X4" s="1455"/>
      <c r="Y4" s="3690" t="s">
        <v>510</v>
      </c>
      <c r="Z4" s="3691"/>
      <c r="AA4" s="3685" t="s">
        <v>506</v>
      </c>
      <c r="AB4" s="3685" t="s">
        <v>507</v>
      </c>
      <c r="AC4" s="3685" t="s">
        <v>508</v>
      </c>
    </row>
    <row r="5" spans="1:29" ht="15">
      <c r="A5" s="492"/>
      <c r="B5" s="493"/>
      <c r="C5" s="3715" t="s">
        <v>2630</v>
      </c>
      <c r="D5" s="3716"/>
      <c r="E5" s="3734" t="s">
        <v>2631</v>
      </c>
      <c r="F5" s="3735"/>
      <c r="G5" s="3715" t="s">
        <v>2632</v>
      </c>
      <c r="H5" s="3716"/>
      <c r="I5" s="3715" t="s">
        <v>2633</v>
      </c>
      <c r="J5" s="3716"/>
      <c r="K5" s="491"/>
      <c r="L5" s="1967"/>
      <c r="M5" s="1968"/>
      <c r="N5" s="1968"/>
      <c r="O5" s="1968"/>
      <c r="P5" s="3817"/>
      <c r="Q5" s="3709"/>
      <c r="R5" s="3692"/>
      <c r="S5" s="3693"/>
      <c r="T5" s="3692"/>
      <c r="U5" s="3693"/>
      <c r="V5" s="3712"/>
      <c r="W5" s="3712"/>
      <c r="X5" s="1455"/>
      <c r="Y5" s="3692"/>
      <c r="Z5" s="3693"/>
      <c r="AA5" s="3686"/>
      <c r="AB5" s="3686"/>
      <c r="AC5" s="3686"/>
    </row>
    <row r="6" spans="1:29" ht="15.75" thickBot="1">
      <c r="A6" s="494"/>
      <c r="B6" s="495"/>
      <c r="C6" s="3713" t="s">
        <v>2634</v>
      </c>
      <c r="D6" s="3714"/>
      <c r="E6" s="3736" t="s">
        <v>2634</v>
      </c>
      <c r="F6" s="3737"/>
      <c r="G6" s="3713" t="s">
        <v>2634</v>
      </c>
      <c r="H6" s="3714"/>
      <c r="I6" s="3713" t="s">
        <v>2634</v>
      </c>
      <c r="J6" s="3714"/>
      <c r="K6" s="491" t="s">
        <v>511</v>
      </c>
      <c r="L6" s="1967"/>
      <c r="M6" s="1968"/>
      <c r="N6" s="1968"/>
      <c r="O6" s="1968"/>
      <c r="P6" s="3818"/>
      <c r="Q6" s="3711"/>
      <c r="R6" s="3692"/>
      <c r="S6" s="3693"/>
      <c r="T6" s="3694"/>
      <c r="U6" s="3695"/>
      <c r="V6" s="3712"/>
      <c r="W6" s="3712"/>
      <c r="X6" s="1455"/>
      <c r="Y6" s="3694"/>
      <c r="Z6" s="3695"/>
      <c r="AA6" s="3687"/>
      <c r="AB6" s="3687"/>
      <c r="AC6" s="3687"/>
    </row>
    <row r="7" spans="1:29" s="1165" customFormat="1" ht="15.75" thickBot="1">
      <c r="A7" s="2548"/>
      <c r="B7" s="2555"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97" t="s">
        <v>513</v>
      </c>
      <c r="Q7" s="3697"/>
      <c r="R7" s="1456" t="s">
        <v>8</v>
      </c>
      <c r="S7" s="1457">
        <f t="shared" ref="S7:S15" si="0">F7</f>
        <v>0</v>
      </c>
      <c r="T7" s="1456" t="s">
        <v>8</v>
      </c>
      <c r="U7" s="1457">
        <f t="shared" ref="U7:U15" si="1">H7</f>
        <v>0</v>
      </c>
      <c r="V7" s="1456" t="s">
        <v>8</v>
      </c>
      <c r="W7" s="1457">
        <f t="shared" ref="W7:W15" si="2">J7</f>
        <v>0</v>
      </c>
      <c r="X7" s="1458"/>
      <c r="Y7" s="3688" t="s">
        <v>513</v>
      </c>
      <c r="Z7" s="3689"/>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97" t="s">
        <v>516</v>
      </c>
      <c r="Q8" s="3689"/>
      <c r="R8" s="1456" t="s">
        <v>8</v>
      </c>
      <c r="S8" s="1457">
        <f t="shared" si="0"/>
        <v>0</v>
      </c>
      <c r="T8" s="1456" t="s">
        <v>8</v>
      </c>
      <c r="U8" s="1457">
        <f t="shared" si="1"/>
        <v>0</v>
      </c>
      <c r="V8" s="1456" t="s">
        <v>8</v>
      </c>
      <c r="W8" s="1457">
        <f t="shared" si="2"/>
        <v>0</v>
      </c>
      <c r="X8" s="1458"/>
      <c r="Y8" s="3688" t="s">
        <v>516</v>
      </c>
      <c r="Z8" s="3689"/>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96" t="s">
        <v>518</v>
      </c>
      <c r="Q9" s="1096" t="str">
        <f t="shared" ref="Q9:Q15" si="6">B9</f>
        <v>用途</v>
      </c>
      <c r="R9" s="1456" t="s">
        <v>8</v>
      </c>
      <c r="S9" s="1457">
        <f t="shared" si="0"/>
        <v>100</v>
      </c>
      <c r="T9" s="1456" t="s">
        <v>8</v>
      </c>
      <c r="U9" s="1457">
        <f t="shared" si="1"/>
        <v>100</v>
      </c>
      <c r="V9" s="1456" t="s">
        <v>8</v>
      </c>
      <c r="W9" s="1457">
        <f t="shared" si="2"/>
        <v>100</v>
      </c>
      <c r="X9" s="1458"/>
      <c r="Y9" s="364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96"/>
      <c r="Q10" s="1096" t="str">
        <f t="shared" si="6"/>
        <v>土地使用年限（年）</v>
      </c>
      <c r="R10" s="1456" t="s">
        <v>8</v>
      </c>
      <c r="S10" s="1457">
        <f t="shared" si="0"/>
        <v>100</v>
      </c>
      <c r="T10" s="1456" t="s">
        <v>8</v>
      </c>
      <c r="U10" s="1457">
        <f t="shared" si="1"/>
        <v>100</v>
      </c>
      <c r="V10" s="1456" t="s">
        <v>8</v>
      </c>
      <c r="W10" s="1457">
        <f t="shared" si="2"/>
        <v>100</v>
      </c>
      <c r="X10" s="1458"/>
      <c r="Y10" s="3648"/>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96"/>
      <c r="Q11" s="1096" t="str">
        <f t="shared" si="6"/>
        <v>容积率</v>
      </c>
      <c r="R11" s="1456" t="s">
        <v>8</v>
      </c>
      <c r="S11" s="1457" t="e">
        <f t="shared" si="0"/>
        <v>#N/A</v>
      </c>
      <c r="T11" s="1456" t="s">
        <v>8</v>
      </c>
      <c r="U11" s="1457" t="e">
        <f t="shared" si="1"/>
        <v>#N/A</v>
      </c>
      <c r="V11" s="1456" t="s">
        <v>8</v>
      </c>
      <c r="W11" s="1457" t="e">
        <f t="shared" si="2"/>
        <v>#N/A</v>
      </c>
      <c r="X11" s="1458"/>
      <c r="Y11" s="3648"/>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96"/>
      <c r="Q12" s="1096">
        <f t="shared" si="6"/>
        <v>111</v>
      </c>
      <c r="R12" s="1456" t="s">
        <v>8</v>
      </c>
      <c r="S12" s="1457">
        <f t="shared" si="0"/>
        <v>100</v>
      </c>
      <c r="T12" s="1456" t="s">
        <v>8</v>
      </c>
      <c r="U12" s="1457">
        <f t="shared" si="1"/>
        <v>100</v>
      </c>
      <c r="V12" s="1456" t="s">
        <v>8</v>
      </c>
      <c r="W12" s="1457">
        <f t="shared" si="2"/>
        <v>100</v>
      </c>
      <c r="X12" s="1458"/>
      <c r="Y12" s="3648"/>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96"/>
      <c r="Q13" s="1096">
        <f t="shared" si="6"/>
        <v>111</v>
      </c>
      <c r="R13" s="1456" t="s">
        <v>8</v>
      </c>
      <c r="S13" s="1457">
        <f t="shared" si="0"/>
        <v>100</v>
      </c>
      <c r="T13" s="1456" t="s">
        <v>8</v>
      </c>
      <c r="U13" s="1457">
        <f t="shared" si="1"/>
        <v>100</v>
      </c>
      <c r="V13" s="1456" t="s">
        <v>8</v>
      </c>
      <c r="W13" s="1457">
        <f t="shared" si="2"/>
        <v>100</v>
      </c>
      <c r="X13" s="1458"/>
      <c r="Y13" s="3648"/>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96"/>
      <c r="Q14" s="1096">
        <f t="shared" si="6"/>
        <v>111</v>
      </c>
      <c r="R14" s="1456" t="s">
        <v>8</v>
      </c>
      <c r="S14" s="1457">
        <f t="shared" si="0"/>
        <v>100</v>
      </c>
      <c r="T14" s="1456" t="s">
        <v>8</v>
      </c>
      <c r="U14" s="1457">
        <f t="shared" si="1"/>
        <v>100</v>
      </c>
      <c r="V14" s="1456" t="s">
        <v>8</v>
      </c>
      <c r="W14" s="1457">
        <f t="shared" si="2"/>
        <v>100</v>
      </c>
      <c r="X14" s="1458"/>
      <c r="Y14" s="3648"/>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698" t="s">
        <v>523</v>
      </c>
      <c r="Q15" s="1460" t="str">
        <f t="shared" si="6"/>
        <v>办公集聚程度</v>
      </c>
      <c r="R15" s="1461" t="s">
        <v>8</v>
      </c>
      <c r="S15" s="1462">
        <f t="shared" si="0"/>
        <v>100</v>
      </c>
      <c r="T15" s="1461" t="s">
        <v>8</v>
      </c>
      <c r="U15" s="1462">
        <f t="shared" si="1"/>
        <v>100</v>
      </c>
      <c r="V15" s="1461" t="s">
        <v>8</v>
      </c>
      <c r="W15" s="1462">
        <f t="shared" si="2"/>
        <v>100</v>
      </c>
      <c r="X15" s="1455"/>
      <c r="Y15" s="3698"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699"/>
      <c r="Q16" s="1460"/>
      <c r="R16" s="1461"/>
      <c r="S16" s="1462"/>
      <c r="T16" s="1461"/>
      <c r="U16" s="1462"/>
      <c r="V16" s="1461"/>
      <c r="W16" s="1462"/>
      <c r="X16" s="1455"/>
      <c r="Y16" s="3699"/>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699"/>
      <c r="Q17" s="1460" t="str">
        <f>B17</f>
        <v>交通便捷度</v>
      </c>
      <c r="R17" s="1461" t="s">
        <v>8</v>
      </c>
      <c r="S17" s="1462">
        <f>F17</f>
        <v>100</v>
      </c>
      <c r="T17" s="1461" t="s">
        <v>8</v>
      </c>
      <c r="U17" s="1462">
        <f>H17</f>
        <v>100</v>
      </c>
      <c r="V17" s="1461" t="s">
        <v>8</v>
      </c>
      <c r="W17" s="1462">
        <f>J17</f>
        <v>100</v>
      </c>
      <c r="X17" s="1455"/>
      <c r="Y17" s="3699"/>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699"/>
      <c r="Q18" s="1460"/>
      <c r="R18" s="1461"/>
      <c r="S18" s="1462"/>
      <c r="T18" s="1461"/>
      <c r="U18" s="1462"/>
      <c r="V18" s="1461"/>
      <c r="W18" s="1462"/>
      <c r="X18" s="1455"/>
      <c r="Y18" s="3699"/>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699"/>
      <c r="Q19" s="1460" t="str">
        <f>B19</f>
        <v>公共配套设施</v>
      </c>
      <c r="R19" s="1461" t="s">
        <v>8</v>
      </c>
      <c r="S19" s="1462">
        <f>F19</f>
        <v>100</v>
      </c>
      <c r="T19" s="1461" t="s">
        <v>8</v>
      </c>
      <c r="U19" s="1462">
        <f>H19</f>
        <v>100</v>
      </c>
      <c r="V19" s="1461" t="s">
        <v>8</v>
      </c>
      <c r="W19" s="1462">
        <f>J19</f>
        <v>100</v>
      </c>
      <c r="X19" s="1455"/>
      <c r="Y19" s="3699"/>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699"/>
      <c r="Q20" s="1460"/>
      <c r="R20" s="1461"/>
      <c r="S20" s="1462"/>
      <c r="T20" s="1461"/>
      <c r="U20" s="1462"/>
      <c r="V20" s="1461"/>
      <c r="W20" s="1462"/>
      <c r="X20" s="1455"/>
      <c r="Y20" s="3699"/>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699"/>
      <c r="Q21" s="2349" t="str">
        <f>B21</f>
        <v>基础设施水平</v>
      </c>
      <c r="R21" s="1461" t="s">
        <v>8</v>
      </c>
      <c r="S21" s="1462">
        <f>F21</f>
        <v>100</v>
      </c>
      <c r="T21" s="1461" t="s">
        <v>8</v>
      </c>
      <c r="U21" s="1462">
        <f>H21</f>
        <v>100</v>
      </c>
      <c r="V21" s="1461" t="s">
        <v>8</v>
      </c>
      <c r="W21" s="1462">
        <f>J21</f>
        <v>100</v>
      </c>
      <c r="X21" s="2351"/>
      <c r="Y21" s="3699"/>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699"/>
      <c r="Q22" s="2349"/>
      <c r="R22" s="1461"/>
      <c r="S22" s="1462"/>
      <c r="T22" s="1461"/>
      <c r="U22" s="1462"/>
      <c r="V22" s="1461"/>
      <c r="W22" s="1462"/>
      <c r="X22" s="2351"/>
      <c r="Y22" s="3699"/>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699"/>
      <c r="Q23" s="1460" t="str">
        <f>B23</f>
        <v>环境质量</v>
      </c>
      <c r="R23" s="1461" t="s">
        <v>8</v>
      </c>
      <c r="S23" s="1462">
        <f>F23</f>
        <v>100</v>
      </c>
      <c r="T23" s="1461" t="s">
        <v>8</v>
      </c>
      <c r="U23" s="1462">
        <f>H23</f>
        <v>100</v>
      </c>
      <c r="V23" s="1461" t="s">
        <v>8</v>
      </c>
      <c r="W23" s="1462">
        <f>J23</f>
        <v>100</v>
      </c>
      <c r="X23" s="1455"/>
      <c r="Y23" s="3699"/>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699"/>
      <c r="Q24" s="1460"/>
      <c r="R24" s="1461"/>
      <c r="S24" s="1462"/>
      <c r="T24" s="1461"/>
      <c r="U24" s="1462"/>
      <c r="V24" s="1461"/>
      <c r="W24" s="1462"/>
      <c r="X24" s="1455"/>
      <c r="Y24" s="3699"/>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699"/>
      <c r="Q25" s="1460" t="str">
        <f>B25</f>
        <v>毗邻道路的类型与等级</v>
      </c>
      <c r="R25" s="1461" t="s">
        <v>8</v>
      </c>
      <c r="S25" s="1462">
        <f>F25</f>
        <v>100</v>
      </c>
      <c r="T25" s="1461" t="s">
        <v>8</v>
      </c>
      <c r="U25" s="1462">
        <f>H25</f>
        <v>100</v>
      </c>
      <c r="V25" s="1461" t="s">
        <v>8</v>
      </c>
      <c r="W25" s="1462">
        <f>J25</f>
        <v>100</v>
      </c>
      <c r="X25" s="1455"/>
      <c r="Y25" s="3699"/>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699"/>
      <c r="Q26" s="1460"/>
      <c r="R26" s="1461"/>
      <c r="S26" s="1462"/>
      <c r="T26" s="1461"/>
      <c r="U26" s="1462"/>
      <c r="V26" s="1461"/>
      <c r="W26" s="1462"/>
      <c r="X26" s="1455"/>
      <c r="Y26" s="3699"/>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99"/>
      <c r="Q27" s="1460" t="str">
        <f t="shared" ref="Q27:Q47" si="11">B27</f>
        <v>楼层</v>
      </c>
      <c r="R27" s="1461" t="s">
        <v>8</v>
      </c>
      <c r="S27" s="1462">
        <f>F27</f>
        <v>100</v>
      </c>
      <c r="T27" s="1461" t="s">
        <v>8</v>
      </c>
      <c r="U27" s="1462">
        <f>H27</f>
        <v>100</v>
      </c>
      <c r="V27" s="1461" t="s">
        <v>8</v>
      </c>
      <c r="W27" s="1462">
        <f>J27</f>
        <v>100</v>
      </c>
      <c r="X27" s="1455"/>
      <c r="Y27" s="3699"/>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699"/>
      <c r="Q28" s="1096" t="str">
        <f t="shared" si="11"/>
        <v>朝向</v>
      </c>
      <c r="R28" s="1456" t="s">
        <v>8</v>
      </c>
      <c r="S28" s="1457">
        <f>F28</f>
        <v>100</v>
      </c>
      <c r="T28" s="1456" t="s">
        <v>8</v>
      </c>
      <c r="U28" s="1457">
        <f>H28</f>
        <v>100</v>
      </c>
      <c r="V28" s="1456" t="s">
        <v>8</v>
      </c>
      <c r="W28" s="1457">
        <f>J28</f>
        <v>100</v>
      </c>
      <c r="X28" s="1458"/>
      <c r="Y28" s="3699"/>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699"/>
      <c r="Q29" s="1460">
        <f t="shared" si="11"/>
        <v>111</v>
      </c>
      <c r="R29" s="1461" t="s">
        <v>8</v>
      </c>
      <c r="S29" s="1462">
        <f t="shared" ref="S29:S47" si="12">F29</f>
        <v>100</v>
      </c>
      <c r="T29" s="1461" t="s">
        <v>8</v>
      </c>
      <c r="U29" s="1462">
        <f t="shared" ref="U29:U47" si="13">H29</f>
        <v>100</v>
      </c>
      <c r="V29" s="1461" t="s">
        <v>8</v>
      </c>
      <c r="W29" s="1462">
        <f t="shared" ref="W29:W47" si="14">J29</f>
        <v>100</v>
      </c>
      <c r="X29" s="1455"/>
      <c r="Y29" s="3699"/>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699"/>
      <c r="Q30" s="1460">
        <f t="shared" si="11"/>
        <v>111</v>
      </c>
      <c r="R30" s="1461" t="s">
        <v>8</v>
      </c>
      <c r="S30" s="1462">
        <f t="shared" si="12"/>
        <v>100</v>
      </c>
      <c r="T30" s="1461" t="s">
        <v>8</v>
      </c>
      <c r="U30" s="1462">
        <f t="shared" si="13"/>
        <v>100</v>
      </c>
      <c r="V30" s="1461" t="s">
        <v>8</v>
      </c>
      <c r="W30" s="1462">
        <f t="shared" si="14"/>
        <v>100</v>
      </c>
      <c r="X30" s="1455"/>
      <c r="Y30" s="3699"/>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699"/>
      <c r="Q31" s="1460">
        <f t="shared" si="11"/>
        <v>111</v>
      </c>
      <c r="R31" s="1461" t="s">
        <v>8</v>
      </c>
      <c r="S31" s="1462">
        <f t="shared" si="12"/>
        <v>100</v>
      </c>
      <c r="T31" s="1461" t="s">
        <v>8</v>
      </c>
      <c r="U31" s="1462">
        <f t="shared" si="13"/>
        <v>100</v>
      </c>
      <c r="V31" s="1461" t="s">
        <v>8</v>
      </c>
      <c r="W31" s="1462">
        <f t="shared" si="14"/>
        <v>100</v>
      </c>
      <c r="X31" s="1455"/>
      <c r="Y31" s="3699"/>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699"/>
      <c r="Q32" s="1460">
        <f t="shared" si="11"/>
        <v>111</v>
      </c>
      <c r="R32" s="1461" t="s">
        <v>8</v>
      </c>
      <c r="S32" s="1462">
        <f t="shared" si="12"/>
        <v>100</v>
      </c>
      <c r="T32" s="1461" t="s">
        <v>8</v>
      </c>
      <c r="U32" s="1462">
        <f t="shared" si="13"/>
        <v>100</v>
      </c>
      <c r="V32" s="1461" t="s">
        <v>8</v>
      </c>
      <c r="W32" s="1462">
        <f t="shared" si="14"/>
        <v>100</v>
      </c>
      <c r="X32" s="1455"/>
      <c r="Y32" s="3699"/>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700" t="s">
        <v>533</v>
      </c>
      <c r="Q33" s="1460" t="str">
        <f t="shared" si="11"/>
        <v>建筑类型</v>
      </c>
      <c r="R33" s="1461" t="s">
        <v>8</v>
      </c>
      <c r="S33" s="1462">
        <f t="shared" si="12"/>
        <v>100</v>
      </c>
      <c r="T33" s="1461" t="s">
        <v>8</v>
      </c>
      <c r="U33" s="1462">
        <f t="shared" si="13"/>
        <v>100</v>
      </c>
      <c r="V33" s="1461" t="s">
        <v>8</v>
      </c>
      <c r="W33" s="1462">
        <f t="shared" si="14"/>
        <v>100</v>
      </c>
      <c r="X33" s="1455"/>
      <c r="Y33" s="3701"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701"/>
      <c r="Q34" s="1489" t="str">
        <f t="shared" si="11"/>
        <v>项目建筑规模</v>
      </c>
      <c r="R34" s="1465" t="s">
        <v>8</v>
      </c>
      <c r="S34" s="1466" t="e">
        <f t="shared" si="12"/>
        <v>#N/A</v>
      </c>
      <c r="T34" s="1465" t="s">
        <v>8</v>
      </c>
      <c r="U34" s="1466" t="e">
        <f t="shared" si="13"/>
        <v>#N/A</v>
      </c>
      <c r="V34" s="1465" t="s">
        <v>8</v>
      </c>
      <c r="W34" s="1466" t="e">
        <f t="shared" si="14"/>
        <v>#N/A</v>
      </c>
      <c r="X34" s="1467"/>
      <c r="Y34" s="3701"/>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701"/>
      <c r="Q35" s="1460" t="str">
        <f t="shared" si="11"/>
        <v>建筑结构</v>
      </c>
      <c r="R35" s="1461" t="s">
        <v>8</v>
      </c>
      <c r="S35" s="1462">
        <f t="shared" si="12"/>
        <v>100</v>
      </c>
      <c r="T35" s="1461" t="s">
        <v>8</v>
      </c>
      <c r="U35" s="1462">
        <f t="shared" si="13"/>
        <v>100</v>
      </c>
      <c r="V35" s="1461" t="s">
        <v>8</v>
      </c>
      <c r="W35" s="1462">
        <f t="shared" si="14"/>
        <v>100</v>
      </c>
      <c r="X35" s="1455"/>
      <c r="Y35" s="3701"/>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701"/>
      <c r="Q36" s="1460" t="str">
        <f t="shared" si="11"/>
        <v>公共部分装修</v>
      </c>
      <c r="R36" s="1461" t="s">
        <v>8</v>
      </c>
      <c r="S36" s="1462">
        <f t="shared" si="12"/>
        <v>100</v>
      </c>
      <c r="T36" s="1461" t="s">
        <v>8</v>
      </c>
      <c r="U36" s="1462">
        <f t="shared" si="13"/>
        <v>100</v>
      </c>
      <c r="V36" s="1461" t="s">
        <v>8</v>
      </c>
      <c r="W36" s="1462">
        <f t="shared" si="14"/>
        <v>100</v>
      </c>
      <c r="X36" s="1455"/>
      <c r="Y36" s="3701"/>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701"/>
      <c r="Q37" s="1460" t="str">
        <f t="shared" si="11"/>
        <v>成新度</v>
      </c>
      <c r="R37" s="1461" t="s">
        <v>8</v>
      </c>
      <c r="S37" s="1462" t="e">
        <f t="shared" si="12"/>
        <v>#N/A</v>
      </c>
      <c r="T37" s="1461" t="s">
        <v>8</v>
      </c>
      <c r="U37" s="1462" t="e">
        <f t="shared" si="13"/>
        <v>#N/A</v>
      </c>
      <c r="V37" s="1461" t="s">
        <v>8</v>
      </c>
      <c r="W37" s="1462" t="e">
        <f t="shared" si="14"/>
        <v>#N/A</v>
      </c>
      <c r="X37" s="1455"/>
      <c r="Y37" s="3701"/>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701"/>
      <c r="Q38" s="1096" t="str">
        <f t="shared" si="11"/>
        <v>写字楼等级</v>
      </c>
      <c r="R38" s="1456" t="s">
        <v>8</v>
      </c>
      <c r="S38" s="1457">
        <f t="shared" si="12"/>
        <v>100</v>
      </c>
      <c r="T38" s="1456" t="s">
        <v>8</v>
      </c>
      <c r="U38" s="1457">
        <f t="shared" si="13"/>
        <v>100</v>
      </c>
      <c r="V38" s="1456" t="s">
        <v>8</v>
      </c>
      <c r="W38" s="1457">
        <f t="shared" si="14"/>
        <v>100</v>
      </c>
      <c r="X38" s="1458"/>
      <c r="Y38" s="3701"/>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701" t="s">
        <v>533</v>
      </c>
      <c r="Q39" s="1460" t="str">
        <f t="shared" si="11"/>
        <v>物业管理</v>
      </c>
      <c r="R39" s="1461" t="s">
        <v>8</v>
      </c>
      <c r="S39" s="1462">
        <f t="shared" si="12"/>
        <v>100</v>
      </c>
      <c r="T39" s="1461" t="s">
        <v>8</v>
      </c>
      <c r="U39" s="1462">
        <f t="shared" si="13"/>
        <v>100</v>
      </c>
      <c r="V39" s="1461" t="s">
        <v>8</v>
      </c>
      <c r="W39" s="1462">
        <f t="shared" si="14"/>
        <v>100</v>
      </c>
      <c r="X39" s="1455"/>
      <c r="Y39" s="3701"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701"/>
      <c r="Q40" s="1460" t="str">
        <f t="shared" si="11"/>
        <v>市政基础设施</v>
      </c>
      <c r="R40" s="1461" t="s">
        <v>8</v>
      </c>
      <c r="S40" s="1462">
        <f t="shared" si="12"/>
        <v>100</v>
      </c>
      <c r="T40" s="1461" t="s">
        <v>8</v>
      </c>
      <c r="U40" s="1462">
        <f t="shared" si="13"/>
        <v>100</v>
      </c>
      <c r="V40" s="1461" t="s">
        <v>8</v>
      </c>
      <c r="W40" s="1462">
        <f t="shared" si="14"/>
        <v>100</v>
      </c>
      <c r="X40" s="1455"/>
      <c r="Y40" s="3701"/>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701"/>
      <c r="Q41" s="1460" t="str">
        <f t="shared" si="11"/>
        <v>层高</v>
      </c>
      <c r="R41" s="1461" t="s">
        <v>8</v>
      </c>
      <c r="S41" s="1462">
        <f t="shared" si="12"/>
        <v>100</v>
      </c>
      <c r="T41" s="1461" t="s">
        <v>8</v>
      </c>
      <c r="U41" s="1462">
        <f t="shared" si="13"/>
        <v>100</v>
      </c>
      <c r="V41" s="1461" t="s">
        <v>8</v>
      </c>
      <c r="W41" s="1462">
        <f t="shared" si="14"/>
        <v>100</v>
      </c>
      <c r="X41" s="1455"/>
      <c r="Y41" s="3701"/>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701"/>
      <c r="Q42" s="1489" t="str">
        <f t="shared" si="11"/>
        <v>单套建筑面积</v>
      </c>
      <c r="R42" s="1465" t="s">
        <v>8</v>
      </c>
      <c r="S42" s="1466">
        <f t="shared" si="12"/>
        <v>100</v>
      </c>
      <c r="T42" s="1465" t="s">
        <v>8</v>
      </c>
      <c r="U42" s="1466">
        <f t="shared" si="13"/>
        <v>100</v>
      </c>
      <c r="V42" s="1465" t="s">
        <v>8</v>
      </c>
      <c r="W42" s="1466">
        <f t="shared" si="14"/>
        <v>100</v>
      </c>
      <c r="X42" s="1467"/>
      <c r="Y42" s="3701"/>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701"/>
      <c r="Q43" s="1460" t="str">
        <f t="shared" si="11"/>
        <v>内部装修</v>
      </c>
      <c r="R43" s="1461" t="s">
        <v>8</v>
      </c>
      <c r="S43" s="1462">
        <f t="shared" si="12"/>
        <v>100</v>
      </c>
      <c r="T43" s="1461" t="s">
        <v>8</v>
      </c>
      <c r="U43" s="1462">
        <f t="shared" si="13"/>
        <v>100</v>
      </c>
      <c r="V43" s="1461" t="s">
        <v>8</v>
      </c>
      <c r="W43" s="1462">
        <f t="shared" si="14"/>
        <v>100</v>
      </c>
      <c r="X43" s="1455"/>
      <c r="Y43" s="3701"/>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701"/>
      <c r="Q44" s="1460" t="str">
        <f t="shared" si="11"/>
        <v>内部装修维护情况</v>
      </c>
      <c r="R44" s="1461" t="s">
        <v>8</v>
      </c>
      <c r="S44" s="1462">
        <f t="shared" si="12"/>
        <v>100</v>
      </c>
      <c r="T44" s="1461" t="s">
        <v>8</v>
      </c>
      <c r="U44" s="1462">
        <f t="shared" si="13"/>
        <v>100</v>
      </c>
      <c r="V44" s="1461" t="s">
        <v>8</v>
      </c>
      <c r="W44" s="1462">
        <f t="shared" si="14"/>
        <v>100</v>
      </c>
      <c r="X44" s="1455"/>
      <c r="Y44" s="3701"/>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701"/>
      <c r="Q45" s="1096">
        <f t="shared" si="11"/>
        <v>111</v>
      </c>
      <c r="R45" s="1456" t="s">
        <v>8</v>
      </c>
      <c r="S45" s="1457">
        <f t="shared" si="12"/>
        <v>100</v>
      </c>
      <c r="T45" s="1456" t="s">
        <v>8</v>
      </c>
      <c r="U45" s="1457">
        <f t="shared" si="13"/>
        <v>100</v>
      </c>
      <c r="V45" s="1456" t="s">
        <v>8</v>
      </c>
      <c r="W45" s="1457">
        <f t="shared" si="14"/>
        <v>100</v>
      </c>
      <c r="X45" s="1458"/>
      <c r="Y45" s="3701"/>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701"/>
      <c r="Q46" s="1460">
        <f t="shared" si="11"/>
        <v>111</v>
      </c>
      <c r="R46" s="1461" t="s">
        <v>8</v>
      </c>
      <c r="S46" s="1462">
        <f t="shared" si="12"/>
        <v>100</v>
      </c>
      <c r="T46" s="1461" t="s">
        <v>8</v>
      </c>
      <c r="U46" s="1462">
        <f t="shared" si="13"/>
        <v>100</v>
      </c>
      <c r="V46" s="1461" t="s">
        <v>8</v>
      </c>
      <c r="W46" s="1462">
        <f t="shared" si="14"/>
        <v>100</v>
      </c>
      <c r="X46" s="1455"/>
      <c r="Y46" s="3701"/>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15"/>
      <c r="Q47" s="1460">
        <f t="shared" si="11"/>
        <v>111</v>
      </c>
      <c r="R47" s="1461" t="s">
        <v>8</v>
      </c>
      <c r="S47" s="1462">
        <f t="shared" si="12"/>
        <v>100</v>
      </c>
      <c r="T47" s="1461" t="s">
        <v>8</v>
      </c>
      <c r="U47" s="1462">
        <f t="shared" si="13"/>
        <v>100</v>
      </c>
      <c r="V47" s="1461" t="s">
        <v>8</v>
      </c>
      <c r="W47" s="1462">
        <f t="shared" si="14"/>
        <v>100</v>
      </c>
      <c r="X47" s="1455"/>
      <c r="Y47" s="3815"/>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703" t="str">
        <f>A48</f>
        <v>成交单价（元/平方米）</v>
      </c>
      <c r="Q48" s="3696"/>
      <c r="R48" s="3814">
        <f>E48</f>
        <v>0</v>
      </c>
      <c r="S48" s="3814"/>
      <c r="T48" s="3814">
        <f>G48</f>
        <v>0</v>
      </c>
      <c r="U48" s="3814"/>
      <c r="V48" s="3814">
        <f>I48</f>
        <v>0</v>
      </c>
      <c r="W48" s="3814"/>
      <c r="X48" s="1450"/>
      <c r="Y48" s="1469"/>
      <c r="Z48" s="1450"/>
      <c r="AA48" s="1450"/>
      <c r="AB48" s="1450"/>
      <c r="AC48" s="1450"/>
    </row>
    <row r="49" spans="1:29" ht="15.75" thickBot="1">
      <c r="A49" s="592" t="s">
        <v>2476</v>
      </c>
      <c r="B49" s="858"/>
      <c r="C49" s="2396" t="e">
        <f>R50</f>
        <v>#DIV/0!</v>
      </c>
      <c r="D49" s="2919" t="s">
        <v>2700</v>
      </c>
      <c r="E49" s="2397" t="e">
        <f>R49</f>
        <v>#DIV/0!</v>
      </c>
      <c r="F49" s="2920"/>
      <c r="G49" s="2396" t="e">
        <f>T49</f>
        <v>#DIV/0!</v>
      </c>
      <c r="H49" s="2920"/>
      <c r="I49" s="2397" t="e">
        <f>V49</f>
        <v>#DIV/0!</v>
      </c>
      <c r="J49" s="2920"/>
      <c r="K49" s="2928">
        <f>F49+H49+J49</f>
        <v>0</v>
      </c>
      <c r="L49" s="1978"/>
      <c r="M49" s="1968"/>
      <c r="N49" s="1968"/>
      <c r="O49" s="1968"/>
      <c r="P49" s="3703" t="str">
        <f>A49</f>
        <v>比较价格（元/平方米）</v>
      </c>
      <c r="Q49" s="3696"/>
      <c r="R49" s="3814" t="e">
        <f>IF(F1="售价",ROUND(PRODUCT(R48,AA7:AA47),0),ROUND(PRODUCT(R48,AA7:AA47),1))</f>
        <v>#DIV/0!</v>
      </c>
      <c r="S49" s="3814"/>
      <c r="T49" s="3814" t="e">
        <f>IF(F1="售价",ROUND(PRODUCT(T48,AB7:AB47),0),ROUND(PRODUCT(T48,AB7:AB47),1))</f>
        <v>#DIV/0!</v>
      </c>
      <c r="U49" s="3814"/>
      <c r="V49" s="3814" t="e">
        <f>IF(F1="售价",ROUND(PRODUCT(V48,AC7:AC47),0),ROUND(PRODUCT(V48,AC7:AC47),1))</f>
        <v>#DIV/0!</v>
      </c>
      <c r="W49" s="3814"/>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19" t="str">
        <f>A50</f>
        <v>估价对象XX用房的比较价格（楼面单价，元/平方米）</v>
      </c>
      <c r="Q50" s="3703"/>
      <c r="R50" s="3813" t="e">
        <f>IF(F1="售价",ROUND(IF(D49="简单平均",AVERAGE(R49:V49),R49*F49+T49*H49+V49*J49),0),ROUND(IF(D49="简单平均",AVERAGE(R49:V49),R49*F49+T49*H49+V49*J49),1))</f>
        <v>#DIV/0!</v>
      </c>
      <c r="S50" s="3813"/>
      <c r="T50" s="3813"/>
      <c r="U50" s="3813"/>
      <c r="V50" s="3813"/>
      <c r="W50" s="3813"/>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2022-11</v>
      </c>
      <c r="D59" s="2441">
        <f>EDATE(C59,-1)</f>
        <v>44835</v>
      </c>
      <c r="E59" s="2441">
        <f t="shared" ref="E59:O59" si="16">EDATE(D59,-1)</f>
        <v>44805</v>
      </c>
      <c r="F59" s="2441">
        <f t="shared" si="16"/>
        <v>44774</v>
      </c>
      <c r="G59" s="2441">
        <f t="shared" si="16"/>
        <v>44743</v>
      </c>
      <c r="H59" s="2441">
        <f t="shared" si="16"/>
        <v>44713</v>
      </c>
      <c r="I59" s="2441">
        <f t="shared" si="16"/>
        <v>44682</v>
      </c>
      <c r="J59" s="2441">
        <f t="shared" si="16"/>
        <v>44652</v>
      </c>
      <c r="K59" s="2441">
        <f t="shared" si="16"/>
        <v>44621</v>
      </c>
      <c r="L59" s="2441">
        <f t="shared" si="16"/>
        <v>44593</v>
      </c>
      <c r="M59" s="2441">
        <f t="shared" si="16"/>
        <v>44562</v>
      </c>
      <c r="N59" s="2441">
        <f t="shared" si="16"/>
        <v>44531</v>
      </c>
      <c r="O59" s="2441">
        <f t="shared" si="16"/>
        <v>44501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704" t="s">
        <v>505</v>
      </c>
      <c r="D4" s="3705"/>
      <c r="E4" s="3732" t="s">
        <v>506</v>
      </c>
      <c r="F4" s="3733"/>
      <c r="G4" s="3704" t="s">
        <v>507</v>
      </c>
      <c r="H4" s="3705"/>
      <c r="I4" s="3704" t="s">
        <v>508</v>
      </c>
      <c r="J4" s="3705"/>
      <c r="K4" s="491" t="s">
        <v>509</v>
      </c>
      <c r="L4" s="1967"/>
      <c r="M4" s="1968"/>
      <c r="N4" s="1968"/>
      <c r="O4" s="1968"/>
      <c r="P4" s="3706" t="s">
        <v>510</v>
      </c>
      <c r="Q4" s="3707"/>
      <c r="R4" s="3690" t="s">
        <v>506</v>
      </c>
      <c r="S4" s="3691"/>
      <c r="T4" s="3690" t="s">
        <v>507</v>
      </c>
      <c r="U4" s="3691"/>
      <c r="V4" s="3712" t="s">
        <v>508</v>
      </c>
      <c r="W4" s="3712"/>
      <c r="X4" s="1455"/>
      <c r="Y4" s="3690" t="s">
        <v>510</v>
      </c>
      <c r="Z4" s="3691"/>
      <c r="AA4" s="3685" t="s">
        <v>506</v>
      </c>
      <c r="AB4" s="3686" t="s">
        <v>507</v>
      </c>
      <c r="AC4" s="3685" t="s">
        <v>508</v>
      </c>
    </row>
    <row r="5" spans="1:29" ht="15">
      <c r="A5" s="492"/>
      <c r="B5" s="493"/>
      <c r="C5" s="3715" t="s">
        <v>2630</v>
      </c>
      <c r="D5" s="3716"/>
      <c r="E5" s="3734" t="s">
        <v>2631</v>
      </c>
      <c r="F5" s="3735"/>
      <c r="G5" s="3715" t="s">
        <v>2632</v>
      </c>
      <c r="H5" s="3716"/>
      <c r="I5" s="3715" t="s">
        <v>2633</v>
      </c>
      <c r="J5" s="3716"/>
      <c r="K5" s="491"/>
      <c r="L5" s="1967"/>
      <c r="M5" s="1968"/>
      <c r="N5" s="1968"/>
      <c r="O5" s="1968"/>
      <c r="P5" s="3708"/>
      <c r="Q5" s="3709"/>
      <c r="R5" s="3692"/>
      <c r="S5" s="3693"/>
      <c r="T5" s="3692"/>
      <c r="U5" s="3693"/>
      <c r="V5" s="3712"/>
      <c r="W5" s="3712"/>
      <c r="X5" s="1455"/>
      <c r="Y5" s="3692"/>
      <c r="Z5" s="3693"/>
      <c r="AA5" s="3686"/>
      <c r="AB5" s="3686"/>
      <c r="AC5" s="3686"/>
    </row>
    <row r="6" spans="1:29" ht="15.75" thickBot="1">
      <c r="A6" s="494"/>
      <c r="B6" s="495"/>
      <c r="C6" s="3713" t="s">
        <v>2634</v>
      </c>
      <c r="D6" s="3714"/>
      <c r="E6" s="3736" t="s">
        <v>2634</v>
      </c>
      <c r="F6" s="3737"/>
      <c r="G6" s="3713" t="s">
        <v>2634</v>
      </c>
      <c r="H6" s="3714"/>
      <c r="I6" s="3713" t="s">
        <v>2634</v>
      </c>
      <c r="J6" s="3714"/>
      <c r="K6" s="491" t="s">
        <v>511</v>
      </c>
      <c r="L6" s="1967"/>
      <c r="M6" s="1968"/>
      <c r="N6" s="1968"/>
      <c r="O6" s="1968"/>
      <c r="P6" s="3710"/>
      <c r="Q6" s="3711"/>
      <c r="R6" s="3692"/>
      <c r="S6" s="3693"/>
      <c r="T6" s="3694"/>
      <c r="U6" s="3695"/>
      <c r="V6" s="3712"/>
      <c r="W6" s="3712"/>
      <c r="X6" s="1455"/>
      <c r="Y6" s="3694"/>
      <c r="Z6" s="3695"/>
      <c r="AA6" s="3687"/>
      <c r="AB6" s="3687"/>
      <c r="AC6" s="3687"/>
    </row>
    <row r="7" spans="1:29" s="1165" customFormat="1" ht="15.75" thickBot="1">
      <c r="A7" s="2548"/>
      <c r="B7" s="2555"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88" t="s">
        <v>513</v>
      </c>
      <c r="Q7" s="3697"/>
      <c r="R7" s="1456" t="s">
        <v>8</v>
      </c>
      <c r="S7" s="1457">
        <f t="shared" ref="S7:S15" si="0">F7</f>
        <v>0</v>
      </c>
      <c r="T7" s="1456" t="s">
        <v>8</v>
      </c>
      <c r="U7" s="1457">
        <f t="shared" ref="U7:U15" si="1">H7</f>
        <v>0</v>
      </c>
      <c r="V7" s="1456" t="s">
        <v>8</v>
      </c>
      <c r="W7" s="1457">
        <f t="shared" ref="W7:W15" si="2">J7</f>
        <v>0</v>
      </c>
      <c r="X7" s="1458"/>
      <c r="Y7" s="3688" t="s">
        <v>513</v>
      </c>
      <c r="Z7" s="3689"/>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88" t="s">
        <v>516</v>
      </c>
      <c r="Q8" s="3689"/>
      <c r="R8" s="1456" t="s">
        <v>8</v>
      </c>
      <c r="S8" s="1457">
        <f t="shared" si="0"/>
        <v>0</v>
      </c>
      <c r="T8" s="1456" t="s">
        <v>8</v>
      </c>
      <c r="U8" s="1457">
        <f t="shared" si="1"/>
        <v>0</v>
      </c>
      <c r="V8" s="1456" t="s">
        <v>8</v>
      </c>
      <c r="W8" s="1457">
        <f t="shared" si="2"/>
        <v>0</v>
      </c>
      <c r="X8" s="1458"/>
      <c r="Y8" s="3688" t="s">
        <v>516</v>
      </c>
      <c r="Z8" s="3689"/>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96" t="s">
        <v>518</v>
      </c>
      <c r="Q9" s="1096" t="str">
        <f t="shared" ref="Q9:Q15" si="6">B9</f>
        <v>用途</v>
      </c>
      <c r="R9" s="1456" t="s">
        <v>8</v>
      </c>
      <c r="S9" s="1457">
        <f t="shared" si="0"/>
        <v>100</v>
      </c>
      <c r="T9" s="1456" t="s">
        <v>8</v>
      </c>
      <c r="U9" s="1457">
        <f t="shared" si="1"/>
        <v>100</v>
      </c>
      <c r="V9" s="1456" t="s">
        <v>8</v>
      </c>
      <c r="W9" s="1457">
        <f t="shared" si="2"/>
        <v>100</v>
      </c>
      <c r="X9" s="1458"/>
      <c r="Y9" s="364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96"/>
      <c r="Q10" s="1096" t="str">
        <f t="shared" si="6"/>
        <v>土地使用年限（年）</v>
      </c>
      <c r="R10" s="1456" t="s">
        <v>8</v>
      </c>
      <c r="S10" s="1457">
        <f t="shared" si="0"/>
        <v>100</v>
      </c>
      <c r="T10" s="1456" t="s">
        <v>8</v>
      </c>
      <c r="U10" s="1457">
        <f t="shared" si="1"/>
        <v>100</v>
      </c>
      <c r="V10" s="1456" t="s">
        <v>8</v>
      </c>
      <c r="W10" s="1457">
        <f t="shared" si="2"/>
        <v>100</v>
      </c>
      <c r="X10" s="1458"/>
      <c r="Y10" s="3648"/>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96"/>
      <c r="Q11" s="1096" t="str">
        <f t="shared" si="6"/>
        <v>容积率</v>
      </c>
      <c r="R11" s="1456" t="s">
        <v>8</v>
      </c>
      <c r="S11" s="1457" t="e">
        <f t="shared" si="0"/>
        <v>#N/A</v>
      </c>
      <c r="T11" s="1456" t="s">
        <v>8</v>
      </c>
      <c r="U11" s="1457" t="e">
        <f t="shared" si="1"/>
        <v>#N/A</v>
      </c>
      <c r="V11" s="1456" t="s">
        <v>8</v>
      </c>
      <c r="W11" s="1457" t="e">
        <f t="shared" si="2"/>
        <v>#N/A</v>
      </c>
      <c r="X11" s="1458"/>
      <c r="Y11" s="3648"/>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96"/>
      <c r="Q12" s="1096">
        <f t="shared" si="6"/>
        <v>111</v>
      </c>
      <c r="R12" s="1456" t="s">
        <v>8</v>
      </c>
      <c r="S12" s="1457">
        <f t="shared" si="0"/>
        <v>100</v>
      </c>
      <c r="T12" s="1456" t="s">
        <v>8</v>
      </c>
      <c r="U12" s="1457">
        <f t="shared" si="1"/>
        <v>100</v>
      </c>
      <c r="V12" s="1456" t="s">
        <v>8</v>
      </c>
      <c r="W12" s="1457">
        <f t="shared" si="2"/>
        <v>100</v>
      </c>
      <c r="X12" s="1458"/>
      <c r="Y12" s="3648"/>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96"/>
      <c r="Q13" s="1096">
        <f t="shared" si="6"/>
        <v>111</v>
      </c>
      <c r="R13" s="1456" t="s">
        <v>8</v>
      </c>
      <c r="S13" s="1457">
        <f t="shared" si="0"/>
        <v>100</v>
      </c>
      <c r="T13" s="1456" t="s">
        <v>8</v>
      </c>
      <c r="U13" s="1457">
        <f t="shared" si="1"/>
        <v>100</v>
      </c>
      <c r="V13" s="1456" t="s">
        <v>8</v>
      </c>
      <c r="W13" s="1457">
        <f t="shared" si="2"/>
        <v>100</v>
      </c>
      <c r="X13" s="1458"/>
      <c r="Y13" s="3648"/>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96"/>
      <c r="Q14" s="1096">
        <f t="shared" si="6"/>
        <v>111</v>
      </c>
      <c r="R14" s="1456" t="s">
        <v>8</v>
      </c>
      <c r="S14" s="1457">
        <f t="shared" si="0"/>
        <v>100</v>
      </c>
      <c r="T14" s="1456" t="s">
        <v>8</v>
      </c>
      <c r="U14" s="1457">
        <f t="shared" si="1"/>
        <v>100</v>
      </c>
      <c r="V14" s="1456" t="s">
        <v>8</v>
      </c>
      <c r="W14" s="1457">
        <f t="shared" si="2"/>
        <v>100</v>
      </c>
      <c r="X14" s="1458"/>
      <c r="Y14" s="3648"/>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698" t="s">
        <v>523</v>
      </c>
      <c r="Q15" s="1460" t="str">
        <f t="shared" si="6"/>
        <v>产业集聚程度</v>
      </c>
      <c r="R15" s="1461" t="s">
        <v>8</v>
      </c>
      <c r="S15" s="1462">
        <f t="shared" si="0"/>
        <v>100</v>
      </c>
      <c r="T15" s="1461" t="s">
        <v>8</v>
      </c>
      <c r="U15" s="1462">
        <f t="shared" si="1"/>
        <v>100</v>
      </c>
      <c r="V15" s="1461" t="s">
        <v>8</v>
      </c>
      <c r="W15" s="1462">
        <f t="shared" si="2"/>
        <v>100</v>
      </c>
      <c r="X15" s="1455"/>
      <c r="Y15" s="3698"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699"/>
      <c r="Q16" s="1460"/>
      <c r="R16" s="1461"/>
      <c r="S16" s="1462"/>
      <c r="T16" s="1461"/>
      <c r="U16" s="1462"/>
      <c r="V16" s="1461"/>
      <c r="W16" s="1462"/>
      <c r="X16" s="1455"/>
      <c r="Y16" s="3699"/>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699"/>
      <c r="Q17" s="1460" t="str">
        <f>B17</f>
        <v>交通便捷度</v>
      </c>
      <c r="R17" s="1461" t="s">
        <v>8</v>
      </c>
      <c r="S17" s="1462">
        <f>F17</f>
        <v>100</v>
      </c>
      <c r="T17" s="1461" t="s">
        <v>8</v>
      </c>
      <c r="U17" s="1462">
        <f>H17</f>
        <v>100</v>
      </c>
      <c r="V17" s="1461" t="s">
        <v>8</v>
      </c>
      <c r="W17" s="1462">
        <f>J17</f>
        <v>100</v>
      </c>
      <c r="X17" s="1455"/>
      <c r="Y17" s="3699"/>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699"/>
      <c r="Q18" s="1460"/>
      <c r="R18" s="1461"/>
      <c r="S18" s="1462"/>
      <c r="T18" s="1461"/>
      <c r="U18" s="1462"/>
      <c r="V18" s="1461"/>
      <c r="W18" s="1462"/>
      <c r="X18" s="1455"/>
      <c r="Y18" s="3699"/>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699"/>
      <c r="Q19" s="1460" t="str">
        <f>B19</f>
        <v>公共配套设施</v>
      </c>
      <c r="R19" s="1461" t="s">
        <v>8</v>
      </c>
      <c r="S19" s="1462">
        <f>F19</f>
        <v>100</v>
      </c>
      <c r="T19" s="1461" t="s">
        <v>8</v>
      </c>
      <c r="U19" s="1462">
        <f>H19</f>
        <v>100</v>
      </c>
      <c r="V19" s="1461" t="s">
        <v>8</v>
      </c>
      <c r="W19" s="1462">
        <f>J19</f>
        <v>100</v>
      </c>
      <c r="X19" s="1455"/>
      <c r="Y19" s="3699"/>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699"/>
      <c r="Q20" s="1460"/>
      <c r="R20" s="1461"/>
      <c r="S20" s="1462"/>
      <c r="T20" s="1461"/>
      <c r="U20" s="1462"/>
      <c r="V20" s="1461"/>
      <c r="W20" s="1462"/>
      <c r="X20" s="1455"/>
      <c r="Y20" s="3699"/>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699"/>
      <c r="Q21" s="2349" t="str">
        <f>B21</f>
        <v>基础设施水平</v>
      </c>
      <c r="R21" s="1461" t="s">
        <v>8</v>
      </c>
      <c r="S21" s="1462">
        <f>F21</f>
        <v>100</v>
      </c>
      <c r="T21" s="1461" t="s">
        <v>8</v>
      </c>
      <c r="U21" s="1462">
        <f>H21</f>
        <v>100</v>
      </c>
      <c r="V21" s="1461" t="s">
        <v>8</v>
      </c>
      <c r="W21" s="1462">
        <f>J21</f>
        <v>100</v>
      </c>
      <c r="X21" s="2351"/>
      <c r="Y21" s="3699"/>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699"/>
      <c r="Q22" s="2349"/>
      <c r="R22" s="1461"/>
      <c r="S22" s="1462"/>
      <c r="T22" s="1461"/>
      <c r="U22" s="1462"/>
      <c r="V22" s="1461"/>
      <c r="W22" s="1462"/>
      <c r="X22" s="2351"/>
      <c r="Y22" s="3699"/>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699"/>
      <c r="Q23" s="1460" t="str">
        <f>B23</f>
        <v>环境质量</v>
      </c>
      <c r="R23" s="1461" t="s">
        <v>8</v>
      </c>
      <c r="S23" s="1462">
        <f>F23</f>
        <v>100</v>
      </c>
      <c r="T23" s="1461" t="s">
        <v>8</v>
      </c>
      <c r="U23" s="1462">
        <f>H23</f>
        <v>100</v>
      </c>
      <c r="V23" s="1461" t="s">
        <v>8</v>
      </c>
      <c r="W23" s="1462">
        <f>J23</f>
        <v>100</v>
      </c>
      <c r="X23" s="1455"/>
      <c r="Y23" s="3699"/>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699"/>
      <c r="Q24" s="1460"/>
      <c r="R24" s="1461"/>
      <c r="S24" s="1462"/>
      <c r="T24" s="1461"/>
      <c r="U24" s="1462"/>
      <c r="V24" s="1461"/>
      <c r="W24" s="1462"/>
      <c r="X24" s="1455"/>
      <c r="Y24" s="3699"/>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99"/>
      <c r="Q25" s="1460">
        <f>B25</f>
        <v>111</v>
      </c>
      <c r="R25" s="1461" t="s">
        <v>8</v>
      </c>
      <c r="S25" s="1462">
        <f>F25</f>
        <v>100</v>
      </c>
      <c r="T25" s="1461" t="s">
        <v>8</v>
      </c>
      <c r="U25" s="1462">
        <f>H25</f>
        <v>100</v>
      </c>
      <c r="V25" s="1461" t="s">
        <v>8</v>
      </c>
      <c r="W25" s="1462">
        <f>J25</f>
        <v>100</v>
      </c>
      <c r="X25" s="1455"/>
      <c r="Y25" s="3699"/>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99"/>
      <c r="Q26" s="1460">
        <f t="shared" ref="Q26:Q40" si="11">B26</f>
        <v>111</v>
      </c>
      <c r="R26" s="1461" t="s">
        <v>8</v>
      </c>
      <c r="S26" s="1462">
        <f>F26</f>
        <v>100</v>
      </c>
      <c r="T26" s="1461" t="s">
        <v>8</v>
      </c>
      <c r="U26" s="1462">
        <f>H26</f>
        <v>100</v>
      </c>
      <c r="V26" s="1461" t="s">
        <v>8</v>
      </c>
      <c r="W26" s="1462">
        <f>J26</f>
        <v>100</v>
      </c>
      <c r="X26" s="1455"/>
      <c r="Y26" s="3699"/>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99"/>
      <c r="Q27" s="1096">
        <f t="shared" si="11"/>
        <v>111</v>
      </c>
      <c r="R27" s="1456" t="s">
        <v>8</v>
      </c>
      <c r="S27" s="1457">
        <f>F27</f>
        <v>100</v>
      </c>
      <c r="T27" s="1456" t="s">
        <v>8</v>
      </c>
      <c r="U27" s="1457">
        <f>H27</f>
        <v>100</v>
      </c>
      <c r="V27" s="1456" t="s">
        <v>8</v>
      </c>
      <c r="W27" s="1457">
        <f>J27</f>
        <v>100</v>
      </c>
      <c r="X27" s="1458"/>
      <c r="Y27" s="3699"/>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699"/>
      <c r="Q28" s="1460">
        <f t="shared" si="11"/>
        <v>111</v>
      </c>
      <c r="R28" s="1461" t="s">
        <v>8</v>
      </c>
      <c r="S28" s="1462">
        <f t="shared" ref="S28:S40" si="12">F28</f>
        <v>100</v>
      </c>
      <c r="T28" s="1461" t="s">
        <v>8</v>
      </c>
      <c r="U28" s="1462">
        <f t="shared" ref="U28:U40" si="13">H28</f>
        <v>100</v>
      </c>
      <c r="V28" s="1461" t="s">
        <v>8</v>
      </c>
      <c r="W28" s="1462">
        <f t="shared" ref="W28:W40" si="14">J28</f>
        <v>100</v>
      </c>
      <c r="X28" s="1455"/>
      <c r="Y28" s="3699"/>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700" t="s">
        <v>533</v>
      </c>
      <c r="Q29" s="1460" t="str">
        <f t="shared" si="11"/>
        <v>建筑类型</v>
      </c>
      <c r="R29" s="1461" t="s">
        <v>8</v>
      </c>
      <c r="S29" s="1462">
        <f t="shared" si="12"/>
        <v>100</v>
      </c>
      <c r="T29" s="1461" t="s">
        <v>8</v>
      </c>
      <c r="U29" s="1462">
        <f t="shared" si="13"/>
        <v>100</v>
      </c>
      <c r="V29" s="1461" t="s">
        <v>8</v>
      </c>
      <c r="W29" s="1462">
        <f t="shared" si="14"/>
        <v>100</v>
      </c>
      <c r="X29" s="1455"/>
      <c r="Y29" s="3701"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701"/>
      <c r="Q30" s="1489" t="str">
        <f t="shared" si="11"/>
        <v>项目建筑规模</v>
      </c>
      <c r="R30" s="1465" t="s">
        <v>8</v>
      </c>
      <c r="S30" s="1466" t="e">
        <f t="shared" si="12"/>
        <v>#N/A</v>
      </c>
      <c r="T30" s="1465" t="s">
        <v>8</v>
      </c>
      <c r="U30" s="1466" t="e">
        <f t="shared" si="13"/>
        <v>#N/A</v>
      </c>
      <c r="V30" s="1465" t="s">
        <v>8</v>
      </c>
      <c r="W30" s="1466" t="e">
        <f t="shared" si="14"/>
        <v>#N/A</v>
      </c>
      <c r="X30" s="1467"/>
      <c r="Y30" s="3701"/>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701"/>
      <c r="Q31" s="1460" t="str">
        <f t="shared" si="11"/>
        <v>建筑结构</v>
      </c>
      <c r="R31" s="1461" t="s">
        <v>8</v>
      </c>
      <c r="S31" s="1462">
        <f t="shared" si="12"/>
        <v>100</v>
      </c>
      <c r="T31" s="1461" t="s">
        <v>8</v>
      </c>
      <c r="U31" s="1462">
        <f t="shared" si="13"/>
        <v>100</v>
      </c>
      <c r="V31" s="1461" t="s">
        <v>8</v>
      </c>
      <c r="W31" s="1462">
        <f t="shared" si="14"/>
        <v>100</v>
      </c>
      <c r="X31" s="1455"/>
      <c r="Y31" s="3701"/>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701"/>
      <c r="Q32" s="1460" t="str">
        <f t="shared" si="11"/>
        <v>公共部分装修</v>
      </c>
      <c r="R32" s="1461" t="s">
        <v>8</v>
      </c>
      <c r="S32" s="1462">
        <f t="shared" si="12"/>
        <v>100</v>
      </c>
      <c r="T32" s="1461" t="s">
        <v>8</v>
      </c>
      <c r="U32" s="1462">
        <f t="shared" si="13"/>
        <v>100</v>
      </c>
      <c r="V32" s="1461" t="s">
        <v>8</v>
      </c>
      <c r="W32" s="1462">
        <f t="shared" si="14"/>
        <v>100</v>
      </c>
      <c r="X32" s="1455"/>
      <c r="Y32" s="3701"/>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701"/>
      <c r="Q33" s="1460" t="str">
        <f t="shared" si="11"/>
        <v>成新度</v>
      </c>
      <c r="R33" s="1461" t="s">
        <v>8</v>
      </c>
      <c r="S33" s="1462" t="e">
        <f t="shared" si="12"/>
        <v>#N/A</v>
      </c>
      <c r="T33" s="1461" t="s">
        <v>8</v>
      </c>
      <c r="U33" s="1462" t="e">
        <f t="shared" si="13"/>
        <v>#N/A</v>
      </c>
      <c r="V33" s="1461" t="s">
        <v>8</v>
      </c>
      <c r="W33" s="1462" t="e">
        <f t="shared" si="14"/>
        <v>#N/A</v>
      </c>
      <c r="X33" s="1455"/>
      <c r="Y33" s="3701"/>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701"/>
      <c r="Q34" s="1096" t="str">
        <f t="shared" si="11"/>
        <v>物业管理</v>
      </c>
      <c r="R34" s="1456" t="s">
        <v>8</v>
      </c>
      <c r="S34" s="1457">
        <f t="shared" si="12"/>
        <v>100</v>
      </c>
      <c r="T34" s="1456" t="s">
        <v>8</v>
      </c>
      <c r="U34" s="1457">
        <f t="shared" si="13"/>
        <v>100</v>
      </c>
      <c r="V34" s="1456" t="s">
        <v>8</v>
      </c>
      <c r="W34" s="1457">
        <f t="shared" si="14"/>
        <v>100</v>
      </c>
      <c r="X34" s="1458"/>
      <c r="Y34" s="3701"/>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701" t="s">
        <v>533</v>
      </c>
      <c r="Q35" s="1460" t="str">
        <f t="shared" si="11"/>
        <v>市政基础设施</v>
      </c>
      <c r="R35" s="1461" t="s">
        <v>8</v>
      </c>
      <c r="S35" s="1462">
        <f t="shared" si="12"/>
        <v>100</v>
      </c>
      <c r="T35" s="1461" t="s">
        <v>8</v>
      </c>
      <c r="U35" s="1462">
        <f t="shared" si="13"/>
        <v>100</v>
      </c>
      <c r="V35" s="1461" t="s">
        <v>8</v>
      </c>
      <c r="W35" s="1462">
        <f t="shared" si="14"/>
        <v>100</v>
      </c>
      <c r="X35" s="1455"/>
      <c r="Y35" s="3701"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701"/>
      <c r="Q36" s="1460" t="str">
        <f t="shared" si="11"/>
        <v>内部装修</v>
      </c>
      <c r="R36" s="1461" t="s">
        <v>8</v>
      </c>
      <c r="S36" s="1462">
        <f t="shared" si="12"/>
        <v>100</v>
      </c>
      <c r="T36" s="1461" t="s">
        <v>8</v>
      </c>
      <c r="U36" s="1462">
        <f t="shared" si="13"/>
        <v>100</v>
      </c>
      <c r="V36" s="1461" t="s">
        <v>8</v>
      </c>
      <c r="W36" s="1462">
        <f t="shared" si="14"/>
        <v>100</v>
      </c>
      <c r="X36" s="1455"/>
      <c r="Y36" s="3701"/>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701"/>
      <c r="Q37" s="1460" t="str">
        <f t="shared" si="11"/>
        <v>内部装修状况</v>
      </c>
      <c r="R37" s="1461" t="s">
        <v>8</v>
      </c>
      <c r="S37" s="1462">
        <f t="shared" si="12"/>
        <v>100</v>
      </c>
      <c r="T37" s="1461" t="s">
        <v>8</v>
      </c>
      <c r="U37" s="1462">
        <f t="shared" si="13"/>
        <v>100</v>
      </c>
      <c r="V37" s="1461" t="s">
        <v>8</v>
      </c>
      <c r="W37" s="1462">
        <f t="shared" si="14"/>
        <v>100</v>
      </c>
      <c r="X37" s="1455"/>
      <c r="Y37" s="3701"/>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701"/>
      <c r="Q38" s="1489">
        <f t="shared" si="11"/>
        <v>111</v>
      </c>
      <c r="R38" s="1465" t="s">
        <v>8</v>
      </c>
      <c r="S38" s="1466">
        <f t="shared" si="12"/>
        <v>100</v>
      </c>
      <c r="T38" s="1465" t="s">
        <v>8</v>
      </c>
      <c r="U38" s="1466">
        <f t="shared" si="13"/>
        <v>100</v>
      </c>
      <c r="V38" s="1465" t="s">
        <v>8</v>
      </c>
      <c r="W38" s="1466">
        <f t="shared" si="14"/>
        <v>100</v>
      </c>
      <c r="X38" s="1467"/>
      <c r="Y38" s="3701"/>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701"/>
      <c r="Q39" s="1460">
        <f t="shared" si="11"/>
        <v>111</v>
      </c>
      <c r="R39" s="1461" t="s">
        <v>8</v>
      </c>
      <c r="S39" s="1462">
        <f t="shared" si="12"/>
        <v>100</v>
      </c>
      <c r="T39" s="1461" t="s">
        <v>8</v>
      </c>
      <c r="U39" s="1462">
        <f t="shared" si="13"/>
        <v>100</v>
      </c>
      <c r="V39" s="1461" t="s">
        <v>8</v>
      </c>
      <c r="W39" s="1462">
        <f t="shared" si="14"/>
        <v>100</v>
      </c>
      <c r="X39" s="1455"/>
      <c r="Y39" s="3701"/>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15"/>
      <c r="Q40" s="1460">
        <f t="shared" si="11"/>
        <v>111</v>
      </c>
      <c r="R40" s="1461" t="s">
        <v>8</v>
      </c>
      <c r="S40" s="1462">
        <f t="shared" si="12"/>
        <v>100</v>
      </c>
      <c r="T40" s="1461" t="s">
        <v>8</v>
      </c>
      <c r="U40" s="1462">
        <f t="shared" si="13"/>
        <v>100</v>
      </c>
      <c r="V40" s="1461" t="s">
        <v>8</v>
      </c>
      <c r="W40" s="1462">
        <f t="shared" si="14"/>
        <v>100</v>
      </c>
      <c r="X40" s="1455"/>
      <c r="Y40" s="3815"/>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96" t="str">
        <f>A41</f>
        <v>成交单价（元/平方米）</v>
      </c>
      <c r="Q41" s="3696"/>
      <c r="R41" s="3814">
        <f>E41</f>
        <v>0</v>
      </c>
      <c r="S41" s="3814"/>
      <c r="T41" s="3814">
        <f>G41</f>
        <v>0</v>
      </c>
      <c r="U41" s="3814"/>
      <c r="V41" s="3814">
        <f>I41</f>
        <v>0</v>
      </c>
      <c r="W41" s="3814"/>
      <c r="X41" s="1450"/>
      <c r="Y41" s="1469"/>
      <c r="Z41" s="1450"/>
      <c r="AA41" s="1450"/>
      <c r="AB41" s="1450"/>
      <c r="AC41" s="1450"/>
    </row>
    <row r="42" spans="1:29" ht="15.75" thickBot="1">
      <c r="A42" s="592" t="s">
        <v>2476</v>
      </c>
      <c r="B42" s="858"/>
      <c r="C42" s="2396" t="e">
        <f>R43</f>
        <v>#DIV/0!</v>
      </c>
      <c r="D42" s="2919" t="s">
        <v>2700</v>
      </c>
      <c r="E42" s="2397" t="e">
        <f>R42</f>
        <v>#DIV/0!</v>
      </c>
      <c r="F42" s="2920"/>
      <c r="G42" s="2396" t="e">
        <f>T42</f>
        <v>#DIV/0!</v>
      </c>
      <c r="H42" s="2920"/>
      <c r="I42" s="2397" t="e">
        <f>V42</f>
        <v>#DIV/0!</v>
      </c>
      <c r="J42" s="2920"/>
      <c r="K42" s="2928">
        <f>F42+H42+J42</f>
        <v>0</v>
      </c>
      <c r="L42" s="1978"/>
      <c r="M42" s="1979"/>
      <c r="N42" s="1968"/>
      <c r="O42" s="1979"/>
      <c r="P42" s="3696" t="str">
        <f>A42</f>
        <v>比较价格（元/平方米）</v>
      </c>
      <c r="Q42" s="3696"/>
      <c r="R42" s="3814" t="e">
        <f>IF(F1="售价",ROUND(PRODUCT(R41,AA7:AA40),0),ROUND(PRODUCT(R41,AA7:AA40),1))</f>
        <v>#DIV/0!</v>
      </c>
      <c r="S42" s="3814"/>
      <c r="T42" s="3814" t="e">
        <f>IF(F1="售价",ROUND(PRODUCT(T41,AB7:AB40),0),ROUND(PRODUCT(T41,AB7:AB40),1))</f>
        <v>#DIV/0!</v>
      </c>
      <c r="U42" s="3814"/>
      <c r="V42" s="3814" t="e">
        <f>IF(F1="售价",ROUND(PRODUCT(V41,AC7:AC40),0),ROUND(PRODUCT(V41,AC7:AC40),1))</f>
        <v>#DIV/0!</v>
      </c>
      <c r="W42" s="3814"/>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702" t="str">
        <f>A43</f>
        <v>估价对象XX用房的比较价格（楼面单价，元/平方米）</v>
      </c>
      <c r="Q43" s="3703"/>
      <c r="R43" s="3813" t="e">
        <f>IF(F1="售价",ROUND(IF(D42="简单平均",AVERAGE(R42:V42),R42*F42+T42*H42+V42*J42),0),ROUND(IF(D42="简单平均",AVERAGE(R42:V42),R42*F42+T42*H42+V42*J42),1))</f>
        <v>#DIV/0!</v>
      </c>
      <c r="S43" s="3813"/>
      <c r="T43" s="3813"/>
      <c r="U43" s="3813"/>
      <c r="V43" s="3813"/>
      <c r="W43" s="3813"/>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2022-11</v>
      </c>
      <c r="D52" s="2441">
        <f>EDATE(C52,-1)</f>
        <v>44835</v>
      </c>
      <c r="E52" s="2441">
        <f t="shared" ref="E52:O52" si="16">EDATE(D52,-1)</f>
        <v>44805</v>
      </c>
      <c r="F52" s="2441">
        <f t="shared" si="16"/>
        <v>44774</v>
      </c>
      <c r="G52" s="2441">
        <f t="shared" si="16"/>
        <v>44743</v>
      </c>
      <c r="H52" s="2441">
        <f t="shared" si="16"/>
        <v>44713</v>
      </c>
      <c r="I52" s="2441">
        <f t="shared" si="16"/>
        <v>44682</v>
      </c>
      <c r="J52" s="2441">
        <f t="shared" si="16"/>
        <v>44652</v>
      </c>
      <c r="K52" s="2441">
        <f t="shared" si="16"/>
        <v>44621</v>
      </c>
      <c r="L52" s="2441">
        <f t="shared" si="16"/>
        <v>44593</v>
      </c>
      <c r="M52" s="2441">
        <f t="shared" si="16"/>
        <v>44562</v>
      </c>
      <c r="N52" s="2441">
        <f t="shared" si="16"/>
        <v>44531</v>
      </c>
      <c r="O52" s="2441">
        <f t="shared" si="16"/>
        <v>44501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B40" sqref="B40"/>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23" t="s">
        <v>2093</v>
      </c>
      <c r="D1" s="3824"/>
      <c r="E1" s="3824"/>
      <c r="F1" s="3824"/>
      <c r="G1" s="3824"/>
      <c r="H1" s="3824"/>
      <c r="I1" s="3824"/>
      <c r="J1" s="3824"/>
      <c r="K1" s="3824"/>
      <c r="L1" s="3824"/>
      <c r="M1" s="3824"/>
      <c r="N1" s="3824"/>
      <c r="O1" s="3824"/>
      <c r="P1" s="3824"/>
      <c r="Q1" s="3824"/>
      <c r="R1" s="3824"/>
      <c r="S1" s="3825"/>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60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4935</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18666</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2643.8</v>
      </c>
      <c r="C22" s="3820" t="s">
        <v>20</v>
      </c>
      <c r="D22" s="3821"/>
      <c r="E22" s="3821"/>
      <c r="F22" s="3821"/>
      <c r="G22" s="3821"/>
      <c r="H22" s="3821"/>
      <c r="I22" s="3821"/>
      <c r="J22" s="3821"/>
      <c r="K22" s="3821"/>
      <c r="L22" s="3821"/>
      <c r="M22" s="3821"/>
      <c r="N22" s="3821"/>
      <c r="O22" s="3821"/>
      <c r="P22" s="3821"/>
      <c r="Q22" s="3822"/>
      <c r="R22" s="474">
        <f>ROUND(S22*10000/B22,0)</f>
        <v>18666</v>
      </c>
      <c r="S22" s="53">
        <f>SUM(S24:S10000)</f>
        <v>4935</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3437</v>
      </c>
      <c r="B24" s="930">
        <f>'数据-汇总表'!F20/2</f>
        <v>1321.9</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23333</v>
      </c>
      <c r="S24" s="931">
        <f t="shared" ref="S24:S54" si="11">ROUND(R24*B24/10000,0)</f>
        <v>3084</v>
      </c>
      <c r="T24" s="1839"/>
      <c r="U24" s="1839"/>
      <c r="V24" s="1839"/>
      <c r="W24" s="1839"/>
      <c r="X24" s="1839"/>
      <c r="Y24" s="1839"/>
      <c r="Z24" s="1839"/>
      <c r="AA24" s="1839"/>
      <c r="AB24" s="1839"/>
      <c r="AC24" s="1839"/>
      <c r="AD24" s="1839"/>
      <c r="AE24" s="1839"/>
      <c r="AF24" s="1839"/>
      <c r="AG24" s="1839"/>
      <c r="AH24" s="1839"/>
      <c r="AI24" s="1839"/>
    </row>
    <row r="25" spans="1:45">
      <c r="A25" s="934" t="s">
        <v>3438</v>
      </c>
      <c r="B25" s="136">
        <f>B24</f>
        <v>1321.9</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0.6</v>
      </c>
      <c r="R25" s="474">
        <f>IF(B25="",0,ROUND($R$24*C25*E25*G25*I25*K25*M25*O25*Q25,0))</f>
        <v>14000</v>
      </c>
      <c r="S25" s="772">
        <f t="shared" si="11"/>
        <v>1851</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K33" sqref="K33"/>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3150</v>
      </c>
      <c r="E1" s="1961"/>
      <c r="F1" s="2444" t="s">
        <v>3403</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17553</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7491</v>
      </c>
      <c r="C3" s="824" t="s">
        <v>704</v>
      </c>
      <c r="D3" s="823">
        <f>SUMIF('数据-汇总表'!$C19:$C33,D1,'数据-汇总表'!$E19:$E33)</f>
        <v>23431.62</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704" t="s">
        <v>505</v>
      </c>
      <c r="D4" s="3705"/>
      <c r="E4" s="3732" t="s">
        <v>506</v>
      </c>
      <c r="F4" s="3733"/>
      <c r="G4" s="3704" t="s">
        <v>507</v>
      </c>
      <c r="H4" s="3705"/>
      <c r="I4" s="3704" t="s">
        <v>508</v>
      </c>
      <c r="J4" s="3705"/>
      <c r="K4" s="825" t="s">
        <v>509</v>
      </c>
      <c r="L4" s="1967"/>
      <c r="M4" s="1968"/>
      <c r="N4" s="1968"/>
      <c r="O4" s="1968"/>
      <c r="P4" s="3706" t="s">
        <v>510</v>
      </c>
      <c r="Q4" s="3707"/>
      <c r="R4" s="3690" t="s">
        <v>506</v>
      </c>
      <c r="S4" s="3691"/>
      <c r="T4" s="3690" t="s">
        <v>507</v>
      </c>
      <c r="U4" s="3691"/>
      <c r="V4" s="3712" t="s">
        <v>508</v>
      </c>
      <c r="W4" s="3712"/>
      <c r="X4" s="3454"/>
      <c r="Y4" s="3690" t="s">
        <v>510</v>
      </c>
      <c r="Z4" s="3691"/>
      <c r="AA4" s="3685" t="s">
        <v>506</v>
      </c>
      <c r="AB4" s="3685" t="s">
        <v>507</v>
      </c>
      <c r="AC4" s="3685" t="s">
        <v>508</v>
      </c>
    </row>
    <row r="5" spans="1:29" ht="15">
      <c r="A5" s="492"/>
      <c r="B5" s="493"/>
      <c r="C5" s="3715" t="s">
        <v>2630</v>
      </c>
      <c r="D5" s="3716"/>
      <c r="E5" s="3734" t="str">
        <f>Sheet4!E32</f>
        <v>升龙天汇8号院</v>
      </c>
      <c r="F5" s="3735"/>
      <c r="G5" s="3715" t="str">
        <f>Sheet4!E33</f>
        <v>升龙天汇6号院</v>
      </c>
      <c r="H5" s="3716"/>
      <c r="I5" s="3715" t="str">
        <f>Sheet4!E34</f>
        <v>乐丁广场</v>
      </c>
      <c r="J5" s="3716"/>
      <c r="K5" s="826"/>
      <c r="L5" s="1967"/>
      <c r="M5" s="1968"/>
      <c r="N5" s="1968"/>
      <c r="O5" s="1968"/>
      <c r="P5" s="3708"/>
      <c r="Q5" s="3709"/>
      <c r="R5" s="3692"/>
      <c r="S5" s="3693"/>
      <c r="T5" s="3692"/>
      <c r="U5" s="3693"/>
      <c r="V5" s="3712"/>
      <c r="W5" s="3712"/>
      <c r="X5" s="3454"/>
      <c r="Y5" s="3692"/>
      <c r="Z5" s="3693"/>
      <c r="AA5" s="3686"/>
      <c r="AB5" s="3686"/>
      <c r="AC5" s="3686"/>
    </row>
    <row r="6" spans="1:29" ht="15.75" thickBot="1">
      <c r="A6" s="494"/>
      <c r="B6" s="495"/>
      <c r="C6" s="3713" t="s">
        <v>2634</v>
      </c>
      <c r="D6" s="3714"/>
      <c r="E6" s="3736" t="s">
        <v>2634</v>
      </c>
      <c r="F6" s="3737"/>
      <c r="G6" s="3713" t="s">
        <v>2634</v>
      </c>
      <c r="H6" s="3714"/>
      <c r="I6" s="3713" t="s">
        <v>2634</v>
      </c>
      <c r="J6" s="3714"/>
      <c r="K6" s="826" t="s">
        <v>511</v>
      </c>
      <c r="L6" s="1967"/>
      <c r="M6" s="1968"/>
      <c r="N6" s="1968"/>
      <c r="O6" s="1968"/>
      <c r="P6" s="3710"/>
      <c r="Q6" s="3711"/>
      <c r="R6" s="3692"/>
      <c r="S6" s="3693"/>
      <c r="T6" s="3694"/>
      <c r="U6" s="3695"/>
      <c r="V6" s="3712"/>
      <c r="W6" s="3712"/>
      <c r="X6" s="3454"/>
      <c r="Y6" s="3694"/>
      <c r="Z6" s="3695"/>
      <c r="AA6" s="3687"/>
      <c r="AB6" s="3687"/>
      <c r="AC6" s="3687"/>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688" t="s">
        <v>513</v>
      </c>
      <c r="Q7" s="3697"/>
      <c r="R7" s="1456" t="s">
        <v>13</v>
      </c>
      <c r="S7" s="1457">
        <f t="shared" ref="S7:S15" si="0">F7</f>
        <v>100</v>
      </c>
      <c r="T7" s="1456" t="s">
        <v>13</v>
      </c>
      <c r="U7" s="1457">
        <f t="shared" ref="U7:U15" si="1">H7</f>
        <v>100</v>
      </c>
      <c r="V7" s="1456" t="s">
        <v>13</v>
      </c>
      <c r="W7" s="1457">
        <f t="shared" ref="W7:W15" si="2">J7</f>
        <v>100</v>
      </c>
      <c r="X7" s="1458"/>
      <c r="Y7" s="3688" t="s">
        <v>513</v>
      </c>
      <c r="Z7" s="3689"/>
      <c r="AA7" s="1459">
        <f>D7/F7</f>
        <v>1</v>
      </c>
      <c r="AB7" s="1459">
        <f>D7/H7</f>
        <v>1</v>
      </c>
      <c r="AC7" s="1459">
        <f>D7/J7</f>
        <v>1</v>
      </c>
    </row>
    <row r="8" spans="1:29" s="1165" customFormat="1" ht="15.75" thickBot="1">
      <c r="A8" s="2549"/>
      <c r="B8" s="2556" t="s">
        <v>514</v>
      </c>
      <c r="C8" s="502" t="s">
        <v>558</v>
      </c>
      <c r="D8" s="497">
        <v>100</v>
      </c>
      <c r="E8" s="3481" t="s">
        <v>3412</v>
      </c>
      <c r="F8" s="499">
        <f>SUMIF(61:61,E8,62:62)-SUMIF(61:61,C8,62:62)+100</f>
        <v>100</v>
      </c>
      <c r="G8" s="3473" t="s">
        <v>3412</v>
      </c>
      <c r="H8" s="497">
        <f>SUMIF(61:61,G8,62:62)-SUMIF(61:61,C8,62:62)+100</f>
        <v>100</v>
      </c>
      <c r="I8" s="3481" t="s">
        <v>3413</v>
      </c>
      <c r="J8" s="497">
        <f>SUMIF(61:61,I8,62:62)-SUMIF(61:61,C8,62:62)+100</f>
        <v>100</v>
      </c>
      <c r="K8" s="827"/>
      <c r="L8" s="1969"/>
      <c r="M8" s="1970"/>
      <c r="N8" s="1970"/>
      <c r="O8" s="1970"/>
      <c r="P8" s="3688" t="s">
        <v>516</v>
      </c>
      <c r="Q8" s="3689"/>
      <c r="R8" s="1456" t="s">
        <v>13</v>
      </c>
      <c r="S8" s="1457">
        <f t="shared" si="0"/>
        <v>100</v>
      </c>
      <c r="T8" s="1456" t="s">
        <v>13</v>
      </c>
      <c r="U8" s="1457">
        <f t="shared" si="1"/>
        <v>100</v>
      </c>
      <c r="V8" s="1456" t="s">
        <v>13</v>
      </c>
      <c r="W8" s="1457">
        <f t="shared" si="2"/>
        <v>100</v>
      </c>
      <c r="X8" s="1458"/>
      <c r="Y8" s="3688" t="s">
        <v>516</v>
      </c>
      <c r="Z8" s="3689"/>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96" t="s">
        <v>518</v>
      </c>
      <c r="Q9" s="3451" t="str">
        <f t="shared" ref="Q9:Q15" si="6">B9</f>
        <v>用途</v>
      </c>
      <c r="R9" s="1456" t="s">
        <v>8</v>
      </c>
      <c r="S9" s="1457">
        <f t="shared" si="0"/>
        <v>100</v>
      </c>
      <c r="T9" s="1456" t="s">
        <v>8</v>
      </c>
      <c r="U9" s="1457">
        <f t="shared" si="1"/>
        <v>100</v>
      </c>
      <c r="V9" s="1456" t="s">
        <v>8</v>
      </c>
      <c r="W9" s="1457">
        <f t="shared" si="2"/>
        <v>100</v>
      </c>
      <c r="X9" s="1458"/>
      <c r="Y9" s="3648"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96"/>
      <c r="Q10" s="3451" t="str">
        <f t="shared" si="6"/>
        <v>土地使用年限（年）</v>
      </c>
      <c r="R10" s="1456" t="s">
        <v>8</v>
      </c>
      <c r="S10" s="1457">
        <f t="shared" si="0"/>
        <v>100</v>
      </c>
      <c r="T10" s="1456" t="s">
        <v>8</v>
      </c>
      <c r="U10" s="1457">
        <f t="shared" si="1"/>
        <v>100</v>
      </c>
      <c r="V10" s="1456" t="s">
        <v>8</v>
      </c>
      <c r="W10" s="1457">
        <f t="shared" si="2"/>
        <v>100</v>
      </c>
      <c r="X10" s="1458"/>
      <c r="Y10" s="3648"/>
      <c r="Z10" s="3450"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v>4.99</v>
      </c>
      <c r="F11" s="835">
        <f>LOOKUP(E11,68:68,69:69)-LOOKUP(C11,68:68,69:69)+100</f>
        <v>102</v>
      </c>
      <c r="G11" s="510">
        <v>4.99</v>
      </c>
      <c r="H11" s="253">
        <f>LOOKUP(G11,68:68,69:69)-LOOKUP(C11,68:68,69:69)+100</f>
        <v>102</v>
      </c>
      <c r="I11" s="510">
        <v>3</v>
      </c>
      <c r="J11" s="253">
        <f>LOOKUP(I11,68:68,69:69)-LOOKUP(C11,68:68,69:69)+100</f>
        <v>104</v>
      </c>
      <c r="K11" s="836">
        <v>2</v>
      </c>
      <c r="L11" s="1974"/>
      <c r="M11" s="1968"/>
      <c r="N11" s="1968"/>
      <c r="O11" s="1975"/>
      <c r="P11" s="3696"/>
      <c r="Q11" s="3451" t="str">
        <f t="shared" si="6"/>
        <v>容积率</v>
      </c>
      <c r="R11" s="1456" t="s">
        <v>11</v>
      </c>
      <c r="S11" s="1457">
        <f t="shared" si="0"/>
        <v>102</v>
      </c>
      <c r="T11" s="1456" t="s">
        <v>11</v>
      </c>
      <c r="U11" s="1457">
        <f t="shared" si="1"/>
        <v>102</v>
      </c>
      <c r="V11" s="1456" t="s">
        <v>11</v>
      </c>
      <c r="W11" s="1457">
        <f t="shared" si="2"/>
        <v>104</v>
      </c>
      <c r="X11" s="1458"/>
      <c r="Y11" s="3648"/>
      <c r="Z11" s="3450" t="str">
        <f t="shared" si="7"/>
        <v>容积率</v>
      </c>
      <c r="AA11" s="1459">
        <f t="shared" si="3"/>
        <v>0.98039215686274506</v>
      </c>
      <c r="AB11" s="1459">
        <f t="shared" si="4"/>
        <v>0.98039215686274506</v>
      </c>
      <c r="AC11" s="1459">
        <f t="shared" si="5"/>
        <v>0.96153846153846156</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96"/>
      <c r="Q12" s="3451">
        <f t="shared" si="6"/>
        <v>111</v>
      </c>
      <c r="R12" s="1456" t="s">
        <v>11</v>
      </c>
      <c r="S12" s="1457">
        <f t="shared" si="0"/>
        <v>100</v>
      </c>
      <c r="T12" s="1456" t="s">
        <v>11</v>
      </c>
      <c r="U12" s="1457">
        <f t="shared" si="1"/>
        <v>100</v>
      </c>
      <c r="V12" s="1456" t="s">
        <v>11</v>
      </c>
      <c r="W12" s="1457">
        <f t="shared" si="2"/>
        <v>100</v>
      </c>
      <c r="X12" s="1458"/>
      <c r="Y12" s="3648"/>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96"/>
      <c r="Q13" s="3451">
        <f t="shared" si="6"/>
        <v>111</v>
      </c>
      <c r="R13" s="1456" t="s">
        <v>11</v>
      </c>
      <c r="S13" s="1457">
        <f t="shared" si="0"/>
        <v>100</v>
      </c>
      <c r="T13" s="1456" t="s">
        <v>11</v>
      </c>
      <c r="U13" s="1457">
        <f t="shared" si="1"/>
        <v>100</v>
      </c>
      <c r="V13" s="1456" t="s">
        <v>11</v>
      </c>
      <c r="W13" s="1457">
        <f t="shared" si="2"/>
        <v>100</v>
      </c>
      <c r="X13" s="1458"/>
      <c r="Y13" s="3648"/>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96"/>
      <c r="Q14" s="3451">
        <f t="shared" si="6"/>
        <v>111</v>
      </c>
      <c r="R14" s="1456" t="s">
        <v>11</v>
      </c>
      <c r="S14" s="1457">
        <f t="shared" si="0"/>
        <v>100</v>
      </c>
      <c r="T14" s="1456" t="s">
        <v>11</v>
      </c>
      <c r="U14" s="1457">
        <f t="shared" si="1"/>
        <v>100</v>
      </c>
      <c r="V14" s="1456" t="s">
        <v>11</v>
      </c>
      <c r="W14" s="1457">
        <f t="shared" si="2"/>
        <v>100</v>
      </c>
      <c r="X14" s="1458"/>
      <c r="Y14" s="3648"/>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98" t="s">
        <v>523</v>
      </c>
      <c r="Q15" s="3452" t="str">
        <f t="shared" si="6"/>
        <v>居住社区成熟度</v>
      </c>
      <c r="R15" s="1461" t="s">
        <v>11</v>
      </c>
      <c r="S15" s="1462">
        <f t="shared" si="0"/>
        <v>100</v>
      </c>
      <c r="T15" s="1461" t="s">
        <v>11</v>
      </c>
      <c r="U15" s="1462">
        <f t="shared" si="1"/>
        <v>100</v>
      </c>
      <c r="V15" s="1461" t="s">
        <v>11</v>
      </c>
      <c r="W15" s="1462">
        <f t="shared" si="2"/>
        <v>100</v>
      </c>
      <c r="X15" s="3454"/>
      <c r="Y15" s="3698" t="s">
        <v>523</v>
      </c>
      <c r="Z15" s="3453" t="str">
        <f t="shared" si="7"/>
        <v>居住社区成熟度</v>
      </c>
      <c r="AA15" s="3455">
        <f t="shared" si="3"/>
        <v>1</v>
      </c>
      <c r="AB15" s="3455">
        <f t="shared" si="4"/>
        <v>1</v>
      </c>
      <c r="AC15" s="3455">
        <f t="shared" si="5"/>
        <v>1</v>
      </c>
    </row>
    <row r="16" spans="1:29" ht="15">
      <c r="A16" s="509"/>
      <c r="B16" s="841"/>
      <c r="C16" s="3466" t="s">
        <v>3410</v>
      </c>
      <c r="D16" s="532"/>
      <c r="E16" s="3474" t="s">
        <v>3411</v>
      </c>
      <c r="F16" s="534"/>
      <c r="G16" s="3464" t="s">
        <v>3410</v>
      </c>
      <c r="H16" s="536"/>
      <c r="I16" s="3474" t="s">
        <v>3410</v>
      </c>
      <c r="J16" s="532"/>
      <c r="K16" s="842"/>
      <c r="L16" s="1976"/>
      <c r="M16" s="1968"/>
      <c r="N16" s="1968"/>
      <c r="O16" s="1975"/>
      <c r="P16" s="3699"/>
      <c r="Q16" s="3452"/>
      <c r="R16" s="1461"/>
      <c r="S16" s="1462"/>
      <c r="T16" s="1461"/>
      <c r="U16" s="1462"/>
      <c r="V16" s="1461"/>
      <c r="W16" s="1462"/>
      <c r="X16" s="3454"/>
      <c r="Y16" s="3699"/>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99"/>
      <c r="Q17" s="3452" t="str">
        <f>B17</f>
        <v>交通便捷度</v>
      </c>
      <c r="R17" s="1461" t="s">
        <v>11</v>
      </c>
      <c r="S17" s="1462">
        <f>F17</f>
        <v>100</v>
      </c>
      <c r="T17" s="1461" t="s">
        <v>11</v>
      </c>
      <c r="U17" s="1462">
        <f>H17</f>
        <v>100</v>
      </c>
      <c r="V17" s="1461" t="s">
        <v>11</v>
      </c>
      <c r="W17" s="1462">
        <f>J17</f>
        <v>100</v>
      </c>
      <c r="X17" s="3454"/>
      <c r="Y17" s="3699"/>
      <c r="Z17" s="3453" t="str">
        <f>Q17</f>
        <v>交通便捷度</v>
      </c>
      <c r="AA17" s="3455">
        <f t="shared" si="3"/>
        <v>1</v>
      </c>
      <c r="AB17" s="3455">
        <f t="shared" si="4"/>
        <v>1</v>
      </c>
      <c r="AC17" s="3455">
        <f t="shared" si="5"/>
        <v>1</v>
      </c>
    </row>
    <row r="18" spans="1:29" ht="15">
      <c r="A18" s="509"/>
      <c r="B18" s="572"/>
      <c r="C18" s="3482" t="s">
        <v>3410</v>
      </c>
      <c r="D18" s="536"/>
      <c r="E18" s="3475" t="s">
        <v>3410</v>
      </c>
      <c r="F18" s="540"/>
      <c r="G18" s="3465" t="s">
        <v>3411</v>
      </c>
      <c r="H18" s="532"/>
      <c r="I18" s="3475" t="s">
        <v>3410</v>
      </c>
      <c r="J18" s="532"/>
      <c r="K18" s="842"/>
      <c r="L18" s="1976"/>
      <c r="M18" s="1968"/>
      <c r="N18" s="1968"/>
      <c r="O18" s="1975"/>
      <c r="P18" s="3699"/>
      <c r="Q18" s="3452"/>
      <c r="R18" s="1461"/>
      <c r="S18" s="1462"/>
      <c r="T18" s="1461"/>
      <c r="U18" s="1462"/>
      <c r="V18" s="1461"/>
      <c r="W18" s="1462"/>
      <c r="X18" s="3454"/>
      <c r="Y18" s="3699"/>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99"/>
      <c r="Q19" s="3452" t="str">
        <f>B19</f>
        <v>公共配套设施</v>
      </c>
      <c r="R19" s="1461" t="s">
        <v>11</v>
      </c>
      <c r="S19" s="1462">
        <f>F19</f>
        <v>100</v>
      </c>
      <c r="T19" s="1461" t="s">
        <v>11</v>
      </c>
      <c r="U19" s="1462">
        <f>H19</f>
        <v>100</v>
      </c>
      <c r="V19" s="1461" t="s">
        <v>11</v>
      </c>
      <c r="W19" s="1462">
        <f>J19</f>
        <v>100</v>
      </c>
      <c r="X19" s="3454"/>
      <c r="Y19" s="3699"/>
      <c r="Z19" s="3453" t="str">
        <f>Q19</f>
        <v>公共配套设施</v>
      </c>
      <c r="AA19" s="3455">
        <f t="shared" si="3"/>
        <v>1</v>
      </c>
      <c r="AB19" s="3455">
        <f t="shared" si="4"/>
        <v>1</v>
      </c>
      <c r="AC19" s="3455">
        <f t="shared" si="5"/>
        <v>1</v>
      </c>
    </row>
    <row r="20" spans="1:29" ht="15">
      <c r="A20" s="509"/>
      <c r="B20" s="572"/>
      <c r="C20" s="3466" t="s">
        <v>3410</v>
      </c>
      <c r="D20" s="532"/>
      <c r="E20" s="3474" t="s">
        <v>3411</v>
      </c>
      <c r="F20" s="534"/>
      <c r="G20" s="3464" t="s">
        <v>3411</v>
      </c>
      <c r="H20" s="532"/>
      <c r="I20" s="3474" t="s">
        <v>3410</v>
      </c>
      <c r="J20" s="532"/>
      <c r="K20" s="842"/>
      <c r="L20" s="1976"/>
      <c r="M20" s="1968"/>
      <c r="N20" s="1968"/>
      <c r="O20" s="1975"/>
      <c r="P20" s="3699"/>
      <c r="Q20" s="3452"/>
      <c r="R20" s="1461"/>
      <c r="S20" s="1462"/>
      <c r="T20" s="1461"/>
      <c r="U20" s="1462"/>
      <c r="V20" s="1461"/>
      <c r="W20" s="1462"/>
      <c r="X20" s="3454"/>
      <c r="Y20" s="3699"/>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99"/>
      <c r="Q21" s="3452" t="str">
        <f>B21</f>
        <v>基础设施水平</v>
      </c>
      <c r="R21" s="1461" t="s">
        <v>11</v>
      </c>
      <c r="S21" s="1462">
        <f>F21</f>
        <v>100</v>
      </c>
      <c r="T21" s="1461" t="s">
        <v>11</v>
      </c>
      <c r="U21" s="1462">
        <f>H21</f>
        <v>100</v>
      </c>
      <c r="V21" s="1461" t="s">
        <v>11</v>
      </c>
      <c r="W21" s="1462">
        <f>J21</f>
        <v>100</v>
      </c>
      <c r="X21" s="3454"/>
      <c r="Y21" s="3699"/>
      <c r="Z21" s="3453" t="str">
        <f>Q21</f>
        <v>基础设施水平</v>
      </c>
      <c r="AA21" s="3455">
        <f t="shared" ref="AA21" si="8">D21/F21</f>
        <v>1</v>
      </c>
      <c r="AB21" s="3455">
        <f t="shared" ref="AB21" si="9">D21/H21</f>
        <v>1</v>
      </c>
      <c r="AC21" s="3455">
        <f t="shared" ref="AC21" si="10">D21/J21</f>
        <v>1</v>
      </c>
    </row>
    <row r="22" spans="1:29" ht="15">
      <c r="A22" s="509"/>
      <c r="B22" s="892"/>
      <c r="C22" s="3482" t="s">
        <v>3414</v>
      </c>
      <c r="D22" s="532"/>
      <c r="E22" s="3466" t="s">
        <v>3415</v>
      </c>
      <c r="F22" s="534"/>
      <c r="G22" s="3466" t="s">
        <v>3414</v>
      </c>
      <c r="H22" s="532"/>
      <c r="I22" s="3466" t="s">
        <v>3416</v>
      </c>
      <c r="J22" s="532"/>
      <c r="K22" s="2363"/>
      <c r="L22" s="1976"/>
      <c r="M22" s="1968"/>
      <c r="N22" s="1968"/>
      <c r="O22" s="1975"/>
      <c r="P22" s="3699"/>
      <c r="Q22" s="3452"/>
      <c r="R22" s="1461"/>
      <c r="S22" s="1462"/>
      <c r="T22" s="1461"/>
      <c r="U22" s="1462"/>
      <c r="V22" s="1461"/>
      <c r="W22" s="1462"/>
      <c r="X22" s="3454"/>
      <c r="Y22" s="3699"/>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99"/>
      <c r="Q23" s="3452" t="str">
        <f>B23</f>
        <v>自然及人文环境</v>
      </c>
      <c r="R23" s="1461" t="s">
        <v>11</v>
      </c>
      <c r="S23" s="1462">
        <f>F23</f>
        <v>100</v>
      </c>
      <c r="T23" s="1461" t="s">
        <v>11</v>
      </c>
      <c r="U23" s="1462">
        <f>H23</f>
        <v>100</v>
      </c>
      <c r="V23" s="1461" t="s">
        <v>11</v>
      </c>
      <c r="W23" s="1462">
        <f>J23</f>
        <v>100</v>
      </c>
      <c r="X23" s="3454"/>
      <c r="Y23" s="3699"/>
      <c r="Z23" s="3453" t="str">
        <f>Q23</f>
        <v>自然及人文环境</v>
      </c>
      <c r="AA23" s="3455">
        <f t="shared" si="3"/>
        <v>1</v>
      </c>
      <c r="AB23" s="3455">
        <f t="shared" si="4"/>
        <v>1</v>
      </c>
      <c r="AC23" s="3455">
        <f t="shared" si="5"/>
        <v>1</v>
      </c>
    </row>
    <row r="24" spans="1:29" ht="15">
      <c r="A24" s="509"/>
      <c r="B24" s="572"/>
      <c r="C24" s="3466" t="s">
        <v>3410</v>
      </c>
      <c r="D24" s="532"/>
      <c r="E24" s="3474" t="s">
        <v>3410</v>
      </c>
      <c r="F24" s="534"/>
      <c r="G24" s="3464" t="s">
        <v>3410</v>
      </c>
      <c r="H24" s="532"/>
      <c r="I24" s="3474" t="s">
        <v>3411</v>
      </c>
      <c r="J24" s="532"/>
      <c r="K24" s="842"/>
      <c r="L24" s="1976"/>
      <c r="M24" s="1968"/>
      <c r="N24" s="1968"/>
      <c r="O24" s="1975"/>
      <c r="P24" s="3699"/>
      <c r="Q24" s="3452"/>
      <c r="R24" s="1461"/>
      <c r="S24" s="1462"/>
      <c r="T24" s="1461"/>
      <c r="U24" s="1462"/>
      <c r="V24" s="1461"/>
      <c r="W24" s="1462"/>
      <c r="X24" s="3454"/>
      <c r="Y24" s="3699"/>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99"/>
      <c r="Q25" s="3452" t="str">
        <f t="shared" ref="Q25:Q46" si="11">B25</f>
        <v>楼层-1</v>
      </c>
      <c r="R25" s="1461" t="s">
        <v>11</v>
      </c>
      <c r="S25" s="1462">
        <f>F25</f>
        <v>100</v>
      </c>
      <c r="T25" s="1461" t="s">
        <v>11</v>
      </c>
      <c r="U25" s="1462">
        <f>H25</f>
        <v>100</v>
      </c>
      <c r="V25" s="1461" t="s">
        <v>11</v>
      </c>
      <c r="W25" s="1462">
        <f>J25</f>
        <v>100</v>
      </c>
      <c r="X25" s="3454"/>
      <c r="Y25" s="3699"/>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99"/>
      <c r="Q26" s="3452" t="str">
        <f t="shared" si="11"/>
        <v>朝向</v>
      </c>
      <c r="R26" s="1461" t="s">
        <v>11</v>
      </c>
      <c r="S26" s="1462">
        <f>F26</f>
        <v>100</v>
      </c>
      <c r="T26" s="1461" t="s">
        <v>11</v>
      </c>
      <c r="U26" s="1462">
        <f>H26</f>
        <v>100</v>
      </c>
      <c r="V26" s="1461" t="s">
        <v>11</v>
      </c>
      <c r="W26" s="1462">
        <f>J26</f>
        <v>100</v>
      </c>
      <c r="X26" s="3454"/>
      <c r="Y26" s="3699"/>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99"/>
      <c r="Q27" s="3451" t="str">
        <f t="shared" si="11"/>
        <v>道路级别</v>
      </c>
      <c r="R27" s="1456" t="s">
        <v>11</v>
      </c>
      <c r="S27" s="1457">
        <f>F27</f>
        <v>100</v>
      </c>
      <c r="T27" s="1456" t="s">
        <v>11</v>
      </c>
      <c r="U27" s="1457">
        <f>H27</f>
        <v>100</v>
      </c>
      <c r="V27" s="1456" t="s">
        <v>11</v>
      </c>
      <c r="W27" s="1457">
        <f>J27</f>
        <v>100</v>
      </c>
      <c r="X27" s="1458"/>
      <c r="Y27" s="3699"/>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99"/>
      <c r="Q28" s="3452">
        <f t="shared" si="11"/>
        <v>111</v>
      </c>
      <c r="R28" s="1461" t="s">
        <v>11</v>
      </c>
      <c r="S28" s="1462">
        <f t="shared" ref="S28:S46" si="12">F28</f>
        <v>100</v>
      </c>
      <c r="T28" s="1461" t="s">
        <v>11</v>
      </c>
      <c r="U28" s="1462">
        <f t="shared" ref="U28:U46" si="13">H28</f>
        <v>100</v>
      </c>
      <c r="V28" s="1461" t="s">
        <v>11</v>
      </c>
      <c r="W28" s="1462">
        <f t="shared" ref="W28:W46" si="14">J28</f>
        <v>100</v>
      </c>
      <c r="X28" s="3454"/>
      <c r="Y28" s="3699"/>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99"/>
      <c r="Q29" s="3452">
        <f t="shared" si="11"/>
        <v>111</v>
      </c>
      <c r="R29" s="1461" t="s">
        <v>11</v>
      </c>
      <c r="S29" s="1462">
        <f t="shared" si="12"/>
        <v>100</v>
      </c>
      <c r="T29" s="1461" t="s">
        <v>11</v>
      </c>
      <c r="U29" s="1462">
        <f t="shared" si="13"/>
        <v>100</v>
      </c>
      <c r="V29" s="1461" t="s">
        <v>11</v>
      </c>
      <c r="W29" s="1462">
        <f t="shared" si="14"/>
        <v>100</v>
      </c>
      <c r="X29" s="3454"/>
      <c r="Y29" s="3699"/>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99"/>
      <c r="Q30" s="3452">
        <f t="shared" si="11"/>
        <v>111</v>
      </c>
      <c r="R30" s="1461" t="s">
        <v>11</v>
      </c>
      <c r="S30" s="1462">
        <f t="shared" si="12"/>
        <v>100</v>
      </c>
      <c r="T30" s="1461" t="s">
        <v>11</v>
      </c>
      <c r="U30" s="1462">
        <f t="shared" si="13"/>
        <v>100</v>
      </c>
      <c r="V30" s="1461" t="s">
        <v>11</v>
      </c>
      <c r="W30" s="1462">
        <f t="shared" si="14"/>
        <v>100</v>
      </c>
      <c r="X30" s="3454"/>
      <c r="Y30" s="3699"/>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99"/>
      <c r="Q31" s="3452">
        <f t="shared" si="11"/>
        <v>111</v>
      </c>
      <c r="R31" s="1461" t="s">
        <v>11</v>
      </c>
      <c r="S31" s="1462">
        <f t="shared" si="12"/>
        <v>100</v>
      </c>
      <c r="T31" s="1461" t="s">
        <v>11</v>
      </c>
      <c r="U31" s="1462">
        <f t="shared" si="13"/>
        <v>100</v>
      </c>
      <c r="V31" s="1461" t="s">
        <v>11</v>
      </c>
      <c r="W31" s="1462">
        <f t="shared" si="14"/>
        <v>100</v>
      </c>
      <c r="X31" s="3454"/>
      <c r="Y31" s="3699"/>
      <c r="Z31" s="3453">
        <f t="shared" si="15"/>
        <v>111</v>
      </c>
      <c r="AA31" s="3455">
        <f t="shared" si="3"/>
        <v>1</v>
      </c>
      <c r="AB31" s="3455">
        <f t="shared" si="4"/>
        <v>1</v>
      </c>
      <c r="AC31" s="3455">
        <f t="shared" si="5"/>
        <v>1</v>
      </c>
    </row>
    <row r="32" spans="1:29" ht="15">
      <c r="A32" s="2544" t="s">
        <v>2471</v>
      </c>
      <c r="B32" s="170" t="s">
        <v>707</v>
      </c>
      <c r="C32" s="3483" t="s">
        <v>3449</v>
      </c>
      <c r="D32" s="574">
        <v>100</v>
      </c>
      <c r="E32" s="3484" t="s">
        <v>3450</v>
      </c>
      <c r="F32" s="552">
        <f>SUMIF(100:100,E32,101:101)-SUMIF(100:100,C32,101:101)+100</f>
        <v>100</v>
      </c>
      <c r="G32" s="3483" t="s">
        <v>3451</v>
      </c>
      <c r="H32" s="574">
        <f>SUMIF(100:100,G32,101:101)-SUMIF(100:100,C32,101:101)+100</f>
        <v>115</v>
      </c>
      <c r="I32" s="3484" t="s">
        <v>3451</v>
      </c>
      <c r="J32" s="517">
        <f>SUMIF(100:100,I32,101:101)-SUMIF(100:100,C32,101:101)+100</f>
        <v>115</v>
      </c>
      <c r="K32" s="836">
        <v>15</v>
      </c>
      <c r="L32" s="1976"/>
      <c r="M32" s="1968"/>
      <c r="N32" s="1968"/>
      <c r="O32" s="1975"/>
      <c r="P32" s="3700" t="s">
        <v>533</v>
      </c>
      <c r="Q32" s="3452" t="str">
        <f t="shared" si="11"/>
        <v>建筑类型</v>
      </c>
      <c r="R32" s="1461" t="s">
        <v>11</v>
      </c>
      <c r="S32" s="1462">
        <f t="shared" si="12"/>
        <v>100</v>
      </c>
      <c r="T32" s="1461" t="s">
        <v>11</v>
      </c>
      <c r="U32" s="1462">
        <f t="shared" si="13"/>
        <v>115</v>
      </c>
      <c r="V32" s="1461" t="s">
        <v>11</v>
      </c>
      <c r="W32" s="1462">
        <f t="shared" si="14"/>
        <v>115</v>
      </c>
      <c r="X32" s="3454"/>
      <c r="Y32" s="3701" t="s">
        <v>533</v>
      </c>
      <c r="Z32" s="3453" t="str">
        <f t="shared" si="15"/>
        <v>建筑类型</v>
      </c>
      <c r="AA32" s="3455">
        <f t="shared" si="3"/>
        <v>1</v>
      </c>
      <c r="AB32" s="3455">
        <f t="shared" si="4"/>
        <v>0.86956521739130432</v>
      </c>
      <c r="AC32" s="3455">
        <f t="shared" si="5"/>
        <v>0.86956521739130432</v>
      </c>
    </row>
    <row r="33" spans="1:29" s="1247" customFormat="1" ht="15">
      <c r="A33" s="580"/>
      <c r="B33" s="504" t="s">
        <v>708</v>
      </c>
      <c r="C33" s="850">
        <f>'数据-汇总表'!E3</f>
        <v>184715.46</v>
      </c>
      <c r="D33" s="253">
        <v>100</v>
      </c>
      <c r="E33" s="511">
        <f>Sheet4!G32</f>
        <v>2340010</v>
      </c>
      <c r="F33" s="835">
        <f>LOOKUP(E33,103:103,104:104)-LOOKUP(C33,103:103,104:104)+100</f>
        <v>100</v>
      </c>
      <c r="G33" s="510">
        <f>Sheet4!G33</f>
        <v>2340010</v>
      </c>
      <c r="H33" s="253">
        <f>LOOKUP(G33,103:103,104:104)-LOOKUP(C33,103:103,104:104)+100</f>
        <v>100</v>
      </c>
      <c r="I33" s="511">
        <f>Sheet4!G34</f>
        <v>42327</v>
      </c>
      <c r="J33" s="253">
        <f>LOOKUP(I33,103:103,104:104)-LOOKUP(C33,103:103,104:104)+100</f>
        <v>100</v>
      </c>
      <c r="K33" s="837"/>
      <c r="L33" s="1974"/>
      <c r="M33" s="2004"/>
      <c r="N33" s="2004"/>
      <c r="O33" s="1977"/>
      <c r="P33" s="3701"/>
      <c r="Q33" s="1489" t="str">
        <f t="shared" si="11"/>
        <v>项目建筑规模</v>
      </c>
      <c r="R33" s="1465" t="s">
        <v>11</v>
      </c>
      <c r="S33" s="1466">
        <f t="shared" si="12"/>
        <v>100</v>
      </c>
      <c r="T33" s="1465" t="s">
        <v>11</v>
      </c>
      <c r="U33" s="1466">
        <f t="shared" si="13"/>
        <v>100</v>
      </c>
      <c r="V33" s="1465" t="s">
        <v>11</v>
      </c>
      <c r="W33" s="1466">
        <f t="shared" si="14"/>
        <v>100</v>
      </c>
      <c r="X33" s="1467"/>
      <c r="Y33" s="3701"/>
      <c r="Z33" s="1468" t="str">
        <f t="shared" si="15"/>
        <v>项目建筑规模</v>
      </c>
      <c r="AA33" s="3455">
        <f t="shared" si="3"/>
        <v>1</v>
      </c>
      <c r="AB33" s="3455">
        <f t="shared" si="4"/>
        <v>1</v>
      </c>
      <c r="AC33" s="3455">
        <f t="shared" si="5"/>
        <v>1</v>
      </c>
    </row>
    <row r="34" spans="1:29" ht="15">
      <c r="A34" s="571"/>
      <c r="B34" s="504" t="s">
        <v>709</v>
      </c>
      <c r="C34" s="3485" t="s">
        <v>3419</v>
      </c>
      <c r="D34" s="517">
        <v>100</v>
      </c>
      <c r="E34" s="3486" t="s">
        <v>3419</v>
      </c>
      <c r="F34" s="552">
        <f>SUMIF(105:105,E34,106:106)-SUMIF(105:105,C34,106:106)+100</f>
        <v>100</v>
      </c>
      <c r="G34" s="3485" t="s">
        <v>3419</v>
      </c>
      <c r="H34" s="517">
        <f>SUMIF(105:105,G34,106:106)-SUMIF(105:105,C34,106:106)+100</f>
        <v>100</v>
      </c>
      <c r="I34" s="3486" t="s">
        <v>3419</v>
      </c>
      <c r="J34" s="517">
        <f>SUMIF(105:105,I34,106:106)-SUMIF(105:105,C34,106:106)+100</f>
        <v>100</v>
      </c>
      <c r="K34" s="836"/>
      <c r="L34" s="1976"/>
      <c r="M34" s="1968"/>
      <c r="N34" s="1968"/>
      <c r="O34" s="1975"/>
      <c r="P34" s="3701"/>
      <c r="Q34" s="3452" t="str">
        <f t="shared" si="11"/>
        <v>建筑结构</v>
      </c>
      <c r="R34" s="1461" t="s">
        <v>11</v>
      </c>
      <c r="S34" s="1462">
        <f t="shared" si="12"/>
        <v>100</v>
      </c>
      <c r="T34" s="1461" t="s">
        <v>11</v>
      </c>
      <c r="U34" s="1462">
        <f t="shared" si="13"/>
        <v>100</v>
      </c>
      <c r="V34" s="1461" t="s">
        <v>11</v>
      </c>
      <c r="W34" s="1462">
        <f t="shared" si="14"/>
        <v>100</v>
      </c>
      <c r="X34" s="3454"/>
      <c r="Y34" s="3701"/>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1"/>
      <c r="Q35" s="3452" t="str">
        <f t="shared" si="11"/>
        <v>建筑品质</v>
      </c>
      <c r="R35" s="1461" t="s">
        <v>11</v>
      </c>
      <c r="S35" s="1462">
        <f t="shared" si="12"/>
        <v>100</v>
      </c>
      <c r="T35" s="1461" t="s">
        <v>11</v>
      </c>
      <c r="U35" s="1462">
        <f t="shared" si="13"/>
        <v>100</v>
      </c>
      <c r="V35" s="1461" t="s">
        <v>11</v>
      </c>
      <c r="W35" s="1462">
        <f t="shared" si="14"/>
        <v>100</v>
      </c>
      <c r="X35" s="3454"/>
      <c r="Y35" s="3701"/>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1"/>
      <c r="Q36" s="3452" t="str">
        <f t="shared" si="11"/>
        <v>公共部分装修</v>
      </c>
      <c r="R36" s="1461" t="s">
        <v>11</v>
      </c>
      <c r="S36" s="1462">
        <f t="shared" si="12"/>
        <v>100</v>
      </c>
      <c r="T36" s="1461" t="s">
        <v>11</v>
      </c>
      <c r="U36" s="1462">
        <f t="shared" si="13"/>
        <v>100</v>
      </c>
      <c r="V36" s="1461" t="s">
        <v>11</v>
      </c>
      <c r="W36" s="1462">
        <f t="shared" si="14"/>
        <v>100</v>
      </c>
      <c r="X36" s="3454"/>
      <c r="Y36" s="3701"/>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1"/>
      <c r="Q37" s="3451" t="str">
        <f t="shared" si="11"/>
        <v>成新度</v>
      </c>
      <c r="R37" s="1456" t="s">
        <v>11</v>
      </c>
      <c r="S37" s="1457">
        <f t="shared" si="12"/>
        <v>100</v>
      </c>
      <c r="T37" s="1456" t="s">
        <v>11</v>
      </c>
      <c r="U37" s="1457">
        <f t="shared" si="13"/>
        <v>100</v>
      </c>
      <c r="V37" s="1456" t="s">
        <v>11</v>
      </c>
      <c r="W37" s="1457">
        <f t="shared" si="14"/>
        <v>100</v>
      </c>
      <c r="X37" s="1458"/>
      <c r="Y37" s="3701"/>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1" t="s">
        <v>533</v>
      </c>
      <c r="Q38" s="3452" t="str">
        <f t="shared" si="11"/>
        <v>物业管理</v>
      </c>
      <c r="R38" s="1461" t="s">
        <v>11</v>
      </c>
      <c r="S38" s="1462">
        <f t="shared" si="12"/>
        <v>100</v>
      </c>
      <c r="T38" s="1461" t="s">
        <v>11</v>
      </c>
      <c r="U38" s="1462">
        <f t="shared" si="13"/>
        <v>100</v>
      </c>
      <c r="V38" s="1461" t="s">
        <v>11</v>
      </c>
      <c r="W38" s="1462">
        <f t="shared" si="14"/>
        <v>100</v>
      </c>
      <c r="X38" s="3454"/>
      <c r="Y38" s="3701"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1"/>
      <c r="Q39" s="3452" t="str">
        <f t="shared" si="11"/>
        <v>市政基础设施</v>
      </c>
      <c r="R39" s="1461" t="s">
        <v>11</v>
      </c>
      <c r="S39" s="1462">
        <f t="shared" si="12"/>
        <v>100</v>
      </c>
      <c r="T39" s="1461" t="s">
        <v>11</v>
      </c>
      <c r="U39" s="1462">
        <f t="shared" si="13"/>
        <v>100</v>
      </c>
      <c r="V39" s="1461" t="s">
        <v>11</v>
      </c>
      <c r="W39" s="1462">
        <f t="shared" si="14"/>
        <v>100</v>
      </c>
      <c r="X39" s="3454"/>
      <c r="Y39" s="3701"/>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1"/>
      <c r="Q40" s="3452" t="str">
        <f t="shared" si="11"/>
        <v>房型</v>
      </c>
      <c r="R40" s="1461" t="s">
        <v>11</v>
      </c>
      <c r="S40" s="1462">
        <f t="shared" si="12"/>
        <v>100</v>
      </c>
      <c r="T40" s="1461" t="s">
        <v>11</v>
      </c>
      <c r="U40" s="1462">
        <f t="shared" si="13"/>
        <v>100</v>
      </c>
      <c r="V40" s="1461" t="s">
        <v>11</v>
      </c>
      <c r="W40" s="1462">
        <f t="shared" si="14"/>
        <v>100</v>
      </c>
      <c r="X40" s="3454"/>
      <c r="Y40" s="3701"/>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1"/>
      <c r="Q41" s="1489" t="str">
        <f t="shared" si="11"/>
        <v>单套/主力户型建筑面积</v>
      </c>
      <c r="R41" s="1465" t="s">
        <v>11</v>
      </c>
      <c r="S41" s="1466">
        <f t="shared" si="12"/>
        <v>100</v>
      </c>
      <c r="T41" s="1465" t="s">
        <v>11</v>
      </c>
      <c r="U41" s="1466">
        <f t="shared" si="13"/>
        <v>100</v>
      </c>
      <c r="V41" s="1465" t="s">
        <v>11</v>
      </c>
      <c r="W41" s="1466">
        <f t="shared" si="14"/>
        <v>100</v>
      </c>
      <c r="X41" s="1467"/>
      <c r="Y41" s="3701"/>
      <c r="Z41" s="1468" t="str">
        <f t="shared" si="15"/>
        <v>单套/主力户型建筑面积</v>
      </c>
      <c r="AA41" s="3455">
        <f t="shared" si="3"/>
        <v>1</v>
      </c>
      <c r="AB41" s="3455">
        <f t="shared" si="4"/>
        <v>1</v>
      </c>
      <c r="AC41" s="3455">
        <f t="shared" si="5"/>
        <v>1</v>
      </c>
    </row>
    <row r="42" spans="1:29" ht="15">
      <c r="A42" s="571"/>
      <c r="B42" s="504" t="s">
        <v>716</v>
      </c>
      <c r="C42" s="3487" t="s">
        <v>3420</v>
      </c>
      <c r="D42" s="517">
        <v>100</v>
      </c>
      <c r="E42" s="3488" t="s">
        <v>3454</v>
      </c>
      <c r="F42" s="552">
        <f>SUMIF(122:122,E42,123:123)-SUMIF(122:122,C42,123:123)+100</f>
        <v>104</v>
      </c>
      <c r="G42" s="3487" t="s">
        <v>3454</v>
      </c>
      <c r="H42" s="517">
        <f>SUMIF(122:122,G42,123:123)-SUMIF(122:122,C42,123:123)+100</f>
        <v>104</v>
      </c>
      <c r="I42" s="3488" t="s">
        <v>3454</v>
      </c>
      <c r="J42" s="517">
        <f>SUMIF(122:122,I42,123:123)-SUMIF(122:122,C42,123:123)+100</f>
        <v>104</v>
      </c>
      <c r="K42" s="836">
        <v>2</v>
      </c>
      <c r="L42" s="1976"/>
      <c r="M42" s="1968"/>
      <c r="N42" s="1968"/>
      <c r="O42" s="1975"/>
      <c r="P42" s="3701"/>
      <c r="Q42" s="3452" t="str">
        <f t="shared" si="11"/>
        <v>内部装修</v>
      </c>
      <c r="R42" s="1461" t="s">
        <v>11</v>
      </c>
      <c r="S42" s="1462">
        <f t="shared" si="12"/>
        <v>104</v>
      </c>
      <c r="T42" s="1461" t="s">
        <v>11</v>
      </c>
      <c r="U42" s="1462">
        <f t="shared" si="13"/>
        <v>104</v>
      </c>
      <c r="V42" s="1461" t="s">
        <v>11</v>
      </c>
      <c r="W42" s="1462">
        <f t="shared" si="14"/>
        <v>104</v>
      </c>
      <c r="X42" s="3454"/>
      <c r="Y42" s="3701"/>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1"/>
      <c r="Q43" s="3452" t="str">
        <f t="shared" si="11"/>
        <v>内部装修维护情况</v>
      </c>
      <c r="R43" s="1461" t="s">
        <v>11</v>
      </c>
      <c r="S43" s="1462">
        <f t="shared" si="12"/>
        <v>100</v>
      </c>
      <c r="T43" s="1461" t="s">
        <v>11</v>
      </c>
      <c r="U43" s="1462">
        <f t="shared" si="13"/>
        <v>100</v>
      </c>
      <c r="V43" s="1461" t="s">
        <v>11</v>
      </c>
      <c r="W43" s="1462">
        <f t="shared" si="14"/>
        <v>100</v>
      </c>
      <c r="X43" s="3454"/>
      <c r="Y43" s="3701"/>
      <c r="Z43" s="3453" t="str">
        <f t="shared" si="15"/>
        <v>内部装修维护情况</v>
      </c>
      <c r="AA43" s="3455">
        <f t="shared" si="3"/>
        <v>1</v>
      </c>
      <c r="AB43" s="3455">
        <f t="shared" si="4"/>
        <v>1</v>
      </c>
      <c r="AC43" s="3455">
        <f t="shared" si="5"/>
        <v>1</v>
      </c>
    </row>
    <row r="44" spans="1:29" s="1165" customFormat="1" ht="15">
      <c r="A44" s="577"/>
      <c r="B44" s="849">
        <v>111</v>
      </c>
      <c r="C44" s="3493" t="s">
        <v>3455</v>
      </c>
      <c r="D44" s="253">
        <v>100</v>
      </c>
      <c r="E44" s="3493" t="s">
        <v>3456</v>
      </c>
      <c r="F44" s="835">
        <f>SUMIF(126:126,E44,127:127)-SUMIF(126:126,C44,127:127)+100</f>
        <v>95</v>
      </c>
      <c r="G44" s="3493" t="s">
        <v>3456</v>
      </c>
      <c r="H44" s="253">
        <f>SUMIF(126:126,G44,127:127)-SUMIF(126:126,C44,127:127)+100</f>
        <v>95</v>
      </c>
      <c r="I44" s="3493" t="s">
        <v>3457</v>
      </c>
      <c r="J44" s="253">
        <f>SUMIF(126:126,I44,127:127)-SUMIF(126:126,C44,127:127)+100</f>
        <v>95</v>
      </c>
      <c r="K44" s="837"/>
      <c r="L44" s="1969"/>
      <c r="M44" s="1970"/>
      <c r="N44" s="1970"/>
      <c r="O44" s="1971"/>
      <c r="P44" s="3701"/>
      <c r="Q44" s="3451">
        <f t="shared" si="11"/>
        <v>111</v>
      </c>
      <c r="R44" s="1456" t="s">
        <v>11</v>
      </c>
      <c r="S44" s="1457">
        <f t="shared" si="12"/>
        <v>95</v>
      </c>
      <c r="T44" s="1456" t="s">
        <v>11</v>
      </c>
      <c r="U44" s="1457">
        <f t="shared" si="13"/>
        <v>95</v>
      </c>
      <c r="V44" s="1456" t="s">
        <v>11</v>
      </c>
      <c r="W44" s="1457">
        <f t="shared" si="14"/>
        <v>95</v>
      </c>
      <c r="X44" s="1458"/>
      <c r="Y44" s="3701"/>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1"/>
      <c r="Q45" s="3452">
        <f t="shared" si="11"/>
        <v>111</v>
      </c>
      <c r="R45" s="1461" t="s">
        <v>11</v>
      </c>
      <c r="S45" s="1462">
        <f t="shared" si="12"/>
        <v>100</v>
      </c>
      <c r="T45" s="1461" t="s">
        <v>11</v>
      </c>
      <c r="U45" s="1462">
        <f t="shared" si="13"/>
        <v>100</v>
      </c>
      <c r="V45" s="1461" t="s">
        <v>11</v>
      </c>
      <c r="W45" s="1462">
        <f t="shared" si="14"/>
        <v>100</v>
      </c>
      <c r="X45" s="3454"/>
      <c r="Y45" s="3701"/>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15"/>
      <c r="Q46" s="3452">
        <f t="shared" si="11"/>
        <v>111</v>
      </c>
      <c r="R46" s="1461" t="s">
        <v>8</v>
      </c>
      <c r="S46" s="1462">
        <f t="shared" si="12"/>
        <v>100</v>
      </c>
      <c r="T46" s="1461" t="s">
        <v>8</v>
      </c>
      <c r="U46" s="1462">
        <f t="shared" si="13"/>
        <v>100</v>
      </c>
      <c r="V46" s="1461" t="s">
        <v>8</v>
      </c>
      <c r="W46" s="1462">
        <f t="shared" si="14"/>
        <v>100</v>
      </c>
      <c r="X46" s="3454"/>
      <c r="Y46" s="3815"/>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96" t="str">
        <f>A47</f>
        <v>成交单价（元/平方米）</v>
      </c>
      <c r="Q47" s="3696"/>
      <c r="R47" s="3814">
        <f>E47</f>
        <v>7902</v>
      </c>
      <c r="S47" s="3814"/>
      <c r="T47" s="3814">
        <f>G47</f>
        <v>8521</v>
      </c>
      <c r="U47" s="3814"/>
      <c r="V47" s="3814">
        <f>I47</f>
        <v>8602</v>
      </c>
      <c r="W47" s="3814"/>
      <c r="X47" s="1450"/>
      <c r="Y47" s="1469"/>
      <c r="Z47" s="1450"/>
      <c r="AA47" s="1450"/>
      <c r="AB47" s="1450"/>
      <c r="AC47" s="1450"/>
    </row>
    <row r="48" spans="1:29" ht="15.75" thickBot="1">
      <c r="A48" s="592" t="s">
        <v>2476</v>
      </c>
      <c r="B48" s="858"/>
      <c r="C48" s="2396">
        <f>R49</f>
        <v>7491</v>
      </c>
      <c r="D48" s="2919" t="s">
        <v>2700</v>
      </c>
      <c r="E48" s="2397">
        <f>R48</f>
        <v>7841</v>
      </c>
      <c r="F48" s="2920"/>
      <c r="G48" s="2396">
        <f>T48</f>
        <v>7353</v>
      </c>
      <c r="H48" s="2920"/>
      <c r="I48" s="2397">
        <f>V48</f>
        <v>7280</v>
      </c>
      <c r="J48" s="2920"/>
      <c r="K48" s="2928">
        <f>F48+H48+J48</f>
        <v>0</v>
      </c>
      <c r="L48" s="1978"/>
      <c r="M48" s="1979"/>
      <c r="N48" s="1979"/>
      <c r="O48" s="1979"/>
      <c r="P48" s="3696" t="str">
        <f>A48</f>
        <v>比较价格（元/平方米）</v>
      </c>
      <c r="Q48" s="3696"/>
      <c r="R48" s="3814">
        <f>IF(F1="售价",ROUND(PRODUCT(R47,AA7:AA46),0),ROUND(PRODUCT(R47,AA7:AA46),1))</f>
        <v>7841</v>
      </c>
      <c r="S48" s="3814"/>
      <c r="T48" s="3814">
        <f>IF(F1="售价",ROUND(PRODUCT(T47,AB7:AB46),0),ROUND(PRODUCT(T47,AB7:AB46),1))</f>
        <v>7353</v>
      </c>
      <c r="U48" s="3814"/>
      <c r="V48" s="3814">
        <f>IF(F1="售价",ROUND(PRODUCT(V47,AC7:AC46),0),ROUND(PRODUCT(V47,AC7:AC46),1))</f>
        <v>7280</v>
      </c>
      <c r="W48" s="3814"/>
      <c r="X48" s="1450"/>
      <c r="Y48" s="1450"/>
      <c r="Z48" s="1450"/>
      <c r="AA48" s="1450"/>
      <c r="AB48" s="1450"/>
      <c r="AC48" s="1450"/>
    </row>
    <row r="49" spans="1:29" ht="15.75" thickBot="1">
      <c r="A49" s="596" t="s">
        <v>2636</v>
      </c>
      <c r="B49" s="597"/>
      <c r="C49" s="2398">
        <f>R49</f>
        <v>7491</v>
      </c>
      <c r="D49" s="2398"/>
      <c r="E49" s="2398"/>
      <c r="F49" s="2398"/>
      <c r="G49" s="2398"/>
      <c r="H49" s="2398"/>
      <c r="I49" s="2398"/>
      <c r="J49" s="2398"/>
      <c r="K49" s="1491"/>
      <c r="L49" s="1978"/>
      <c r="M49" s="1979"/>
      <c r="N49" s="1979"/>
      <c r="O49" s="1979"/>
      <c r="P49" s="3702" t="str">
        <f>A49</f>
        <v>估价对象XX用房的比较价格（楼面单价，元/平方米）</v>
      </c>
      <c r="Q49" s="3703"/>
      <c r="R49" s="3813">
        <f>IF(F1="售价",ROUND(IF(D48="简单平均",AVERAGE(R48:V48),R48*F48+T48*H48+V48*J48),0),ROUND(IF(D48="简单平均",AVERAGE(R48:V48),R48*F48+T48*H48+V48*J48),1))</f>
        <v>7491</v>
      </c>
      <c r="S49" s="3813"/>
      <c r="T49" s="3813"/>
      <c r="U49" s="3813"/>
      <c r="V49" s="3813"/>
      <c r="W49" s="3813"/>
      <c r="X49" s="1450"/>
      <c r="Y49" s="1450"/>
      <c r="Z49" s="1450"/>
      <c r="AA49" s="1450"/>
      <c r="AB49" s="1450"/>
      <c r="AC49" s="1450"/>
    </row>
    <row r="50" spans="1:29">
      <c r="A50" s="3119"/>
      <c r="B50" s="3119"/>
      <c r="C50" s="3119"/>
      <c r="D50" s="3119"/>
      <c r="E50" s="3119">
        <f>E47*0.04</f>
        <v>316.08</v>
      </c>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7.7796199464355009E-3</v>
      </c>
      <c r="F52" s="602" t="str">
        <f>IF(OR(E52&gt;=0.3,E52&lt;=-0.3),"超过30%","")</f>
        <v/>
      </c>
      <c r="G52" s="601">
        <f>IF(G47&lt;G48,G48/G47-1,G47/G48-1)</f>
        <v>0.15884672922616616</v>
      </c>
      <c r="H52" s="602" t="str">
        <f>IF(OR(G52&gt;=0.3,G52&lt;=-0.3),"超过30%","")</f>
        <v/>
      </c>
      <c r="I52" s="601">
        <f>IF(I47&lt;I48,I48/I47-1,I47/I48-1)</f>
        <v>0.18159340659340661</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6.6367469060247597E-2</v>
      </c>
      <c r="F53" s="602" t="str">
        <f>IF(OR(E53&gt;=0.2,E53&lt;=-0.2),"超过20%","")</f>
        <v/>
      </c>
      <c r="G53" s="601">
        <f>IF(G48&lt;I48,I48/G48-1,G48/I48-1)</f>
        <v>1.0027472527472492E-2</v>
      </c>
      <c r="H53" s="602" t="str">
        <f>IF(OR(G53&gt;=0.2,G53&lt;=-0.2),"超过20%","")</f>
        <v/>
      </c>
      <c r="I53" s="601">
        <f>IF(I48&lt;E48,E48/I48-1,I48/E48-1)</f>
        <v>7.7060439560439509E-2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3452</v>
      </c>
      <c r="D100" s="3480" t="s">
        <v>3453</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85</v>
      </c>
      <c r="E101" s="654">
        <f t="shared" si="22"/>
        <v>70</v>
      </c>
      <c r="F101" s="654">
        <f t="shared" si="22"/>
        <v>55</v>
      </c>
      <c r="G101" s="654">
        <f t="shared" si="22"/>
        <v>40</v>
      </c>
      <c r="H101" s="654">
        <f t="shared" si="22"/>
        <v>25</v>
      </c>
      <c r="I101" s="654">
        <f t="shared" si="22"/>
        <v>10</v>
      </c>
      <c r="J101" s="654">
        <f t="shared" si="22"/>
        <v>-5</v>
      </c>
      <c r="K101" s="654">
        <f t="shared" si="22"/>
        <v>-20</v>
      </c>
      <c r="L101" s="654">
        <f t="shared" si="22"/>
        <v>-35</v>
      </c>
      <c r="M101" s="654">
        <f t="shared" si="22"/>
        <v>-50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0(含)-3000000</v>
      </c>
      <c r="D102" s="683" t="str">
        <f t="shared" ref="D102:L102" si="23">D103&amp;"(含)"&amp;"-"&amp;E103</f>
        <v>3000000(含)-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3000000</v>
      </c>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100</v>
      </c>
      <c r="E104" s="646"/>
      <c r="F104" s="646"/>
      <c r="G104" s="646"/>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3421</v>
      </c>
      <c r="D122" s="3489" t="s">
        <v>3422</v>
      </c>
      <c r="E122" s="3489" t="s">
        <v>3423</v>
      </c>
      <c r="F122" s="3477" t="s">
        <v>3420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3455</v>
      </c>
      <c r="D126" s="3489" t="s">
        <v>3457</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93.75">
      <c r="A7" s="2510" t="s">
        <v>2464</v>
      </c>
    </row>
    <row r="8" spans="1:4" ht="18.75">
      <c r="A8" s="1662" t="s">
        <v>1701</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704" t="s">
        <v>780</v>
      </c>
      <c r="D4" s="3705"/>
      <c r="E4" s="3704" t="s">
        <v>781</v>
      </c>
      <c r="F4" s="3705"/>
      <c r="G4" s="3704" t="s">
        <v>782</v>
      </c>
      <c r="H4" s="3705"/>
      <c r="I4" s="3704" t="s">
        <v>783</v>
      </c>
      <c r="J4" s="3705"/>
      <c r="K4" s="491" t="s">
        <v>784</v>
      </c>
      <c r="L4" s="1967"/>
      <c r="M4" s="1968"/>
      <c r="N4" s="1968"/>
      <c r="O4" s="1968"/>
      <c r="P4" s="3706" t="s">
        <v>785</v>
      </c>
      <c r="Q4" s="3707"/>
      <c r="R4" s="3690" t="s">
        <v>781</v>
      </c>
      <c r="S4" s="3691"/>
      <c r="T4" s="3690" t="s">
        <v>782</v>
      </c>
      <c r="U4" s="3691"/>
      <c r="V4" s="3712" t="s">
        <v>783</v>
      </c>
      <c r="W4" s="3712"/>
      <c r="X4" s="1455"/>
      <c r="Y4" s="3690" t="s">
        <v>785</v>
      </c>
      <c r="Z4" s="3691"/>
      <c r="AA4" s="3685" t="s">
        <v>781</v>
      </c>
      <c r="AB4" s="3686" t="s">
        <v>782</v>
      </c>
      <c r="AC4" s="3685" t="s">
        <v>783</v>
      </c>
    </row>
    <row r="5" spans="1:29" ht="15">
      <c r="A5" s="492"/>
      <c r="B5" s="493"/>
      <c r="C5" s="3715" t="s">
        <v>2630</v>
      </c>
      <c r="D5" s="3716"/>
      <c r="E5" s="3715" t="s">
        <v>2631</v>
      </c>
      <c r="F5" s="3716"/>
      <c r="G5" s="3715" t="s">
        <v>2632</v>
      </c>
      <c r="H5" s="3716"/>
      <c r="I5" s="3715" t="s">
        <v>2633</v>
      </c>
      <c r="J5" s="3716"/>
      <c r="K5" s="491"/>
      <c r="L5" s="1967"/>
      <c r="M5" s="1968"/>
      <c r="N5" s="1968"/>
      <c r="O5" s="1968"/>
      <c r="P5" s="3708"/>
      <c r="Q5" s="3709"/>
      <c r="R5" s="3692"/>
      <c r="S5" s="3693"/>
      <c r="T5" s="3692"/>
      <c r="U5" s="3693"/>
      <c r="V5" s="3712"/>
      <c r="W5" s="3712"/>
      <c r="X5" s="1455"/>
      <c r="Y5" s="3692"/>
      <c r="Z5" s="3693"/>
      <c r="AA5" s="3686"/>
      <c r="AB5" s="3686"/>
      <c r="AC5" s="3686"/>
    </row>
    <row r="6" spans="1:29" ht="15.75" thickBot="1">
      <c r="A6" s="494"/>
      <c r="B6" s="495"/>
      <c r="C6" s="3713" t="s">
        <v>2634</v>
      </c>
      <c r="D6" s="3714"/>
      <c r="E6" s="3717" t="s">
        <v>2634</v>
      </c>
      <c r="F6" s="3718"/>
      <c r="G6" s="3713" t="s">
        <v>2634</v>
      </c>
      <c r="H6" s="3714"/>
      <c r="I6" s="3713" t="s">
        <v>2634</v>
      </c>
      <c r="J6" s="3714"/>
      <c r="K6" s="491" t="s">
        <v>511</v>
      </c>
      <c r="L6" s="1967"/>
      <c r="M6" s="1968"/>
      <c r="N6" s="1968"/>
      <c r="O6" s="1968"/>
      <c r="P6" s="3710"/>
      <c r="Q6" s="3711"/>
      <c r="R6" s="3692"/>
      <c r="S6" s="3693"/>
      <c r="T6" s="3694"/>
      <c r="U6" s="3695"/>
      <c r="V6" s="3712"/>
      <c r="W6" s="3712"/>
      <c r="X6" s="1455"/>
      <c r="Y6" s="3694"/>
      <c r="Z6" s="3695"/>
      <c r="AA6" s="3687"/>
      <c r="AB6" s="3687"/>
      <c r="AC6" s="3687"/>
    </row>
    <row r="7" spans="1:29" s="1165" customFormat="1" ht="15.75" thickBot="1">
      <c r="A7" s="2548"/>
      <c r="B7" s="2555"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88" t="s">
        <v>513</v>
      </c>
      <c r="Q7" s="3697"/>
      <c r="R7" s="1456" t="s">
        <v>8</v>
      </c>
      <c r="S7" s="1457">
        <f t="shared" ref="S7:S14" si="0">F7</f>
        <v>0</v>
      </c>
      <c r="T7" s="1456" t="s">
        <v>8</v>
      </c>
      <c r="U7" s="1457">
        <f t="shared" ref="U7:U14" si="1">H7</f>
        <v>0</v>
      </c>
      <c r="V7" s="1456" t="s">
        <v>8</v>
      </c>
      <c r="W7" s="1457">
        <f t="shared" ref="W7:W14" si="2">J7</f>
        <v>0</v>
      </c>
      <c r="X7" s="1458"/>
      <c r="Y7" s="3688" t="s">
        <v>513</v>
      </c>
      <c r="Z7" s="3689"/>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88" t="s">
        <v>516</v>
      </c>
      <c r="Q8" s="3689"/>
      <c r="R8" s="1456" t="s">
        <v>8</v>
      </c>
      <c r="S8" s="1457">
        <f t="shared" si="0"/>
        <v>0</v>
      </c>
      <c r="T8" s="1456" t="s">
        <v>8</v>
      </c>
      <c r="U8" s="1457">
        <f t="shared" si="1"/>
        <v>0</v>
      </c>
      <c r="V8" s="1456" t="s">
        <v>8</v>
      </c>
      <c r="W8" s="1457">
        <f t="shared" si="2"/>
        <v>0</v>
      </c>
      <c r="X8" s="1458"/>
      <c r="Y8" s="3688" t="s">
        <v>516</v>
      </c>
      <c r="Z8" s="3689"/>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96" t="s">
        <v>518</v>
      </c>
      <c r="Q9" s="1096" t="str">
        <f t="shared" ref="Q9:Q14" si="6">B9</f>
        <v>用途</v>
      </c>
      <c r="R9" s="1456" t="s">
        <v>8</v>
      </c>
      <c r="S9" s="1457">
        <f t="shared" si="0"/>
        <v>100</v>
      </c>
      <c r="T9" s="1456" t="s">
        <v>8</v>
      </c>
      <c r="U9" s="1457">
        <f t="shared" si="1"/>
        <v>100</v>
      </c>
      <c r="V9" s="1456" t="s">
        <v>8</v>
      </c>
      <c r="W9" s="1457">
        <f t="shared" si="2"/>
        <v>100</v>
      </c>
      <c r="X9" s="1458"/>
      <c r="Y9" s="3648"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96"/>
      <c r="Q10" s="1096" t="str">
        <f t="shared" si="6"/>
        <v>土地使用年限（年）</v>
      </c>
      <c r="R10" s="1456" t="s">
        <v>8</v>
      </c>
      <c r="S10" s="1457">
        <f t="shared" si="0"/>
        <v>100</v>
      </c>
      <c r="T10" s="1456" t="s">
        <v>8</v>
      </c>
      <c r="U10" s="1457">
        <f t="shared" si="1"/>
        <v>100</v>
      </c>
      <c r="V10" s="1456" t="s">
        <v>8</v>
      </c>
      <c r="W10" s="1457">
        <f t="shared" si="2"/>
        <v>100</v>
      </c>
      <c r="X10" s="1458"/>
      <c r="Y10" s="3648"/>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96"/>
      <c r="Q11" s="1096">
        <f t="shared" si="6"/>
        <v>111</v>
      </c>
      <c r="R11" s="1456" t="s">
        <v>8</v>
      </c>
      <c r="S11" s="1457">
        <f t="shared" si="0"/>
        <v>100</v>
      </c>
      <c r="T11" s="1456" t="s">
        <v>8</v>
      </c>
      <c r="U11" s="1457">
        <f t="shared" si="1"/>
        <v>100</v>
      </c>
      <c r="V11" s="1456" t="s">
        <v>8</v>
      </c>
      <c r="W11" s="1457">
        <f t="shared" si="2"/>
        <v>100</v>
      </c>
      <c r="X11" s="1458"/>
      <c r="Y11" s="3648"/>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96"/>
      <c r="Q12" s="1096">
        <f t="shared" si="6"/>
        <v>111</v>
      </c>
      <c r="R12" s="1456" t="s">
        <v>8</v>
      </c>
      <c r="S12" s="1457">
        <f t="shared" si="0"/>
        <v>100</v>
      </c>
      <c r="T12" s="1456" t="s">
        <v>8</v>
      </c>
      <c r="U12" s="1457">
        <f t="shared" si="1"/>
        <v>100</v>
      </c>
      <c r="V12" s="1456" t="s">
        <v>8</v>
      </c>
      <c r="W12" s="1457">
        <f t="shared" si="2"/>
        <v>100</v>
      </c>
      <c r="X12" s="1458"/>
      <c r="Y12" s="3648"/>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96"/>
      <c r="Q13" s="1096">
        <f t="shared" si="6"/>
        <v>111</v>
      </c>
      <c r="R13" s="1456" t="s">
        <v>8</v>
      </c>
      <c r="S13" s="1457">
        <f t="shared" si="0"/>
        <v>100</v>
      </c>
      <c r="T13" s="1456" t="s">
        <v>8</v>
      </c>
      <c r="U13" s="1457">
        <f t="shared" si="1"/>
        <v>100</v>
      </c>
      <c r="V13" s="1456" t="s">
        <v>8</v>
      </c>
      <c r="W13" s="1457">
        <f t="shared" si="2"/>
        <v>100</v>
      </c>
      <c r="X13" s="1458"/>
      <c r="Y13" s="3648"/>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698" t="s">
        <v>523</v>
      </c>
      <c r="Q14" s="1460" t="str">
        <f t="shared" si="6"/>
        <v>交通便捷度</v>
      </c>
      <c r="R14" s="1461" t="s">
        <v>8</v>
      </c>
      <c r="S14" s="1462">
        <f t="shared" si="0"/>
        <v>100</v>
      </c>
      <c r="T14" s="1461" t="s">
        <v>8</v>
      </c>
      <c r="U14" s="1462">
        <f t="shared" si="1"/>
        <v>100</v>
      </c>
      <c r="V14" s="1461" t="s">
        <v>8</v>
      </c>
      <c r="W14" s="1462">
        <f t="shared" si="2"/>
        <v>100</v>
      </c>
      <c r="X14" s="1455"/>
      <c r="Y14" s="3698"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699"/>
      <c r="Q15" s="1460"/>
      <c r="R15" s="1461"/>
      <c r="S15" s="1462"/>
      <c r="T15" s="1461"/>
      <c r="U15" s="1462"/>
      <c r="V15" s="1461"/>
      <c r="W15" s="1462"/>
      <c r="X15" s="1455"/>
      <c r="Y15" s="3699"/>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699"/>
      <c r="Q16" s="1460" t="str">
        <f>B16</f>
        <v>公共配套设施</v>
      </c>
      <c r="R16" s="1461" t="s">
        <v>8</v>
      </c>
      <c r="S16" s="1462">
        <f>F16</f>
        <v>100</v>
      </c>
      <c r="T16" s="1461" t="s">
        <v>8</v>
      </c>
      <c r="U16" s="1462">
        <f>H16</f>
        <v>100</v>
      </c>
      <c r="V16" s="1461" t="s">
        <v>8</v>
      </c>
      <c r="W16" s="1462">
        <f>J16</f>
        <v>100</v>
      </c>
      <c r="X16" s="1455"/>
      <c r="Y16" s="3699"/>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699"/>
      <c r="Q17" s="1460"/>
      <c r="R17" s="1461"/>
      <c r="S17" s="1462"/>
      <c r="T17" s="1461"/>
      <c r="U17" s="1462"/>
      <c r="V17" s="1461"/>
      <c r="W17" s="1462"/>
      <c r="X17" s="1455"/>
      <c r="Y17" s="3699"/>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699"/>
      <c r="Q18" s="2349" t="str">
        <f>B18</f>
        <v>基础设施水平</v>
      </c>
      <c r="R18" s="1461" t="s">
        <v>8</v>
      </c>
      <c r="S18" s="1462">
        <f>F18</f>
        <v>100</v>
      </c>
      <c r="T18" s="1461" t="s">
        <v>8</v>
      </c>
      <c r="U18" s="1462">
        <f>H18</f>
        <v>100</v>
      </c>
      <c r="V18" s="1461" t="s">
        <v>8</v>
      </c>
      <c r="W18" s="1462">
        <f>J18</f>
        <v>100</v>
      </c>
      <c r="X18" s="2351"/>
      <c r="Y18" s="3699"/>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699"/>
      <c r="Q19" s="2349"/>
      <c r="R19" s="1461"/>
      <c r="S19" s="1462"/>
      <c r="T19" s="1461"/>
      <c r="U19" s="1462"/>
      <c r="V19" s="1461"/>
      <c r="W19" s="1462"/>
      <c r="X19" s="2351"/>
      <c r="Y19" s="3699"/>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699"/>
      <c r="Q20" s="1460" t="str">
        <f>B20</f>
        <v>自然及人文环境</v>
      </c>
      <c r="R20" s="1461" t="s">
        <v>8</v>
      </c>
      <c r="S20" s="1462">
        <f>F20</f>
        <v>100</v>
      </c>
      <c r="T20" s="1461" t="s">
        <v>8</v>
      </c>
      <c r="U20" s="1462">
        <f>H20</f>
        <v>100</v>
      </c>
      <c r="V20" s="1461" t="s">
        <v>8</v>
      </c>
      <c r="W20" s="1462">
        <f>J20</f>
        <v>100</v>
      </c>
      <c r="X20" s="1455"/>
      <c r="Y20" s="3699"/>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699"/>
      <c r="Q21" s="1460"/>
      <c r="R21" s="1461"/>
      <c r="S21" s="1462"/>
      <c r="T21" s="1461"/>
      <c r="U21" s="1462"/>
      <c r="V21" s="1461"/>
      <c r="W21" s="1462"/>
      <c r="X21" s="1455"/>
      <c r="Y21" s="3699"/>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99"/>
      <c r="Q22" s="1460" t="str">
        <f>B22</f>
        <v>楼层</v>
      </c>
      <c r="R22" s="1461" t="s">
        <v>8</v>
      </c>
      <c r="S22" s="1462">
        <f>F22</f>
        <v>100</v>
      </c>
      <c r="T22" s="1461" t="s">
        <v>8</v>
      </c>
      <c r="U22" s="1462">
        <f>H22</f>
        <v>100</v>
      </c>
      <c r="V22" s="1461" t="s">
        <v>8</v>
      </c>
      <c r="W22" s="1462">
        <f>J22</f>
        <v>100</v>
      </c>
      <c r="X22" s="1455"/>
      <c r="Y22" s="3699"/>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99"/>
      <c r="Q23" s="1460">
        <f>B23</f>
        <v>111</v>
      </c>
      <c r="R23" s="1461" t="s">
        <v>8</v>
      </c>
      <c r="S23" s="1462">
        <f>F23</f>
        <v>100</v>
      </c>
      <c r="T23" s="1461" t="s">
        <v>8</v>
      </c>
      <c r="U23" s="1462">
        <f>H23</f>
        <v>100</v>
      </c>
      <c r="V23" s="1461" t="s">
        <v>8</v>
      </c>
      <c r="W23" s="1462">
        <f>J23</f>
        <v>100</v>
      </c>
      <c r="X23" s="1455"/>
      <c r="Y23" s="3699"/>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99"/>
      <c r="Q24" s="1460">
        <f t="shared" ref="Q24:Q36" si="11">B24</f>
        <v>111</v>
      </c>
      <c r="R24" s="1461" t="s">
        <v>8</v>
      </c>
      <c r="S24" s="1462">
        <f>F24</f>
        <v>100</v>
      </c>
      <c r="T24" s="1461" t="s">
        <v>8</v>
      </c>
      <c r="U24" s="1462">
        <f>H24</f>
        <v>100</v>
      </c>
      <c r="V24" s="1461" t="s">
        <v>8</v>
      </c>
      <c r="W24" s="1462">
        <f>J24</f>
        <v>100</v>
      </c>
      <c r="X24" s="1455"/>
      <c r="Y24" s="3699"/>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699"/>
      <c r="Q25" s="1096">
        <f t="shared" si="11"/>
        <v>111</v>
      </c>
      <c r="R25" s="1456" t="s">
        <v>8</v>
      </c>
      <c r="S25" s="1457">
        <f>F25</f>
        <v>100</v>
      </c>
      <c r="T25" s="1456" t="s">
        <v>8</v>
      </c>
      <c r="U25" s="1457">
        <f>H25</f>
        <v>100</v>
      </c>
      <c r="V25" s="1456" t="s">
        <v>8</v>
      </c>
      <c r="W25" s="1457">
        <f>J25</f>
        <v>100</v>
      </c>
      <c r="X25" s="1458"/>
      <c r="Y25" s="3699"/>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700"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01"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701"/>
      <c r="Q27" s="1489" t="str">
        <f t="shared" si="11"/>
        <v>项目停车位配比</v>
      </c>
      <c r="R27" s="1465" t="s">
        <v>8</v>
      </c>
      <c r="S27" s="1466">
        <f t="shared" si="12"/>
        <v>100</v>
      </c>
      <c r="T27" s="1465" t="s">
        <v>8</v>
      </c>
      <c r="U27" s="1466">
        <f t="shared" si="13"/>
        <v>100</v>
      </c>
      <c r="V27" s="1465" t="s">
        <v>8</v>
      </c>
      <c r="W27" s="1466">
        <f t="shared" si="14"/>
        <v>100</v>
      </c>
      <c r="X27" s="1467"/>
      <c r="Y27" s="3701"/>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701"/>
      <c r="Q28" s="1460" t="str">
        <f t="shared" si="11"/>
        <v>公共部分装修</v>
      </c>
      <c r="R28" s="1461" t="s">
        <v>8</v>
      </c>
      <c r="S28" s="1462">
        <f t="shared" si="12"/>
        <v>100</v>
      </c>
      <c r="T28" s="1461" t="s">
        <v>8</v>
      </c>
      <c r="U28" s="1462">
        <f t="shared" si="13"/>
        <v>100</v>
      </c>
      <c r="V28" s="1461" t="s">
        <v>8</v>
      </c>
      <c r="W28" s="1462">
        <f t="shared" si="14"/>
        <v>100</v>
      </c>
      <c r="X28" s="1455"/>
      <c r="Y28" s="3701"/>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701"/>
      <c r="Q29" s="1460" t="str">
        <f t="shared" si="11"/>
        <v>成新率</v>
      </c>
      <c r="R29" s="1461" t="s">
        <v>8</v>
      </c>
      <c r="S29" s="1462" t="e">
        <f t="shared" si="12"/>
        <v>#N/A</v>
      </c>
      <c r="T29" s="1461" t="s">
        <v>8</v>
      </c>
      <c r="U29" s="1462" t="e">
        <f t="shared" si="13"/>
        <v>#N/A</v>
      </c>
      <c r="V29" s="1461" t="s">
        <v>8</v>
      </c>
      <c r="W29" s="1462" t="e">
        <f t="shared" si="14"/>
        <v>#N/A</v>
      </c>
      <c r="X29" s="1455"/>
      <c r="Y29" s="3701"/>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701"/>
      <c r="Q30" s="1460" t="str">
        <f t="shared" si="11"/>
        <v>物业等级</v>
      </c>
      <c r="R30" s="1461" t="s">
        <v>8</v>
      </c>
      <c r="S30" s="1462">
        <f t="shared" si="12"/>
        <v>100</v>
      </c>
      <c r="T30" s="1461" t="s">
        <v>8</v>
      </c>
      <c r="U30" s="1462">
        <f t="shared" si="13"/>
        <v>100</v>
      </c>
      <c r="V30" s="1461" t="s">
        <v>8</v>
      </c>
      <c r="W30" s="1462">
        <f t="shared" si="14"/>
        <v>100</v>
      </c>
      <c r="X30" s="1455"/>
      <c r="Y30" s="3701"/>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701"/>
      <c r="Q31" s="1096" t="str">
        <f t="shared" si="11"/>
        <v>停车位面积</v>
      </c>
      <c r="R31" s="1456" t="s">
        <v>8</v>
      </c>
      <c r="S31" s="1457" t="e">
        <f t="shared" si="12"/>
        <v>#N/A</v>
      </c>
      <c r="T31" s="1456" t="s">
        <v>8</v>
      </c>
      <c r="U31" s="1457" t="e">
        <f t="shared" si="13"/>
        <v>#N/A</v>
      </c>
      <c r="V31" s="1456" t="s">
        <v>8</v>
      </c>
      <c r="W31" s="1457" t="e">
        <f t="shared" si="14"/>
        <v>#N/A</v>
      </c>
      <c r="X31" s="1458"/>
      <c r="Y31" s="3701"/>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701" t="s">
        <v>533</v>
      </c>
      <c r="Q32" s="1460" t="str">
        <f t="shared" si="11"/>
        <v>车位类型</v>
      </c>
      <c r="R32" s="1461" t="s">
        <v>8</v>
      </c>
      <c r="S32" s="1462">
        <f t="shared" si="12"/>
        <v>100</v>
      </c>
      <c r="T32" s="1461" t="s">
        <v>8</v>
      </c>
      <c r="U32" s="1462">
        <f t="shared" si="13"/>
        <v>100</v>
      </c>
      <c r="V32" s="1461" t="s">
        <v>8</v>
      </c>
      <c r="W32" s="1462">
        <f t="shared" si="14"/>
        <v>100</v>
      </c>
      <c r="X32" s="1455"/>
      <c r="Y32" s="3701"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701"/>
      <c r="Q33" s="1460" t="str">
        <f t="shared" si="11"/>
        <v>是否直接入户</v>
      </c>
      <c r="R33" s="1461" t="s">
        <v>8</v>
      </c>
      <c r="S33" s="1462">
        <f t="shared" si="12"/>
        <v>100</v>
      </c>
      <c r="T33" s="1461" t="s">
        <v>8</v>
      </c>
      <c r="U33" s="1462">
        <f t="shared" si="13"/>
        <v>100</v>
      </c>
      <c r="V33" s="1461" t="s">
        <v>8</v>
      </c>
      <c r="W33" s="1462">
        <f t="shared" si="14"/>
        <v>100</v>
      </c>
      <c r="X33" s="1455"/>
      <c r="Y33" s="3701"/>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701"/>
      <c r="Q34" s="1460">
        <f t="shared" si="11"/>
        <v>111</v>
      </c>
      <c r="R34" s="1461" t="s">
        <v>8</v>
      </c>
      <c r="S34" s="1462">
        <f t="shared" si="12"/>
        <v>100</v>
      </c>
      <c r="T34" s="1461" t="s">
        <v>8</v>
      </c>
      <c r="U34" s="1462">
        <f t="shared" si="13"/>
        <v>100</v>
      </c>
      <c r="V34" s="1461" t="s">
        <v>8</v>
      </c>
      <c r="W34" s="1462">
        <f t="shared" si="14"/>
        <v>100</v>
      </c>
      <c r="X34" s="1455"/>
      <c r="Y34" s="3701"/>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701"/>
      <c r="Q35" s="1489">
        <f t="shared" si="11"/>
        <v>111</v>
      </c>
      <c r="R35" s="1465" t="s">
        <v>8</v>
      </c>
      <c r="S35" s="1466">
        <f t="shared" si="12"/>
        <v>100</v>
      </c>
      <c r="T35" s="1465" t="s">
        <v>8</v>
      </c>
      <c r="U35" s="1466">
        <f t="shared" si="13"/>
        <v>100</v>
      </c>
      <c r="V35" s="1465" t="s">
        <v>8</v>
      </c>
      <c r="W35" s="1466">
        <f t="shared" si="14"/>
        <v>100</v>
      </c>
      <c r="X35" s="1467"/>
      <c r="Y35" s="3701"/>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701"/>
      <c r="Q36" s="1460">
        <f t="shared" si="11"/>
        <v>111</v>
      </c>
      <c r="R36" s="1461" t="s">
        <v>8</v>
      </c>
      <c r="S36" s="1462">
        <f t="shared" si="12"/>
        <v>100</v>
      </c>
      <c r="T36" s="1461" t="s">
        <v>8</v>
      </c>
      <c r="U36" s="1462">
        <f t="shared" si="13"/>
        <v>100</v>
      </c>
      <c r="V36" s="1461" t="s">
        <v>8</v>
      </c>
      <c r="W36" s="1462">
        <f t="shared" si="14"/>
        <v>100</v>
      </c>
      <c r="X36" s="1455"/>
      <c r="Y36" s="3701"/>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96" t="str">
        <f>A37</f>
        <v>成交单价</v>
      </c>
      <c r="Q37" s="3696"/>
      <c r="R37" s="3814">
        <f>E37</f>
        <v>0</v>
      </c>
      <c r="S37" s="3814"/>
      <c r="T37" s="3814">
        <f>G37</f>
        <v>0</v>
      </c>
      <c r="U37" s="3814"/>
      <c r="V37" s="3814">
        <f>I37</f>
        <v>0</v>
      </c>
      <c r="W37" s="3814"/>
      <c r="X37" s="1450"/>
      <c r="Y37" s="1469"/>
      <c r="Z37" s="1450"/>
      <c r="AA37" s="1450"/>
      <c r="AB37" s="1450"/>
      <c r="AC37" s="1450"/>
    </row>
    <row r="38" spans="1:29" ht="15.75" thickBot="1">
      <c r="A38" s="592" t="s">
        <v>2476</v>
      </c>
      <c r="B38" s="858"/>
      <c r="C38" s="2396" t="e">
        <f>R39</f>
        <v>#DIV/0!</v>
      </c>
      <c r="D38" s="2919" t="s">
        <v>2700</v>
      </c>
      <c r="E38" s="2397" t="e">
        <f>R38</f>
        <v>#DIV/0!</v>
      </c>
      <c r="F38" s="2920"/>
      <c r="G38" s="2396" t="e">
        <f>T38</f>
        <v>#DIV/0!</v>
      </c>
      <c r="H38" s="2920"/>
      <c r="I38" s="2397" t="e">
        <f>V38</f>
        <v>#DIV/0!</v>
      </c>
      <c r="J38" s="2920"/>
      <c r="K38" s="2928">
        <f>F38+H38+J38</f>
        <v>0</v>
      </c>
      <c r="L38" s="1978"/>
      <c r="M38" s="1979"/>
      <c r="N38" s="1979"/>
      <c r="O38" s="1979"/>
      <c r="P38" s="3696" t="str">
        <f>A38</f>
        <v>比较价格（元/平方米）</v>
      </c>
      <c r="Q38" s="3696"/>
      <c r="R38" s="3814" t="e">
        <f>IF(F1="售价",ROUND(PRODUCT(R37,AA7:AA36),0),ROUND(PRODUCT(R37,AA7:AA36),1))</f>
        <v>#DIV/0!</v>
      </c>
      <c r="S38" s="3814"/>
      <c r="T38" s="3814" t="e">
        <f>IF(F1="售价",ROUND(PRODUCT(T37,AB7:AB36),0),ROUND(PRODUCT(T37,AB7:AB36),1))</f>
        <v>#DIV/0!</v>
      </c>
      <c r="U38" s="3814"/>
      <c r="V38" s="3814" t="e">
        <f>IF(F1="售价",ROUND(PRODUCT(V37,AC7:AC36),0),ROUND(PRODUCT(V37,AC7:AC36),1))</f>
        <v>#DIV/0!</v>
      </c>
      <c r="W38" s="3814"/>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702" t="str">
        <f>A39</f>
        <v>估价对象XX用房的比较价格（楼面单价，元/平方米）</v>
      </c>
      <c r="Q39" s="3703"/>
      <c r="R39" s="3813" t="e">
        <f>IF(F1="售价",ROUND(IF(D38="简单平均",AVERAGE(R38:W38),R38*F38+T38*H38+V38*J38),0),ROUND(IF(D38="简单平均",AVERAGE(R38:V38),R38*F38+T38*H38+V38*J38),1))</f>
        <v>#DIV/0!</v>
      </c>
      <c r="S39" s="3813"/>
      <c r="T39" s="3813"/>
      <c r="U39" s="3813"/>
      <c r="V39" s="3813"/>
      <c r="W39" s="3813"/>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2022-11</v>
      </c>
      <c r="D48" s="2441">
        <f>EDATE(C48,-1)</f>
        <v>44835</v>
      </c>
      <c r="E48" s="2441">
        <f t="shared" ref="E48:O48" si="16">EDATE(D48,-1)</f>
        <v>44805</v>
      </c>
      <c r="F48" s="2441">
        <f t="shared" si="16"/>
        <v>44774</v>
      </c>
      <c r="G48" s="2441">
        <f t="shared" si="16"/>
        <v>44743</v>
      </c>
      <c r="H48" s="2441">
        <f t="shared" si="16"/>
        <v>44713</v>
      </c>
      <c r="I48" s="2441">
        <f t="shared" si="16"/>
        <v>44682</v>
      </c>
      <c r="J48" s="2441">
        <f t="shared" si="16"/>
        <v>44652</v>
      </c>
      <c r="K48" s="2441">
        <f t="shared" si="16"/>
        <v>44621</v>
      </c>
      <c r="L48" s="2441">
        <f t="shared" si="16"/>
        <v>44593</v>
      </c>
      <c r="M48" s="2441">
        <f t="shared" si="16"/>
        <v>44562</v>
      </c>
      <c r="N48" s="2441">
        <f t="shared" si="16"/>
        <v>44531</v>
      </c>
      <c r="O48" s="2441">
        <f t="shared" si="16"/>
        <v>44501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704" t="s">
        <v>780</v>
      </c>
      <c r="D4" s="3705"/>
      <c r="E4" s="3732" t="s">
        <v>781</v>
      </c>
      <c r="F4" s="3733"/>
      <c r="G4" s="3704" t="s">
        <v>782</v>
      </c>
      <c r="H4" s="3705"/>
      <c r="I4" s="3704" t="s">
        <v>783</v>
      </c>
      <c r="J4" s="3705"/>
      <c r="K4" s="491" t="s">
        <v>784</v>
      </c>
      <c r="L4" s="1967"/>
      <c r="M4" s="1968"/>
      <c r="N4" s="1968"/>
      <c r="O4" s="1968"/>
      <c r="P4" s="3706" t="s">
        <v>785</v>
      </c>
      <c r="Q4" s="3707"/>
      <c r="R4" s="3690" t="s">
        <v>781</v>
      </c>
      <c r="S4" s="3691"/>
      <c r="T4" s="3690" t="s">
        <v>782</v>
      </c>
      <c r="U4" s="3691"/>
      <c r="V4" s="3712" t="s">
        <v>783</v>
      </c>
      <c r="W4" s="3712"/>
      <c r="X4" s="1455"/>
      <c r="Y4" s="3690" t="s">
        <v>785</v>
      </c>
      <c r="Z4" s="3691"/>
      <c r="AA4" s="3685" t="s">
        <v>781</v>
      </c>
      <c r="AB4" s="3686" t="s">
        <v>782</v>
      </c>
      <c r="AC4" s="3685" t="s">
        <v>783</v>
      </c>
    </row>
    <row r="5" spans="1:29" ht="15">
      <c r="A5" s="492"/>
      <c r="B5" s="493"/>
      <c r="C5" s="3715" t="s">
        <v>2630</v>
      </c>
      <c r="D5" s="3716"/>
      <c r="E5" s="3734" t="s">
        <v>2631</v>
      </c>
      <c r="F5" s="3735"/>
      <c r="G5" s="3715" t="s">
        <v>2632</v>
      </c>
      <c r="H5" s="3716"/>
      <c r="I5" s="3715" t="s">
        <v>2633</v>
      </c>
      <c r="J5" s="3716"/>
      <c r="K5" s="491"/>
      <c r="L5" s="1967"/>
      <c r="M5" s="1968"/>
      <c r="N5" s="1968"/>
      <c r="O5" s="1968"/>
      <c r="P5" s="3708"/>
      <c r="Q5" s="3709"/>
      <c r="R5" s="3692"/>
      <c r="S5" s="3693"/>
      <c r="T5" s="3692"/>
      <c r="U5" s="3693"/>
      <c r="V5" s="3712"/>
      <c r="W5" s="3712"/>
      <c r="X5" s="1455"/>
      <c r="Y5" s="3692"/>
      <c r="Z5" s="3693"/>
      <c r="AA5" s="3686"/>
      <c r="AB5" s="3686"/>
      <c r="AC5" s="3686"/>
    </row>
    <row r="6" spans="1:29" ht="15.75" thickBot="1">
      <c r="A6" s="494"/>
      <c r="B6" s="495"/>
      <c r="C6" s="3713" t="s">
        <v>2634</v>
      </c>
      <c r="D6" s="3714"/>
      <c r="E6" s="3736" t="s">
        <v>2634</v>
      </c>
      <c r="F6" s="3737"/>
      <c r="G6" s="3713" t="s">
        <v>2634</v>
      </c>
      <c r="H6" s="3714"/>
      <c r="I6" s="3713" t="s">
        <v>2634</v>
      </c>
      <c r="J6" s="3714"/>
      <c r="K6" s="491" t="s">
        <v>511</v>
      </c>
      <c r="L6" s="1967"/>
      <c r="M6" s="1968"/>
      <c r="N6" s="1968"/>
      <c r="O6" s="1968"/>
      <c r="P6" s="3710"/>
      <c r="Q6" s="3711"/>
      <c r="R6" s="3692"/>
      <c r="S6" s="3693"/>
      <c r="T6" s="3694"/>
      <c r="U6" s="3695"/>
      <c r="V6" s="3712"/>
      <c r="W6" s="3712"/>
      <c r="X6" s="1455"/>
      <c r="Y6" s="3694"/>
      <c r="Z6" s="3695"/>
      <c r="AA6" s="3687"/>
      <c r="AB6" s="3687"/>
      <c r="AC6" s="3687"/>
    </row>
    <row r="7" spans="1:29" s="1165" customFormat="1" ht="15.75" thickBot="1">
      <c r="A7" s="2548"/>
      <c r="B7" s="2555"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88" t="s">
        <v>513</v>
      </c>
      <c r="Q7" s="3697"/>
      <c r="R7" s="1456" t="s">
        <v>8</v>
      </c>
      <c r="S7" s="1457">
        <f t="shared" ref="S7:S14" si="0">F7</f>
        <v>0</v>
      </c>
      <c r="T7" s="1456" t="s">
        <v>8</v>
      </c>
      <c r="U7" s="1457">
        <f t="shared" ref="U7:U14" si="1">H7</f>
        <v>0</v>
      </c>
      <c r="V7" s="1456" t="s">
        <v>8</v>
      </c>
      <c r="W7" s="1457">
        <f t="shared" ref="W7:W14" si="2">J7</f>
        <v>0</v>
      </c>
      <c r="X7" s="1458"/>
      <c r="Y7" s="3688" t="s">
        <v>513</v>
      </c>
      <c r="Z7" s="3689"/>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88" t="s">
        <v>516</v>
      </c>
      <c r="Q8" s="3689"/>
      <c r="R8" s="1456" t="s">
        <v>8</v>
      </c>
      <c r="S8" s="1457">
        <f t="shared" si="0"/>
        <v>0</v>
      </c>
      <c r="T8" s="1456" t="s">
        <v>8</v>
      </c>
      <c r="U8" s="1457">
        <f t="shared" si="1"/>
        <v>0</v>
      </c>
      <c r="V8" s="1456" t="s">
        <v>8</v>
      </c>
      <c r="W8" s="1457">
        <f t="shared" si="2"/>
        <v>0</v>
      </c>
      <c r="X8" s="1458"/>
      <c r="Y8" s="3688" t="s">
        <v>516</v>
      </c>
      <c r="Z8" s="3689"/>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96" t="s">
        <v>518</v>
      </c>
      <c r="Q9" s="1096" t="str">
        <f t="shared" ref="Q9:Q14" si="6">B9</f>
        <v>用途</v>
      </c>
      <c r="R9" s="1456" t="s">
        <v>8</v>
      </c>
      <c r="S9" s="1457">
        <f t="shared" si="0"/>
        <v>100</v>
      </c>
      <c r="T9" s="1456" t="s">
        <v>8</v>
      </c>
      <c r="U9" s="1457">
        <f t="shared" si="1"/>
        <v>100</v>
      </c>
      <c r="V9" s="1456" t="s">
        <v>8</v>
      </c>
      <c r="W9" s="1457">
        <f t="shared" si="2"/>
        <v>100</v>
      </c>
      <c r="X9" s="1458"/>
      <c r="Y9" s="3648"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96"/>
      <c r="Q10" s="1096" t="str">
        <f t="shared" si="6"/>
        <v>土地使用年限（年）</v>
      </c>
      <c r="R10" s="1456" t="s">
        <v>8</v>
      </c>
      <c r="S10" s="1457">
        <f t="shared" si="0"/>
        <v>100</v>
      </c>
      <c r="T10" s="1456" t="s">
        <v>8</v>
      </c>
      <c r="U10" s="1457">
        <f t="shared" si="1"/>
        <v>100</v>
      </c>
      <c r="V10" s="1456" t="s">
        <v>8</v>
      </c>
      <c r="W10" s="1457">
        <f t="shared" si="2"/>
        <v>100</v>
      </c>
      <c r="X10" s="1458"/>
      <c r="Y10" s="3648"/>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96"/>
      <c r="Q11" s="1096">
        <f t="shared" si="6"/>
        <v>111</v>
      </c>
      <c r="R11" s="1456" t="s">
        <v>8</v>
      </c>
      <c r="S11" s="1457">
        <f t="shared" si="0"/>
        <v>100</v>
      </c>
      <c r="T11" s="1456" t="s">
        <v>8</v>
      </c>
      <c r="U11" s="1457">
        <f t="shared" si="1"/>
        <v>100</v>
      </c>
      <c r="V11" s="1456" t="s">
        <v>8</v>
      </c>
      <c r="W11" s="1457">
        <f t="shared" si="2"/>
        <v>100</v>
      </c>
      <c r="X11" s="1458"/>
      <c r="Y11" s="3648"/>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96"/>
      <c r="Q12" s="1096">
        <f t="shared" si="6"/>
        <v>111</v>
      </c>
      <c r="R12" s="1456" t="s">
        <v>8</v>
      </c>
      <c r="S12" s="1457">
        <f t="shared" si="0"/>
        <v>100</v>
      </c>
      <c r="T12" s="1456" t="s">
        <v>8</v>
      </c>
      <c r="U12" s="1457">
        <f t="shared" si="1"/>
        <v>100</v>
      </c>
      <c r="V12" s="1456" t="s">
        <v>8</v>
      </c>
      <c r="W12" s="1457">
        <f t="shared" si="2"/>
        <v>100</v>
      </c>
      <c r="X12" s="1458"/>
      <c r="Y12" s="3648"/>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96"/>
      <c r="Q13" s="1096">
        <f t="shared" si="6"/>
        <v>111</v>
      </c>
      <c r="R13" s="1456" t="s">
        <v>8</v>
      </c>
      <c r="S13" s="1457">
        <f t="shared" si="0"/>
        <v>100</v>
      </c>
      <c r="T13" s="1456" t="s">
        <v>8</v>
      </c>
      <c r="U13" s="1457">
        <f t="shared" si="1"/>
        <v>100</v>
      </c>
      <c r="V13" s="1456" t="s">
        <v>8</v>
      </c>
      <c r="W13" s="1457">
        <f t="shared" si="2"/>
        <v>100</v>
      </c>
      <c r="X13" s="1458"/>
      <c r="Y13" s="3648"/>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698" t="s">
        <v>523</v>
      </c>
      <c r="Q14" s="1460" t="str">
        <f t="shared" si="6"/>
        <v>交通便捷度</v>
      </c>
      <c r="R14" s="1461" t="s">
        <v>8</v>
      </c>
      <c r="S14" s="1462">
        <f t="shared" si="0"/>
        <v>100</v>
      </c>
      <c r="T14" s="1461" t="s">
        <v>8</v>
      </c>
      <c r="U14" s="1462">
        <f t="shared" si="1"/>
        <v>100</v>
      </c>
      <c r="V14" s="1461" t="s">
        <v>8</v>
      </c>
      <c r="W14" s="1462">
        <f t="shared" si="2"/>
        <v>100</v>
      </c>
      <c r="X14" s="1455"/>
      <c r="Y14" s="3698"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699"/>
      <c r="Q15" s="1460"/>
      <c r="R15" s="1461"/>
      <c r="S15" s="1462"/>
      <c r="T15" s="1461"/>
      <c r="U15" s="1462"/>
      <c r="V15" s="1461"/>
      <c r="W15" s="1462"/>
      <c r="X15" s="1455"/>
      <c r="Y15" s="3699"/>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699"/>
      <c r="Q16" s="1460" t="str">
        <f>B16</f>
        <v>公共配套设施</v>
      </c>
      <c r="R16" s="1461" t="s">
        <v>8</v>
      </c>
      <c r="S16" s="1462">
        <f>F16</f>
        <v>100</v>
      </c>
      <c r="T16" s="1461" t="s">
        <v>8</v>
      </c>
      <c r="U16" s="1462">
        <f>H16</f>
        <v>100</v>
      </c>
      <c r="V16" s="1461" t="s">
        <v>8</v>
      </c>
      <c r="W16" s="1462">
        <f>J16</f>
        <v>100</v>
      </c>
      <c r="X16" s="1455"/>
      <c r="Y16" s="3699"/>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699"/>
      <c r="Q17" s="1460"/>
      <c r="R17" s="1461"/>
      <c r="S17" s="1462"/>
      <c r="T17" s="1461"/>
      <c r="U17" s="1462"/>
      <c r="V17" s="1461"/>
      <c r="W17" s="1462"/>
      <c r="X17" s="1455"/>
      <c r="Y17" s="3699"/>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699"/>
      <c r="Q18" s="2349" t="str">
        <f>B18</f>
        <v>基础设施水平</v>
      </c>
      <c r="R18" s="1461" t="s">
        <v>8</v>
      </c>
      <c r="S18" s="1462">
        <f>F18</f>
        <v>100</v>
      </c>
      <c r="T18" s="1461" t="s">
        <v>8</v>
      </c>
      <c r="U18" s="1462">
        <f>H18</f>
        <v>100</v>
      </c>
      <c r="V18" s="1461" t="s">
        <v>8</v>
      </c>
      <c r="W18" s="1462">
        <f>J18</f>
        <v>100</v>
      </c>
      <c r="X18" s="2351"/>
      <c r="Y18" s="3699"/>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699"/>
      <c r="Q19" s="2349"/>
      <c r="R19" s="1461"/>
      <c r="S19" s="1462"/>
      <c r="T19" s="1461"/>
      <c r="U19" s="1462"/>
      <c r="V19" s="1461"/>
      <c r="W19" s="1462"/>
      <c r="X19" s="2351"/>
      <c r="Y19" s="3699"/>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699"/>
      <c r="Q20" s="1460" t="str">
        <f>B20</f>
        <v>自然及人文环境</v>
      </c>
      <c r="R20" s="1461" t="s">
        <v>8</v>
      </c>
      <c r="S20" s="1462">
        <f>F20</f>
        <v>100</v>
      </c>
      <c r="T20" s="1461" t="s">
        <v>8</v>
      </c>
      <c r="U20" s="1462">
        <f>H20</f>
        <v>100</v>
      </c>
      <c r="V20" s="1461" t="s">
        <v>8</v>
      </c>
      <c r="W20" s="1462">
        <f>J20</f>
        <v>100</v>
      </c>
      <c r="X20" s="1455"/>
      <c r="Y20" s="3699"/>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699"/>
      <c r="Q21" s="1460"/>
      <c r="R21" s="1461"/>
      <c r="S21" s="1462"/>
      <c r="T21" s="1461"/>
      <c r="U21" s="1462"/>
      <c r="V21" s="1461"/>
      <c r="W21" s="1462"/>
      <c r="X21" s="1455"/>
      <c r="Y21" s="3699"/>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99"/>
      <c r="Q22" s="1460" t="str">
        <f>B22</f>
        <v>楼层</v>
      </c>
      <c r="R22" s="1461" t="s">
        <v>8</v>
      </c>
      <c r="S22" s="1462">
        <f>F22</f>
        <v>100</v>
      </c>
      <c r="T22" s="1461" t="s">
        <v>8</v>
      </c>
      <c r="U22" s="1462">
        <f>H22</f>
        <v>100</v>
      </c>
      <c r="V22" s="1461" t="s">
        <v>8</v>
      </c>
      <c r="W22" s="1462">
        <f>J22</f>
        <v>100</v>
      </c>
      <c r="X22" s="1455"/>
      <c r="Y22" s="3699"/>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99"/>
      <c r="Q23" s="1460">
        <f>B23</f>
        <v>111</v>
      </c>
      <c r="R23" s="1461" t="s">
        <v>8</v>
      </c>
      <c r="S23" s="1462">
        <f>F23</f>
        <v>100</v>
      </c>
      <c r="T23" s="1461" t="s">
        <v>8</v>
      </c>
      <c r="U23" s="1462">
        <f>H23</f>
        <v>100</v>
      </c>
      <c r="V23" s="1461" t="s">
        <v>8</v>
      </c>
      <c r="W23" s="1462">
        <f>J23</f>
        <v>100</v>
      </c>
      <c r="X23" s="1455"/>
      <c r="Y23" s="3699"/>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99"/>
      <c r="Q24" s="1460">
        <f t="shared" ref="Q24:Q34" si="11">B24</f>
        <v>111</v>
      </c>
      <c r="R24" s="1461" t="s">
        <v>8</v>
      </c>
      <c r="S24" s="1462">
        <f>F24</f>
        <v>100</v>
      </c>
      <c r="T24" s="1461" t="s">
        <v>8</v>
      </c>
      <c r="U24" s="1462">
        <f>H24</f>
        <v>100</v>
      </c>
      <c r="V24" s="1461" t="s">
        <v>8</v>
      </c>
      <c r="W24" s="1462">
        <f>J24</f>
        <v>100</v>
      </c>
      <c r="X24" s="1455"/>
      <c r="Y24" s="3699"/>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699"/>
      <c r="Q25" s="1096">
        <f t="shared" si="11"/>
        <v>111</v>
      </c>
      <c r="R25" s="1456" t="s">
        <v>8</v>
      </c>
      <c r="S25" s="1457">
        <f>F25</f>
        <v>100</v>
      </c>
      <c r="T25" s="1456" t="s">
        <v>8</v>
      </c>
      <c r="U25" s="1457">
        <f>H25</f>
        <v>100</v>
      </c>
      <c r="V25" s="1456" t="s">
        <v>8</v>
      </c>
      <c r="W25" s="1457">
        <f>J25</f>
        <v>100</v>
      </c>
      <c r="X25" s="1458"/>
      <c r="Y25" s="3699"/>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700"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01"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701"/>
      <c r="Q27" s="1489" t="str">
        <f t="shared" si="11"/>
        <v>成新率</v>
      </c>
      <c r="R27" s="1465" t="s">
        <v>8</v>
      </c>
      <c r="S27" s="1466" t="e">
        <f t="shared" si="12"/>
        <v>#N/A</v>
      </c>
      <c r="T27" s="1465" t="s">
        <v>8</v>
      </c>
      <c r="U27" s="1466" t="e">
        <f t="shared" si="13"/>
        <v>#N/A</v>
      </c>
      <c r="V27" s="1465" t="s">
        <v>8</v>
      </c>
      <c r="W27" s="1466" t="e">
        <f t="shared" si="14"/>
        <v>#N/A</v>
      </c>
      <c r="X27" s="1467"/>
      <c r="Y27" s="3701"/>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701"/>
      <c r="Q28" s="1460" t="str">
        <f t="shared" si="11"/>
        <v>物业等级</v>
      </c>
      <c r="R28" s="1461" t="s">
        <v>8</v>
      </c>
      <c r="S28" s="1462">
        <f t="shared" si="12"/>
        <v>100</v>
      </c>
      <c r="T28" s="1461" t="s">
        <v>8</v>
      </c>
      <c r="U28" s="1462">
        <f t="shared" si="13"/>
        <v>100</v>
      </c>
      <c r="V28" s="1461" t="s">
        <v>8</v>
      </c>
      <c r="W28" s="1462">
        <f t="shared" si="14"/>
        <v>100</v>
      </c>
      <c r="X28" s="1455"/>
      <c r="Y28" s="3701"/>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701"/>
      <c r="Q29" s="1460" t="str">
        <f t="shared" si="11"/>
        <v>有无电梯</v>
      </c>
      <c r="R29" s="1461" t="s">
        <v>8</v>
      </c>
      <c r="S29" s="1462">
        <f t="shared" si="12"/>
        <v>100</v>
      </c>
      <c r="T29" s="1461" t="s">
        <v>8</v>
      </c>
      <c r="U29" s="1462">
        <f t="shared" si="13"/>
        <v>100</v>
      </c>
      <c r="V29" s="1461" t="s">
        <v>8</v>
      </c>
      <c r="W29" s="1462">
        <f t="shared" si="14"/>
        <v>100</v>
      </c>
      <c r="X29" s="1455"/>
      <c r="Y29" s="3701"/>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701"/>
      <c r="Q30" s="1460" t="str">
        <f t="shared" si="11"/>
        <v>建筑面积</v>
      </c>
      <c r="R30" s="1461" t="s">
        <v>8</v>
      </c>
      <c r="S30" s="1462" t="e">
        <f t="shared" si="12"/>
        <v>#N/A</v>
      </c>
      <c r="T30" s="1461" t="s">
        <v>8</v>
      </c>
      <c r="U30" s="1462" t="e">
        <f t="shared" si="13"/>
        <v>#N/A</v>
      </c>
      <c r="V30" s="1461" t="s">
        <v>8</v>
      </c>
      <c r="W30" s="1462" t="e">
        <f t="shared" si="14"/>
        <v>#N/A</v>
      </c>
      <c r="X30" s="1455"/>
      <c r="Y30" s="3701"/>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701"/>
      <c r="Q31" s="1096" t="str">
        <f t="shared" si="11"/>
        <v>是否封闭</v>
      </c>
      <c r="R31" s="1456" t="s">
        <v>8</v>
      </c>
      <c r="S31" s="1457">
        <f t="shared" si="12"/>
        <v>100</v>
      </c>
      <c r="T31" s="1456" t="s">
        <v>8</v>
      </c>
      <c r="U31" s="1457">
        <f t="shared" si="13"/>
        <v>100</v>
      </c>
      <c r="V31" s="1456" t="s">
        <v>8</v>
      </c>
      <c r="W31" s="1457">
        <f t="shared" si="14"/>
        <v>100</v>
      </c>
      <c r="X31" s="1458"/>
      <c r="Y31" s="3701"/>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701" t="s">
        <v>533</v>
      </c>
      <c r="Q32" s="1460">
        <f t="shared" si="11"/>
        <v>111</v>
      </c>
      <c r="R32" s="1461" t="s">
        <v>8</v>
      </c>
      <c r="S32" s="1462">
        <f t="shared" si="12"/>
        <v>100</v>
      </c>
      <c r="T32" s="1461" t="s">
        <v>8</v>
      </c>
      <c r="U32" s="1462">
        <f t="shared" si="13"/>
        <v>100</v>
      </c>
      <c r="V32" s="1461" t="s">
        <v>8</v>
      </c>
      <c r="W32" s="1462">
        <f t="shared" si="14"/>
        <v>100</v>
      </c>
      <c r="X32" s="1455"/>
      <c r="Y32" s="3701"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701"/>
      <c r="Q33" s="1460">
        <f t="shared" si="11"/>
        <v>111</v>
      </c>
      <c r="R33" s="1461" t="s">
        <v>8</v>
      </c>
      <c r="S33" s="1462">
        <f t="shared" si="12"/>
        <v>100</v>
      </c>
      <c r="T33" s="1461" t="s">
        <v>8</v>
      </c>
      <c r="U33" s="1462">
        <f t="shared" si="13"/>
        <v>100</v>
      </c>
      <c r="V33" s="1461" t="s">
        <v>8</v>
      </c>
      <c r="W33" s="1462">
        <f t="shared" si="14"/>
        <v>100</v>
      </c>
      <c r="X33" s="1455"/>
      <c r="Y33" s="3701"/>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701"/>
      <c r="Q34" s="1460">
        <f t="shared" si="11"/>
        <v>111</v>
      </c>
      <c r="R34" s="1461" t="s">
        <v>8</v>
      </c>
      <c r="S34" s="1462">
        <f t="shared" si="12"/>
        <v>100</v>
      </c>
      <c r="T34" s="1461" t="s">
        <v>8</v>
      </c>
      <c r="U34" s="1462">
        <f t="shared" si="13"/>
        <v>100</v>
      </c>
      <c r="V34" s="1461" t="s">
        <v>8</v>
      </c>
      <c r="W34" s="1462">
        <f t="shared" si="14"/>
        <v>100</v>
      </c>
      <c r="X34" s="1455"/>
      <c r="Y34" s="3701"/>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96" t="str">
        <f>A35</f>
        <v>成交单价（元/平方米）</v>
      </c>
      <c r="Q35" s="3696"/>
      <c r="R35" s="3814">
        <f>E35</f>
        <v>0</v>
      </c>
      <c r="S35" s="3814"/>
      <c r="T35" s="3814">
        <f>G35</f>
        <v>0</v>
      </c>
      <c r="U35" s="3814"/>
      <c r="V35" s="3814">
        <f>I35</f>
        <v>0</v>
      </c>
      <c r="W35" s="3814"/>
      <c r="X35" s="1450"/>
      <c r="Y35" s="1469"/>
      <c r="Z35" s="1450"/>
      <c r="AA35" s="1450"/>
      <c r="AB35" s="1450"/>
      <c r="AC35" s="1450"/>
    </row>
    <row r="36" spans="1:29" ht="15.75" thickBot="1">
      <c r="A36" s="592" t="s">
        <v>2476</v>
      </c>
      <c r="B36" s="858"/>
      <c r="C36" s="2396" t="e">
        <f>R37</f>
        <v>#DIV/0!</v>
      </c>
      <c r="D36" s="2919" t="s">
        <v>2701</v>
      </c>
      <c r="E36" s="2397" t="e">
        <f>R36</f>
        <v>#DIV/0!</v>
      </c>
      <c r="F36" s="2920"/>
      <c r="G36" s="2396" t="e">
        <f>T36</f>
        <v>#DIV/0!</v>
      </c>
      <c r="H36" s="2920"/>
      <c r="I36" s="2397" t="e">
        <f>V36</f>
        <v>#DIV/0!</v>
      </c>
      <c r="J36" s="2920"/>
      <c r="K36" s="2928">
        <f>F36+H36+J36</f>
        <v>0</v>
      </c>
      <c r="L36" s="1978"/>
      <c r="M36" s="1979"/>
      <c r="N36" s="1968"/>
      <c r="O36" s="1979"/>
      <c r="P36" s="3696" t="str">
        <f>A36</f>
        <v>比较价格（元/平方米）</v>
      </c>
      <c r="Q36" s="3696"/>
      <c r="R36" s="3814" t="e">
        <f>IF(F1="售价",ROUND(PRODUCT(R35,AA7:AA34),0),ROUND(PRODUCT(R35,AA7:AA34),1))</f>
        <v>#DIV/0!</v>
      </c>
      <c r="S36" s="3814"/>
      <c r="T36" s="3814" t="e">
        <f>IF(F1="售价",ROUND(PRODUCT(T35,AB7:AB34),0),ROUND(PRODUCT(T35,AB7:AB34),1))</f>
        <v>#DIV/0!</v>
      </c>
      <c r="U36" s="3814"/>
      <c r="V36" s="3814" t="e">
        <f>IF(F1="售价",ROUND(PRODUCT(V35,AC7:AC34),0),ROUND(PRODUCT(V35,AC7:AC34),1))</f>
        <v>#DIV/0!</v>
      </c>
      <c r="W36" s="3814"/>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702" t="str">
        <f>A37</f>
        <v>估价对象XX用房的比较价格（楼面单价，元/平方米）</v>
      </c>
      <c r="Q37" s="3703"/>
      <c r="R37" s="3813" t="e">
        <f>IF(F1="售价",ROUND(IF(D36="简单平均",AVERAGE(R36:W36),R36*F36+T36*H36+V36*J36),0),ROUND(IF(D36="简单平均",AVERAGE(R36:V36),R36*F36+T36*H36+V36*J36),1))</f>
        <v>#DIV/0!</v>
      </c>
      <c r="S37" s="3813"/>
      <c r="T37" s="3813"/>
      <c r="U37" s="3813"/>
      <c r="V37" s="3813"/>
      <c r="W37" s="3813"/>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2022-11</v>
      </c>
      <c r="D46" s="2441">
        <f>EDATE(C46,-1)</f>
        <v>44835</v>
      </c>
      <c r="E46" s="2441">
        <f t="shared" ref="E46:O46" si="16">EDATE(D46,-1)</f>
        <v>44805</v>
      </c>
      <c r="F46" s="2441">
        <f t="shared" si="16"/>
        <v>44774</v>
      </c>
      <c r="G46" s="2441">
        <f t="shared" si="16"/>
        <v>44743</v>
      </c>
      <c r="H46" s="2441">
        <f t="shared" si="16"/>
        <v>44713</v>
      </c>
      <c r="I46" s="2441">
        <f t="shared" si="16"/>
        <v>44682</v>
      </c>
      <c r="J46" s="2441">
        <f t="shared" si="16"/>
        <v>44652</v>
      </c>
      <c r="K46" s="2441">
        <f t="shared" si="16"/>
        <v>44621</v>
      </c>
      <c r="L46" s="2441">
        <f t="shared" si="16"/>
        <v>44593</v>
      </c>
      <c r="M46" s="2441">
        <f t="shared" si="16"/>
        <v>44562</v>
      </c>
      <c r="N46" s="2441">
        <f t="shared" si="16"/>
        <v>44531</v>
      </c>
      <c r="O46" s="2441">
        <f t="shared" si="16"/>
        <v>44501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44895</v>
      </c>
      <c r="H1" s="2574">
        <f>IF(C1&gt;C13,0,MATCH(C1,C$13:C$109,-1))+IF(SUMIF(C13:C109,C1,D13:D109)=0,13,12)</f>
        <v>13</v>
      </c>
      <c r="I1" s="2574">
        <f ca="1">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3</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2730</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view="pageBreakPreview" topLeftCell="A16" zoomScale="85" zoomScaleNormal="60" zoomScaleSheetLayoutView="85" workbookViewId="0">
      <selection activeCell="C33" sqref="C33"/>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3439</v>
      </c>
      <c r="E1" s="2194" t="s">
        <v>2160</v>
      </c>
      <c r="F1" s="2195">
        <f ca="1">J53</f>
        <v>42.31</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10511</v>
      </c>
      <c r="C2" s="3169"/>
      <c r="D2" s="3170"/>
      <c r="E2" s="3171"/>
      <c r="F2" s="3171"/>
      <c r="G2" s="3165"/>
      <c r="H2" s="1892"/>
      <c r="I2" s="1892"/>
      <c r="J2" s="1892"/>
      <c r="K2" s="1893"/>
      <c r="L2" s="1892"/>
      <c r="M2" s="1892"/>
    </row>
    <row r="3" spans="1:33" ht="18" customHeight="1" thickBot="1">
      <c r="A3" s="805" t="s">
        <v>1526</v>
      </c>
      <c r="B3" s="806">
        <f ca="1">IF(ISERROR(B2*10000/F43),0,ROUND(B2*10000/F43,0))</f>
        <v>2012</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858</v>
      </c>
      <c r="D5" s="2299" t="s">
        <v>2239</v>
      </c>
      <c r="E5" s="2293"/>
      <c r="F5" s="2294"/>
      <c r="G5" s="1897"/>
      <c r="H5" s="754">
        <v>1</v>
      </c>
      <c r="I5" s="755" t="s">
        <v>2236</v>
      </c>
      <c r="J5" s="55">
        <f ca="1">J6+J10+J12</f>
        <v>0</v>
      </c>
      <c r="K5" s="2299" t="s">
        <v>2239</v>
      </c>
      <c r="L5" s="2293"/>
      <c r="M5" s="2294"/>
    </row>
    <row r="6" spans="1:33" ht="18" customHeight="1">
      <c r="A6" s="1698" t="s">
        <v>1623</v>
      </c>
      <c r="B6" s="3788" t="s">
        <v>2241</v>
      </c>
      <c r="C6" s="756">
        <f ca="1">ROUND(F6*F8*F7*(1-F9)/10000,0)</f>
        <v>858</v>
      </c>
      <c r="D6" s="2300" t="s">
        <v>2240</v>
      </c>
      <c r="E6" s="757" t="s">
        <v>1537</v>
      </c>
      <c r="F6" s="758">
        <f ca="1">INDIRECT("'数据-取费表'!u"&amp;$G$1)</f>
        <v>0.5</v>
      </c>
      <c r="G6" s="1897"/>
      <c r="H6" s="2307" t="s">
        <v>2246</v>
      </c>
      <c r="I6" s="3788" t="s">
        <v>2241</v>
      </c>
      <c r="J6" s="756">
        <f ca="1">ROUND(M6*M8*M7*(1-M9)/10000,0)</f>
        <v>0</v>
      </c>
      <c r="K6" s="339" t="s">
        <v>1536</v>
      </c>
      <c r="L6" s="757" t="s">
        <v>1537</v>
      </c>
      <c r="M6" s="758">
        <f ca="1">INDIRECT("'数据-取费表'!z"&amp;$G$1)</f>
        <v>0</v>
      </c>
    </row>
    <row r="7" spans="1:33" ht="18" customHeight="1">
      <c r="A7" s="2303"/>
      <c r="B7" s="3789"/>
      <c r="C7" s="761"/>
      <c r="D7" s="762"/>
      <c r="E7" s="757" t="s">
        <v>1538</v>
      </c>
      <c r="F7" s="758">
        <f ca="1">IF(INDIRECT("'数据-取费表'!ah"&amp;$G$1)="",INDIRECT("'数据-取费表'!k"&amp;$G$1),INDIRECT("'数据-取费表'!ah"&amp;$G$1))</f>
        <v>52253.13</v>
      </c>
      <c r="G7" s="1897"/>
      <c r="H7" s="2292"/>
      <c r="I7" s="3789"/>
      <c r="J7" s="761"/>
      <c r="K7" s="762"/>
      <c r="L7" s="757" t="s">
        <v>1538</v>
      </c>
      <c r="M7" s="758">
        <f ca="1">F7</f>
        <v>52253.13</v>
      </c>
    </row>
    <row r="8" spans="1:33" ht="18" customHeight="1">
      <c r="A8" s="2296"/>
      <c r="B8" s="3790"/>
      <c r="C8" s="761"/>
      <c r="D8" s="762"/>
      <c r="E8" s="757" t="s">
        <v>1539</v>
      </c>
      <c r="F8" s="758">
        <f ca="1">INDIRECT("'数据-取费表'!ai"&amp;$G$1)</f>
        <v>365</v>
      </c>
      <c r="G8" s="1897"/>
      <c r="H8" s="2292"/>
      <c r="I8" s="3790"/>
      <c r="J8" s="761"/>
      <c r="K8" s="762"/>
      <c r="L8" s="757" t="s">
        <v>1539</v>
      </c>
      <c r="M8" s="758">
        <f ca="1">INDIRECT("'数据-取费表'!ai"&amp;$G$1)</f>
        <v>365</v>
      </c>
    </row>
    <row r="9" spans="1:33" ht="18" customHeight="1">
      <c r="A9" s="759"/>
      <c r="B9" s="3791"/>
      <c r="C9" s="761"/>
      <c r="D9" s="762"/>
      <c r="E9" s="757" t="s">
        <v>1540</v>
      </c>
      <c r="F9" s="767">
        <f ca="1">INDIRECT("'数据-取费表'!w"&amp;$G$1)</f>
        <v>0.1</v>
      </c>
      <c r="G9" s="1897"/>
      <c r="H9" s="2308"/>
      <c r="I9" s="3790"/>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3440</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19000</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13148</v>
      </c>
      <c r="D14" s="1845" t="s">
        <v>1544</v>
      </c>
      <c r="E14" s="1846"/>
      <c r="F14" s="778"/>
      <c r="G14" s="1897"/>
      <c r="H14" s="1530" t="s">
        <v>1629</v>
      </c>
      <c r="I14" s="2063" t="s">
        <v>2541</v>
      </c>
      <c r="J14" s="53">
        <f ca="1">C29</f>
        <v>19000</v>
      </c>
      <c r="K14" s="26"/>
      <c r="L14" s="774"/>
      <c r="M14" s="775"/>
    </row>
    <row r="15" spans="1:33" s="1899" customFormat="1" ht="18" customHeight="1" thickBot="1">
      <c r="A15" s="1529" t="s">
        <v>1680</v>
      </c>
      <c r="B15" s="757" t="s">
        <v>629</v>
      </c>
      <c r="C15" s="53">
        <f ca="1">ROUND(C14*F15,0)</f>
        <v>394</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1798</v>
      </c>
      <c r="K16" s="1689" t="s">
        <v>1549</v>
      </c>
      <c r="L16" s="2289"/>
      <c r="M16" s="2294"/>
    </row>
    <row r="17" spans="1:33" s="1899" customFormat="1" ht="18" customHeight="1">
      <c r="A17" s="1529" t="s">
        <v>1682</v>
      </c>
      <c r="B17" s="757" t="s">
        <v>635</v>
      </c>
      <c r="C17" s="53">
        <f ca="1">ROUND(F17*(F43+INDIRECT("'数据-取费表'!S"&amp;$G$1))/10000,0)</f>
        <v>1052</v>
      </c>
      <c r="D17" s="757" t="s">
        <v>1550</v>
      </c>
      <c r="E17" s="757" t="s">
        <v>1551</v>
      </c>
      <c r="F17" s="56">
        <f>'数据-取费表'!B35</f>
        <v>200</v>
      </c>
      <c r="G17" s="3166"/>
      <c r="H17" s="1530" t="s">
        <v>1629</v>
      </c>
      <c r="I17" s="757" t="s">
        <v>638</v>
      </c>
      <c r="J17" s="2924">
        <f ca="1">ROUND(IF(AND(项目基本情况!B11="自然人",项目基本情况!B10="北京市"),J6*M17/(1+'数据-取费表'!C42),J18+J19+J20),0)</f>
        <v>1608</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197</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14791</v>
      </c>
      <c r="D19" s="259" t="s">
        <v>1556</v>
      </c>
      <c r="E19" s="1848"/>
      <c r="F19" s="56"/>
      <c r="G19" s="1897"/>
      <c r="H19" s="1529" t="s">
        <v>1680</v>
      </c>
      <c r="I19" s="757" t="s">
        <v>1557</v>
      </c>
      <c r="J19" s="53">
        <f ca="1">IF(K19="按租金收入计税",ROUND(J6*M19/(1+'数据-取费表'!C42),1),ROUND(C29*F33*0.7,1))</f>
        <v>1596</v>
      </c>
      <c r="K19" s="783" t="s">
        <v>647</v>
      </c>
      <c r="L19" s="757" t="s">
        <v>1546</v>
      </c>
      <c r="M19" s="782">
        <f>IF(K19="按租金收入计税",'数据-取费表'!B51,'数据-取费表'!B50)</f>
        <v>1.2E-2</v>
      </c>
    </row>
    <row r="20" spans="1:33" s="1899" customFormat="1" ht="18" customHeight="1">
      <c r="A20" s="1530" t="s">
        <v>1684</v>
      </c>
      <c r="B20" s="757" t="s">
        <v>648</v>
      </c>
      <c r="C20" s="53">
        <f ca="1">ROUND(C19*F20,0)</f>
        <v>296</v>
      </c>
      <c r="D20" s="784" t="s">
        <v>1558</v>
      </c>
      <c r="E20" s="757" t="s">
        <v>1546</v>
      </c>
      <c r="F20" s="782">
        <f>'数据-取费表'!B37</f>
        <v>0.02</v>
      </c>
      <c r="G20" s="3166"/>
      <c r="H20" s="1532" t="s">
        <v>1675</v>
      </c>
      <c r="I20" s="339" t="s">
        <v>1559</v>
      </c>
      <c r="J20" s="54">
        <f ca="1">ROUND(M20*M21/10000,0)</f>
        <v>12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6636.81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190</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949</v>
      </c>
      <c r="D23" s="2343" t="str">
        <f>IF(F23&lt;=1,"(建造成本+管理费用)×利率×(建设周期÷2)","(建造成本+管理费用)×((1+利率)^(建设周期÷2)-1)")</f>
        <v>(建造成本+管理费用)×((1+利率)^(建设周期÷2)-1)</v>
      </c>
      <c r="E23" s="757" t="s">
        <v>1569</v>
      </c>
      <c r="F23" s="615">
        <f>'数据-取费表'!B20</f>
        <v>3</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1.2999999999999999E-3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-1798</v>
      </c>
      <c r="K25" s="2322" t="s">
        <v>1576</v>
      </c>
      <c r="L25" s="2323"/>
      <c r="M25" s="2324"/>
    </row>
    <row r="26" spans="1:33" ht="18" customHeight="1">
      <c r="A26" s="1529" t="s">
        <v>1630</v>
      </c>
      <c r="B26" s="757" t="s">
        <v>2219</v>
      </c>
      <c r="C26" s="53">
        <f ca="1">ROUND((C19+C20)*F26,0)</f>
        <v>1509</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19000</v>
      </c>
      <c r="D29" s="2319"/>
      <c r="E29" s="2320"/>
      <c r="F29" s="2321"/>
      <c r="G29" s="3166"/>
      <c r="H29" s="795" t="s">
        <v>1586</v>
      </c>
      <c r="I29" s="796" t="s">
        <v>1587</v>
      </c>
      <c r="J29" s="797">
        <f ca="1">ROUND(J26/(1+F40)^F41,0)</f>
        <v>0</v>
      </c>
      <c r="K29" s="798" t="s">
        <v>1588</v>
      </c>
      <c r="L29" s="799"/>
      <c r="M29" s="800">
        <f ca="1">INDIRECT("'数据-取费表'!k"&amp;$G$1)</f>
        <v>52253.13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374</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156</v>
      </c>
      <c r="D31" s="1845" t="s">
        <v>1591</v>
      </c>
      <c r="E31" s="1843" t="s">
        <v>1592</v>
      </c>
      <c r="F31" s="2923" t="str">
        <f>IF(项目基本情况!B11="企业","——",IF('数据-取费表'!B10="住宅",IF(F6*F7*F8/12/(1+'数据-取费表'!F30)&gt;100000,4%,2.5%),IF(F6*F7*F8/12/(1+'数据-取费表'!F30)&gt;100000,12%,7%)))</f>
        <v>——</v>
      </c>
      <c r="G31" s="1897"/>
      <c r="H31" s="3163" t="s">
        <v>2724</v>
      </c>
      <c r="I31" s="1901"/>
      <c r="J31" s="1902"/>
      <c r="K31" s="1903"/>
      <c r="L31" s="1904"/>
      <c r="M31" s="1905"/>
    </row>
    <row r="32" spans="1:33" ht="18" customHeight="1">
      <c r="A32" s="1529" t="s">
        <v>1630</v>
      </c>
      <c r="B32" s="757" t="s">
        <v>1593</v>
      </c>
      <c r="C32" s="53">
        <f ca="1">ROUND(C6*F32/(1+'数据-取费表'!C42),1)</f>
        <v>45.8</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98.1</v>
      </c>
      <c r="D33" s="783" t="s">
        <v>3441</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11.9</v>
      </c>
      <c r="D34" s="786" t="s">
        <v>1598</v>
      </c>
      <c r="E34" s="757" t="s">
        <v>1599</v>
      </c>
      <c r="F34" s="615">
        <f>'数据-取费表'!B52</f>
        <v>18</v>
      </c>
      <c r="G34" s="1897"/>
      <c r="H34" s="1900"/>
      <c r="I34" s="807" t="s">
        <v>1612</v>
      </c>
      <c r="J34" s="808"/>
      <c r="K34" s="1915"/>
      <c r="L34" s="1914"/>
      <c r="M34" s="1914">
        <f ca="1">B3*35/10000</f>
        <v>7.0419999999999998</v>
      </c>
    </row>
    <row r="35" spans="1:18" ht="18" customHeight="1">
      <c r="A35" s="787"/>
      <c r="B35" s="766"/>
      <c r="C35" s="69"/>
      <c r="D35" s="788"/>
      <c r="E35" s="757" t="s">
        <v>1600</v>
      </c>
      <c r="F35" s="758">
        <f ca="1">INDIRECT("'数据-取费表'!r"&amp;$G$1)</f>
        <v>6636.81</v>
      </c>
      <c r="G35" s="1897"/>
      <c r="H35" s="1900"/>
      <c r="I35" s="809" t="s">
        <v>1613</v>
      </c>
      <c r="J35" s="810">
        <f ca="1">ROUND(C13*J36,0)</f>
        <v>1330</v>
      </c>
      <c r="K35" s="1913"/>
      <c r="L35" s="1912"/>
      <c r="M35" s="1912"/>
    </row>
    <row r="36" spans="1:18" ht="18" customHeight="1">
      <c r="A36" s="1530" t="s">
        <v>1684</v>
      </c>
      <c r="B36" s="757" t="s">
        <v>1601</v>
      </c>
      <c r="C36" s="53">
        <f ca="1">ROUND(C29*F36,1)</f>
        <v>190</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19</v>
      </c>
      <c r="D37" s="1843" t="s">
        <v>1603</v>
      </c>
      <c r="E37" s="757" t="s">
        <v>1595</v>
      </c>
      <c r="F37" s="790">
        <f ca="1">INDIRECT("'数据-取费表'!Al"&amp;$G$1)</f>
        <v>1E-3</v>
      </c>
      <c r="G37" s="1897"/>
      <c r="H37" s="1912"/>
      <c r="I37" s="813" t="s">
        <v>1615</v>
      </c>
      <c r="J37" s="814"/>
      <c r="K37" s="1916">
        <f ca="1">C36+C37+C38</f>
        <v>217.6</v>
      </c>
      <c r="L37" s="1912"/>
      <c r="M37" s="1912"/>
    </row>
    <row r="38" spans="1:18" ht="18" customHeight="1" thickBot="1">
      <c r="A38" s="2325" t="s">
        <v>1686</v>
      </c>
      <c r="B38" s="2320" t="s">
        <v>648</v>
      </c>
      <c r="C38" s="2318">
        <f ca="1">ROUND(C5*F38,1)</f>
        <v>8.6</v>
      </c>
      <c r="D38" s="2319" t="s">
        <v>1604</v>
      </c>
      <c r="E38" s="2320" t="s">
        <v>1595</v>
      </c>
      <c r="F38" s="2316">
        <f ca="1">INDIRECT("'数据-取费表'!Am"&amp;$G$1)</f>
        <v>0.01</v>
      </c>
      <c r="G38" s="1897"/>
      <c r="H38" s="1912"/>
      <c r="I38" s="815" t="s">
        <v>1616</v>
      </c>
      <c r="J38" s="816"/>
      <c r="K38" s="1917">
        <f ca="1">K37*10000/12/(F7/35)</f>
        <v>121.46002864644984</v>
      </c>
      <c r="L38" s="1912"/>
      <c r="M38" s="1912"/>
    </row>
    <row r="39" spans="1:18" ht="24.6" customHeight="1" thickTop="1">
      <c r="A39" s="1697" t="s">
        <v>1689</v>
      </c>
      <c r="B39" s="2641" t="s">
        <v>2537</v>
      </c>
      <c r="C39" s="765">
        <f ca="1">C5-C30</f>
        <v>484</v>
      </c>
      <c r="D39" s="2322" t="s">
        <v>1605</v>
      </c>
      <c r="E39" s="2323"/>
      <c r="F39" s="2324"/>
      <c r="G39" s="1897"/>
      <c r="H39" s="1912"/>
      <c r="I39" s="809" t="s">
        <v>1617</v>
      </c>
      <c r="J39" s="817">
        <f ca="1">ROUND(J35/C39,3)</f>
        <v>2.7480000000000002</v>
      </c>
      <c r="K39" s="1917"/>
      <c r="L39" s="1912"/>
      <c r="M39" s="1912"/>
    </row>
    <row r="40" spans="1:18" ht="18" customHeight="1">
      <c r="A40" s="754" t="s">
        <v>1690</v>
      </c>
      <c r="B40" s="2064" t="s">
        <v>2090</v>
      </c>
      <c r="C40" s="756">
        <f ca="1">ROUND(C39*(1-((1+F42)/(1+F40))^F41)/(F40-F42),0)</f>
        <v>10511</v>
      </c>
      <c r="D40" s="786" t="s">
        <v>1606</v>
      </c>
      <c r="E40" s="757" t="s">
        <v>2205</v>
      </c>
      <c r="F40" s="767">
        <f ca="1">INDIRECT("'数据-取费表'!I"&amp;$G$1)</f>
        <v>5.5E-2</v>
      </c>
      <c r="G40" s="1897"/>
      <c r="H40" s="1897"/>
      <c r="I40" s="809" t="s">
        <v>1618</v>
      </c>
      <c r="J40" s="817">
        <f ca="1">1-J39</f>
        <v>-1.7480000000000002</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42.31</v>
      </c>
      <c r="G41" s="1897"/>
      <c r="H41" s="1852"/>
      <c r="I41" s="815" t="s">
        <v>1619</v>
      </c>
      <c r="J41" s="818"/>
      <c r="K41" s="1916"/>
      <c r="L41" s="1852"/>
      <c r="M41" s="1852"/>
    </row>
    <row r="42" spans="1:18" ht="18" customHeight="1">
      <c r="A42" s="763"/>
      <c r="B42" s="764"/>
      <c r="C42" s="765"/>
      <c r="D42" s="788"/>
      <c r="E42" s="757" t="s">
        <v>1608</v>
      </c>
      <c r="F42" s="767">
        <f ca="1">INDIRECT("'数据-取费表'!v"&amp;$G$1)</f>
        <v>0.02</v>
      </c>
      <c r="G42" s="1897"/>
      <c r="H42" s="1852"/>
      <c r="I42" s="819" t="s">
        <v>1620</v>
      </c>
      <c r="J42" s="817">
        <f ca="1">ROUND(C13/C40,3)</f>
        <v>1.8080000000000001</v>
      </c>
      <c r="K42" s="1916"/>
      <c r="L42" s="1852"/>
      <c r="M42" s="1852"/>
    </row>
    <row r="43" spans="1:18" ht="18" customHeight="1" thickBot="1">
      <c r="A43" s="795" t="s">
        <v>1586</v>
      </c>
      <c r="B43" s="796" t="s">
        <v>1609</v>
      </c>
      <c r="C43" s="797">
        <f ca="1">ROUND(C40*10000/F43,0)</f>
        <v>2012</v>
      </c>
      <c r="D43" s="798" t="s">
        <v>1610</v>
      </c>
      <c r="E43" s="799" t="s">
        <v>1611</v>
      </c>
      <c r="F43" s="800">
        <f ca="1">INDIRECT("'数据-取费表'!k"&amp;$G$1)</f>
        <v>52253.13</v>
      </c>
      <c r="G43" s="1897"/>
      <c r="H43" s="1852"/>
      <c r="I43" s="819" t="s">
        <v>1621</v>
      </c>
      <c r="J43" s="820">
        <f ca="1">1-J42</f>
        <v>-0.80800000000000005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-14112</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3418</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45.31</v>
      </c>
      <c r="M48" s="3168"/>
      <c r="O48" s="2205" t="s">
        <v>2165</v>
      </c>
      <c r="P48" s="2206" t="s">
        <v>2191</v>
      </c>
      <c r="Q48" s="2207">
        <f ca="1">C40+J29</f>
        <v>10511</v>
      </c>
      <c r="R48" s="2206" t="s">
        <v>2166</v>
      </c>
    </row>
    <row r="49" spans="1:18" s="1894" customFormat="1" ht="18" customHeight="1" thickBot="1">
      <c r="A49" s="759"/>
      <c r="B49" s="760"/>
      <c r="C49" s="761"/>
      <c r="D49" s="762"/>
      <c r="E49" s="757" t="s">
        <v>1538</v>
      </c>
      <c r="F49" s="758">
        <f ca="1">F7</f>
        <v>52253.13</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19000</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-16098</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42.31</v>
      </c>
      <c r="K53" s="3826" t="s">
        <v>2664</v>
      </c>
      <c r="L53" s="3827"/>
      <c r="M53" s="3168"/>
      <c r="O53" s="2208" t="s">
        <v>2174</v>
      </c>
      <c r="P53" s="2206" t="s">
        <v>2175</v>
      </c>
      <c r="Q53" s="2207">
        <f ca="1">J53</f>
        <v>42.31</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10511</v>
      </c>
      <c r="R54" s="2210" t="s">
        <v>2178</v>
      </c>
    </row>
    <row r="55" spans="1:18" s="1894" customFormat="1" ht="18" customHeight="1" thickTop="1" thickBot="1">
      <c r="A55" s="770">
        <v>2</v>
      </c>
      <c r="B55" s="771" t="s">
        <v>626</v>
      </c>
      <c r="C55" s="772">
        <f ca="1">C13</f>
        <v>19000</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19000</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221</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10511</v>
      </c>
      <c r="R57" s="2206" t="s">
        <v>2166</v>
      </c>
    </row>
    <row r="58" spans="1:18" s="1894" customFormat="1" ht="28.5" customHeight="1" thickBot="1">
      <c r="A58" s="1530" t="s">
        <v>1623</v>
      </c>
      <c r="B58" s="757" t="s">
        <v>638</v>
      </c>
      <c r="C58" s="2924">
        <f ca="1">ROUND(IF(AND(项目基本情况!B11="自然人",项目基本情况!B10="北京市"),C48*F58/(1+'数据-取费表'!C42),C59+C60+C61),0)</f>
        <v>12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11.9</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6636.81</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190</v>
      </c>
      <c r="D63" s="2401" t="s">
        <v>1602</v>
      </c>
      <c r="E63" s="757" t="s">
        <v>1546</v>
      </c>
      <c r="F63" s="789">
        <f t="shared" ca="1" si="0"/>
        <v>0.01</v>
      </c>
      <c r="I63" s="2739" t="s">
        <v>2156</v>
      </c>
      <c r="J63" s="2740">
        <v>70</v>
      </c>
      <c r="K63" s="2740">
        <v>50</v>
      </c>
      <c r="L63" s="2740">
        <v>80</v>
      </c>
      <c r="M63" s="2742">
        <v>0.02</v>
      </c>
      <c r="O63" s="2205" t="s">
        <v>2177</v>
      </c>
      <c r="P63" s="2206" t="s">
        <v>2194</v>
      </c>
      <c r="Q63" s="2207">
        <f ca="1">Q57+Q58</f>
        <v>10511</v>
      </c>
      <c r="R63" s="2210" t="s">
        <v>2178</v>
      </c>
    </row>
    <row r="64" spans="1:18" s="1894" customFormat="1" ht="16.5" thickBot="1">
      <c r="A64" s="1530" t="s">
        <v>1685</v>
      </c>
      <c r="B64" s="757" t="s">
        <v>661</v>
      </c>
      <c r="C64" s="53">
        <f ca="1">ROUND(C55*F64,1)</f>
        <v>19</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-221</v>
      </c>
      <c r="D66" s="2400" t="s">
        <v>682</v>
      </c>
      <c r="E66" s="2399"/>
      <c r="F66" s="792"/>
      <c r="K66" s="1920"/>
      <c r="O66" s="2205" t="s">
        <v>2165</v>
      </c>
      <c r="P66" s="2206" t="s">
        <v>2195</v>
      </c>
      <c r="Q66" s="2207">
        <f ca="1">C40+J29</f>
        <v>10511</v>
      </c>
      <c r="R66" s="2206" t="s">
        <v>2166</v>
      </c>
    </row>
    <row r="67" spans="1:18" s="1894" customFormat="1" ht="20.25" thickBot="1">
      <c r="A67" s="754" t="s">
        <v>1579</v>
      </c>
      <c r="B67" s="2064" t="s">
        <v>2090</v>
      </c>
      <c r="C67" s="756">
        <f ca="1">ROUND(C66*(1-((1+F69)/(1+F67))^F68)/(F67-F69),0)</f>
        <v>-3601</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42.31</v>
      </c>
      <c r="O68" s="2208" t="s">
        <v>2169</v>
      </c>
      <c r="P68" s="2206" t="s">
        <v>2199</v>
      </c>
      <c r="Q68" s="2212">
        <f ca="1">L51</f>
        <v>-16098</v>
      </c>
      <c r="R68" s="2213" t="s">
        <v>2202</v>
      </c>
    </row>
    <row r="69" spans="1:18" ht="20.25" thickBot="1">
      <c r="A69" s="763"/>
      <c r="B69" s="764"/>
      <c r="C69" s="765"/>
      <c r="D69" s="788"/>
      <c r="E69" s="757" t="s">
        <v>692</v>
      </c>
      <c r="F69" s="2178"/>
      <c r="O69" s="2208" t="s">
        <v>2170</v>
      </c>
      <c r="P69" s="2214" t="s">
        <v>2184</v>
      </c>
      <c r="Q69" s="2207">
        <f ca="1">ROUND(Q70-Q71*Q72,0)</f>
        <v>-846</v>
      </c>
      <c r="R69" s="2210"/>
    </row>
    <row r="70" spans="1:18" ht="15.75" thickBot="1">
      <c r="A70" s="795" t="s">
        <v>1586</v>
      </c>
      <c r="B70" s="796" t="s">
        <v>1609</v>
      </c>
      <c r="C70" s="797">
        <f ca="1">ROUND(C67*10000/F70,0)</f>
        <v>-689</v>
      </c>
      <c r="D70" s="798" t="s">
        <v>1610</v>
      </c>
      <c r="E70" s="799" t="s">
        <v>1611</v>
      </c>
      <c r="F70" s="800">
        <f ca="1">F43</f>
        <v>52253.13</v>
      </c>
      <c r="O70" s="2208" t="s">
        <v>2185</v>
      </c>
      <c r="P70" s="2214" t="s">
        <v>2186</v>
      </c>
      <c r="Q70" s="2207">
        <f ca="1">C39</f>
        <v>484</v>
      </c>
      <c r="R70" s="2206" t="s">
        <v>2166</v>
      </c>
    </row>
    <row r="71" spans="1:18" ht="15.75" thickBot="1">
      <c r="O71" s="2208" t="s">
        <v>2187</v>
      </c>
      <c r="P71" s="2214" t="s">
        <v>2188</v>
      </c>
      <c r="Q71" s="2207">
        <f ca="1">C13</f>
        <v>19000</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10511</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topLeftCell="A10" workbookViewId="0">
      <selection activeCell="A18" sqref="A18"/>
    </sheetView>
  </sheetViews>
  <sheetFormatPr defaultRowHeight="13.5"/>
  <cols>
    <col min="1" max="1" width="25.375" customWidth="1"/>
    <col min="6" max="6" width="13.125" customWidth="1"/>
  </cols>
  <sheetData>
    <row r="1" spans="1:17">
      <c r="A1" s="3456" t="s">
        <v>3160</v>
      </c>
      <c r="B1" s="3456" t="s">
        <v>3161</v>
      </c>
      <c r="C1" s="3456" t="s">
        <v>3162</v>
      </c>
      <c r="D1" s="3456" t="s">
        <v>3163</v>
      </c>
      <c r="E1" s="3456" t="s">
        <v>3164</v>
      </c>
      <c r="F1" s="3456" t="s">
        <v>1823</v>
      </c>
      <c r="G1" s="3456" t="s">
        <v>3165</v>
      </c>
      <c r="H1" s="3456" t="s">
        <v>3166</v>
      </c>
      <c r="I1" s="3456" t="s">
        <v>3167</v>
      </c>
      <c r="J1" s="3456" t="s">
        <v>3168</v>
      </c>
      <c r="K1" s="3456" t="s">
        <v>3169</v>
      </c>
      <c r="L1" s="3456" t="s">
        <v>3170</v>
      </c>
      <c r="M1" s="3456" t="s">
        <v>3171</v>
      </c>
      <c r="N1" s="3456" t="s">
        <v>3172</v>
      </c>
      <c r="O1" s="3456" t="s">
        <v>3173</v>
      </c>
      <c r="P1" s="3456" t="s">
        <v>3174</v>
      </c>
      <c r="Q1" s="3456" t="s">
        <v>3175</v>
      </c>
    </row>
    <row r="2" spans="1:17">
      <c r="A2" s="3456" t="s">
        <v>3176</v>
      </c>
      <c r="B2" s="3456" t="s">
        <v>3177</v>
      </c>
      <c r="C2" s="3456" t="s">
        <v>3178</v>
      </c>
      <c r="D2" s="3456">
        <v>23736.73</v>
      </c>
      <c r="E2" s="3456">
        <v>71210.19</v>
      </c>
      <c r="F2" s="3456" t="s">
        <v>3179</v>
      </c>
      <c r="G2" s="3456" t="s">
        <v>3180</v>
      </c>
      <c r="H2" s="3456" t="s">
        <v>3181</v>
      </c>
      <c r="I2" s="3456" t="s">
        <v>3182</v>
      </c>
      <c r="J2" s="3456" t="s">
        <v>3183</v>
      </c>
      <c r="K2" s="3456" t="s">
        <v>3183</v>
      </c>
      <c r="L2" s="3456">
        <v>28788</v>
      </c>
      <c r="M2" s="3456">
        <v>28788</v>
      </c>
      <c r="N2" s="3456">
        <v>4042.68</v>
      </c>
      <c r="O2" s="3456">
        <v>0</v>
      </c>
      <c r="P2" s="3456" t="s">
        <v>3184</v>
      </c>
      <c r="Q2" s="3456" t="s">
        <v>3185</v>
      </c>
    </row>
    <row r="3" spans="1:17">
      <c r="A3" s="3456" t="s">
        <v>3186</v>
      </c>
      <c r="B3" s="3456" t="s">
        <v>3177</v>
      </c>
      <c r="C3" s="3456" t="s">
        <v>3178</v>
      </c>
      <c r="D3" s="3456">
        <v>17909.02</v>
      </c>
      <c r="E3" s="3456">
        <v>62681.57</v>
      </c>
      <c r="F3" s="3456" t="s">
        <v>3187</v>
      </c>
      <c r="G3" s="3456" t="s">
        <v>3180</v>
      </c>
      <c r="H3" s="3456" t="s">
        <v>3181</v>
      </c>
      <c r="I3" s="3456" t="s">
        <v>3182</v>
      </c>
      <c r="J3" s="3456" t="s">
        <v>3183</v>
      </c>
      <c r="K3" s="3456" t="s">
        <v>3183</v>
      </c>
      <c r="L3" s="3456">
        <v>23880</v>
      </c>
      <c r="M3" s="3456">
        <v>23880</v>
      </c>
      <c r="N3" s="3456">
        <v>3809.73</v>
      </c>
      <c r="O3" s="3456">
        <v>0</v>
      </c>
      <c r="P3" s="3456" t="s">
        <v>3188</v>
      </c>
      <c r="Q3" s="3456" t="s">
        <v>3185</v>
      </c>
    </row>
    <row r="4" spans="1:17">
      <c r="A4" s="3456" t="s">
        <v>3189</v>
      </c>
      <c r="B4" s="3456" t="s">
        <v>3177</v>
      </c>
      <c r="C4" s="3456" t="s">
        <v>3178</v>
      </c>
      <c r="D4" s="3456">
        <v>33519.46</v>
      </c>
      <c r="E4" s="3456">
        <v>97206.43</v>
      </c>
      <c r="F4" s="3456" t="s">
        <v>3190</v>
      </c>
      <c r="G4" s="3456" t="s">
        <v>3180</v>
      </c>
      <c r="H4" s="3456" t="s">
        <v>3181</v>
      </c>
      <c r="I4" s="3456" t="s">
        <v>3182</v>
      </c>
      <c r="J4" s="3456" t="s">
        <v>3183</v>
      </c>
      <c r="K4" s="3456" t="s">
        <v>3183</v>
      </c>
      <c r="L4" s="3456">
        <v>37730</v>
      </c>
      <c r="M4" s="3456">
        <v>37730</v>
      </c>
      <c r="N4" s="3456">
        <v>3881.43</v>
      </c>
      <c r="O4" s="3456">
        <v>0</v>
      </c>
      <c r="P4" s="3456" t="s">
        <v>3191</v>
      </c>
      <c r="Q4" s="3456" t="s">
        <v>3185</v>
      </c>
    </row>
    <row r="5" spans="1:17">
      <c r="A5" s="3456" t="s">
        <v>3192</v>
      </c>
      <c r="B5" s="3456" t="s">
        <v>3177</v>
      </c>
      <c r="C5" s="3456" t="s">
        <v>3178</v>
      </c>
      <c r="D5" s="3456">
        <v>50027.57</v>
      </c>
      <c r="E5" s="3456">
        <v>145079.95000000001</v>
      </c>
      <c r="F5" s="3456" t="s">
        <v>3193</v>
      </c>
      <c r="G5" s="3456" t="s">
        <v>3180</v>
      </c>
      <c r="H5" s="3456" t="s">
        <v>3181</v>
      </c>
      <c r="I5" s="3456" t="s">
        <v>3182</v>
      </c>
      <c r="J5" s="3456" t="s">
        <v>3183</v>
      </c>
      <c r="K5" s="3456" t="s">
        <v>3183</v>
      </c>
      <c r="L5" s="3456">
        <v>59854</v>
      </c>
      <c r="M5" s="3456">
        <v>59854</v>
      </c>
      <c r="N5" s="3456">
        <v>4125.59</v>
      </c>
      <c r="O5" s="3456">
        <v>0</v>
      </c>
      <c r="P5" s="3456" t="s">
        <v>3194</v>
      </c>
      <c r="Q5" s="3456" t="s">
        <v>3185</v>
      </c>
    </row>
    <row r="6" spans="1:17">
      <c r="A6" s="3456" t="s">
        <v>3195</v>
      </c>
      <c r="B6" s="3456" t="s">
        <v>3177</v>
      </c>
      <c r="C6" s="3456" t="s">
        <v>3178</v>
      </c>
      <c r="D6" s="3456">
        <v>41705.629999999997</v>
      </c>
      <c r="E6" s="3456">
        <v>150140.26999999999</v>
      </c>
      <c r="F6" s="3456" t="s">
        <v>3196</v>
      </c>
      <c r="G6" s="3456" t="s">
        <v>3180</v>
      </c>
      <c r="H6" s="3456" t="s">
        <v>3181</v>
      </c>
      <c r="I6" s="3456" t="s">
        <v>3182</v>
      </c>
      <c r="J6" s="3456" t="s">
        <v>3183</v>
      </c>
      <c r="K6" s="3456" t="s">
        <v>3183</v>
      </c>
      <c r="L6" s="3456">
        <v>50111</v>
      </c>
      <c r="M6" s="3456">
        <v>50111</v>
      </c>
      <c r="N6" s="3456">
        <v>3337.61</v>
      </c>
      <c r="O6" s="3456">
        <v>0</v>
      </c>
      <c r="P6" s="3456" t="s">
        <v>3197</v>
      </c>
      <c r="Q6" s="3456" t="s">
        <v>3185</v>
      </c>
    </row>
    <row r="7" spans="1:17">
      <c r="A7" s="3456" t="s">
        <v>3198</v>
      </c>
      <c r="B7" s="3456" t="s">
        <v>3177</v>
      </c>
      <c r="C7" s="3456" t="s">
        <v>3178</v>
      </c>
      <c r="D7" s="3456">
        <v>41965.57</v>
      </c>
      <c r="E7" s="3456">
        <v>113307.04</v>
      </c>
      <c r="F7" s="3456" t="s">
        <v>3199</v>
      </c>
      <c r="G7" s="3456" t="s">
        <v>3180</v>
      </c>
      <c r="H7" s="3456" t="s">
        <v>3181</v>
      </c>
      <c r="I7" s="3456" t="s">
        <v>3182</v>
      </c>
      <c r="J7" s="3456" t="s">
        <v>3183</v>
      </c>
      <c r="K7" s="3456" t="s">
        <v>3183</v>
      </c>
      <c r="L7" s="3456">
        <v>50174</v>
      </c>
      <c r="M7" s="3456">
        <v>50174</v>
      </c>
      <c r="N7" s="3456">
        <v>4428.1400000000003</v>
      </c>
      <c r="O7" s="3456">
        <v>0</v>
      </c>
      <c r="P7" s="3456" t="s">
        <v>3200</v>
      </c>
      <c r="Q7" s="3456" t="s">
        <v>3185</v>
      </c>
    </row>
    <row r="8" spans="1:17">
      <c r="A8" s="3456" t="s">
        <v>3201</v>
      </c>
      <c r="B8" s="3456" t="s">
        <v>3177</v>
      </c>
      <c r="C8" s="3456" t="s">
        <v>3178</v>
      </c>
      <c r="D8" s="3456">
        <v>26354.28</v>
      </c>
      <c r="E8" s="3456">
        <v>79062.84</v>
      </c>
      <c r="F8" s="3456" t="s">
        <v>3202</v>
      </c>
      <c r="G8" s="3456" t="s">
        <v>3180</v>
      </c>
      <c r="H8" s="3456" t="s">
        <v>3181</v>
      </c>
      <c r="I8" s="3456" t="s">
        <v>3182</v>
      </c>
      <c r="J8" s="3456" t="s">
        <v>3183</v>
      </c>
      <c r="K8" s="3456" t="s">
        <v>3183</v>
      </c>
      <c r="L8" s="3456">
        <v>31062</v>
      </c>
      <c r="M8" s="3456">
        <v>31062</v>
      </c>
      <c r="N8" s="3456">
        <v>3928.77</v>
      </c>
      <c r="O8" s="3456">
        <v>0</v>
      </c>
      <c r="P8" s="3456" t="s">
        <v>3203</v>
      </c>
      <c r="Q8" s="3456" t="s">
        <v>3185</v>
      </c>
    </row>
    <row r="9" spans="1:17" s="3461" customFormat="1">
      <c r="A9" s="3460" t="s">
        <v>3461</v>
      </c>
      <c r="B9" s="3460" t="s">
        <v>3177</v>
      </c>
      <c r="C9" s="3460" t="s">
        <v>3205</v>
      </c>
      <c r="D9" s="3460">
        <v>26176.63</v>
      </c>
      <c r="E9" s="3460">
        <v>95544.7</v>
      </c>
      <c r="F9" s="3460" t="s">
        <v>3206</v>
      </c>
      <c r="G9" s="3460" t="s">
        <v>3180</v>
      </c>
      <c r="H9" s="3460" t="s">
        <v>3207</v>
      </c>
      <c r="I9" s="3460" t="s">
        <v>3208</v>
      </c>
      <c r="J9" s="3460" t="s">
        <v>3209</v>
      </c>
      <c r="K9" s="3460" t="s">
        <v>3209</v>
      </c>
      <c r="L9" s="3460">
        <v>37021</v>
      </c>
      <c r="M9" s="3460">
        <v>37021</v>
      </c>
      <c r="N9" s="3460">
        <v>3874.73</v>
      </c>
      <c r="O9" s="3460">
        <v>0</v>
      </c>
      <c r="P9" s="3460" t="s">
        <v>3210</v>
      </c>
      <c r="Q9" s="3460" t="s">
        <v>3211</v>
      </c>
    </row>
    <row r="10" spans="1:17">
      <c r="A10" s="3456" t="s">
        <v>3212</v>
      </c>
      <c r="B10" s="3456" t="s">
        <v>3177</v>
      </c>
      <c r="C10" s="3456" t="s">
        <v>3205</v>
      </c>
      <c r="D10" s="3456">
        <v>96024.98</v>
      </c>
      <c r="E10" s="3456">
        <v>288074.94</v>
      </c>
      <c r="F10" s="3456" t="s">
        <v>3213</v>
      </c>
      <c r="G10" s="3456" t="s">
        <v>3180</v>
      </c>
      <c r="H10" s="3456" t="s">
        <v>3181</v>
      </c>
      <c r="I10" s="3456" t="s">
        <v>3214</v>
      </c>
      <c r="J10" s="3456" t="s">
        <v>3215</v>
      </c>
      <c r="K10" s="3456" t="s">
        <v>3215</v>
      </c>
      <c r="L10" s="3456">
        <v>115944</v>
      </c>
      <c r="M10" s="3456">
        <v>115944</v>
      </c>
      <c r="N10" s="3456">
        <v>4024.79</v>
      </c>
      <c r="O10" s="3456">
        <v>0</v>
      </c>
      <c r="P10" s="3456" t="s">
        <v>3216</v>
      </c>
      <c r="Q10" s="3456" t="s">
        <v>3211</v>
      </c>
    </row>
    <row r="11" spans="1:17">
      <c r="A11" s="3456" t="s">
        <v>3217</v>
      </c>
      <c r="B11" s="3456" t="s">
        <v>3177</v>
      </c>
      <c r="C11" s="3456" t="s">
        <v>3205</v>
      </c>
      <c r="D11" s="3456">
        <v>28338.23</v>
      </c>
      <c r="E11" s="3456">
        <v>102017.63</v>
      </c>
      <c r="F11" s="3456" t="s">
        <v>3218</v>
      </c>
      <c r="G11" s="3456" t="s">
        <v>3180</v>
      </c>
      <c r="H11" s="3456" t="s">
        <v>3181</v>
      </c>
      <c r="I11" s="3456" t="s">
        <v>3214</v>
      </c>
      <c r="J11" s="3456" t="s">
        <v>3215</v>
      </c>
      <c r="K11" s="3456" t="s">
        <v>3215</v>
      </c>
      <c r="L11" s="3456">
        <v>38606</v>
      </c>
      <c r="M11" s="3456">
        <v>38606</v>
      </c>
      <c r="N11" s="3456">
        <v>3784.25</v>
      </c>
      <c r="O11" s="3456">
        <v>0</v>
      </c>
      <c r="P11" s="3456" t="s">
        <v>3219</v>
      </c>
      <c r="Q11" s="3456" t="s">
        <v>3220</v>
      </c>
    </row>
    <row r="12" spans="1:17">
      <c r="A12" s="3456" t="s">
        <v>3221</v>
      </c>
      <c r="B12" s="3456" t="s">
        <v>3177</v>
      </c>
      <c r="C12" s="3456" t="s">
        <v>3205</v>
      </c>
      <c r="D12" s="3456">
        <v>52086.78</v>
      </c>
      <c r="E12" s="3456">
        <v>156260.34</v>
      </c>
      <c r="F12" s="3456" t="s">
        <v>3202</v>
      </c>
      <c r="G12" s="3456" t="s">
        <v>3180</v>
      </c>
      <c r="H12" s="3456" t="s">
        <v>3181</v>
      </c>
      <c r="I12" s="3456" t="s">
        <v>3214</v>
      </c>
      <c r="J12" s="3456" t="s">
        <v>3215</v>
      </c>
      <c r="K12" s="3456" t="s">
        <v>3215</v>
      </c>
      <c r="L12" s="3456">
        <v>63458</v>
      </c>
      <c r="M12" s="3456">
        <v>63458</v>
      </c>
      <c r="N12" s="3456">
        <v>4061.04</v>
      </c>
      <c r="O12" s="3456">
        <v>0</v>
      </c>
      <c r="P12" s="3456" t="s">
        <v>3222</v>
      </c>
      <c r="Q12" s="3456" t="s">
        <v>3211</v>
      </c>
    </row>
    <row r="13" spans="1:17" s="3463" customFormat="1">
      <c r="A13" s="3462" t="s">
        <v>3223</v>
      </c>
      <c r="B13" s="3462" t="s">
        <v>3177</v>
      </c>
      <c r="C13" s="3462" t="s">
        <v>3205</v>
      </c>
      <c r="D13" s="3462">
        <v>18163.759999999998</v>
      </c>
      <c r="E13" s="3462">
        <v>90818.8</v>
      </c>
      <c r="F13" s="3462" t="s">
        <v>3224</v>
      </c>
      <c r="G13" s="3462" t="s">
        <v>3180</v>
      </c>
      <c r="H13" s="3462" t="s">
        <v>3181</v>
      </c>
      <c r="I13" s="3462" t="s">
        <v>3214</v>
      </c>
      <c r="J13" s="3462" t="s">
        <v>3215</v>
      </c>
      <c r="K13" s="3462" t="s">
        <v>3215</v>
      </c>
      <c r="L13" s="3462">
        <v>42160</v>
      </c>
      <c r="M13" s="3462">
        <v>42160</v>
      </c>
      <c r="N13" s="3462">
        <v>4642.21</v>
      </c>
      <c r="O13" s="3462">
        <v>0</v>
      </c>
      <c r="P13" s="3462" t="s">
        <v>3225</v>
      </c>
      <c r="Q13" s="3462" t="s">
        <v>3226</v>
      </c>
    </row>
    <row r="14" spans="1:17">
      <c r="A14" s="3456" t="s">
        <v>3227</v>
      </c>
      <c r="B14" s="3456" t="s">
        <v>3177</v>
      </c>
      <c r="C14" s="3456" t="s">
        <v>3205</v>
      </c>
      <c r="D14" s="3456">
        <v>34791.67</v>
      </c>
      <c r="E14" s="3456">
        <v>135687.51</v>
      </c>
      <c r="F14" s="3456" t="s">
        <v>3228</v>
      </c>
      <c r="G14" s="3456" t="s">
        <v>3180</v>
      </c>
      <c r="H14" s="3456" t="s">
        <v>3181</v>
      </c>
      <c r="I14" s="3456" t="s">
        <v>3214</v>
      </c>
      <c r="J14" s="3456" t="s">
        <v>3215</v>
      </c>
      <c r="K14" s="3456" t="s">
        <v>3215</v>
      </c>
      <c r="L14" s="3456">
        <v>44376</v>
      </c>
      <c r="M14" s="3456">
        <v>44376</v>
      </c>
      <c r="N14" s="3456">
        <v>3270.46</v>
      </c>
      <c r="O14" s="3456">
        <v>0</v>
      </c>
      <c r="P14" s="3456" t="s">
        <v>3222</v>
      </c>
      <c r="Q14" s="3456" t="s">
        <v>3226</v>
      </c>
    </row>
    <row r="15" spans="1:17">
      <c r="A15" s="3456" t="s">
        <v>3229</v>
      </c>
      <c r="B15" s="3456" t="s">
        <v>3177</v>
      </c>
      <c r="C15" s="3456" t="s">
        <v>3178</v>
      </c>
      <c r="D15" s="3456">
        <v>32867.879999999997</v>
      </c>
      <c r="E15" s="3456">
        <v>82169.7</v>
      </c>
      <c r="F15" s="3456" t="s">
        <v>3230</v>
      </c>
      <c r="G15" s="3456" t="s">
        <v>3180</v>
      </c>
      <c r="H15" s="3456" t="s">
        <v>3181</v>
      </c>
      <c r="I15" s="3456" t="s">
        <v>3182</v>
      </c>
      <c r="J15" s="3456" t="s">
        <v>3231</v>
      </c>
      <c r="K15" s="3456" t="s">
        <v>3231</v>
      </c>
      <c r="L15" s="3456">
        <v>38243</v>
      </c>
      <c r="M15" s="3456">
        <v>38243</v>
      </c>
      <c r="N15" s="3456">
        <v>4654.1499999999996</v>
      </c>
      <c r="O15" s="3456">
        <v>0</v>
      </c>
      <c r="P15" s="3456" t="s">
        <v>3232</v>
      </c>
      <c r="Q15" s="3456" t="s">
        <v>3220</v>
      </c>
    </row>
    <row r="16" spans="1:17">
      <c r="A16" s="3456" t="s">
        <v>3233</v>
      </c>
      <c r="B16" s="3456" t="s">
        <v>3177</v>
      </c>
      <c r="C16" s="3456" t="s">
        <v>3178</v>
      </c>
      <c r="D16" s="3456">
        <v>49754.85</v>
      </c>
      <c r="E16" s="3456">
        <v>223896.83</v>
      </c>
      <c r="F16" s="3456" t="s">
        <v>3234</v>
      </c>
      <c r="G16" s="3456" t="s">
        <v>3180</v>
      </c>
      <c r="H16" s="3456" t="s">
        <v>3235</v>
      </c>
      <c r="I16" s="3456" t="s">
        <v>3182</v>
      </c>
      <c r="J16" s="3456" t="s">
        <v>3231</v>
      </c>
      <c r="K16" s="3456" t="s">
        <v>3231</v>
      </c>
      <c r="L16" s="3456">
        <v>78285</v>
      </c>
      <c r="M16" s="3456">
        <v>78285</v>
      </c>
      <c r="N16" s="3456">
        <v>3496.48</v>
      </c>
      <c r="O16" s="3456">
        <v>0</v>
      </c>
      <c r="P16" s="3456" t="s">
        <v>3236</v>
      </c>
      <c r="Q16" s="3456" t="s">
        <v>3211</v>
      </c>
    </row>
    <row r="17" spans="1:17">
      <c r="A17" s="3456" t="s">
        <v>3237</v>
      </c>
      <c r="B17" s="3456" t="s">
        <v>3177</v>
      </c>
      <c r="C17" s="3456" t="s">
        <v>3178</v>
      </c>
      <c r="D17" s="3456">
        <v>52860.92</v>
      </c>
      <c r="E17" s="3456">
        <v>132152.29999999999</v>
      </c>
      <c r="F17" s="3456" t="s">
        <v>3230</v>
      </c>
      <c r="G17" s="3456" t="s">
        <v>3180</v>
      </c>
      <c r="H17" s="3456" t="s">
        <v>3181</v>
      </c>
      <c r="I17" s="3456" t="s">
        <v>3182</v>
      </c>
      <c r="J17" s="3456" t="s">
        <v>3231</v>
      </c>
      <c r="K17" s="3456" t="s">
        <v>3231</v>
      </c>
      <c r="L17" s="3456">
        <v>61535</v>
      </c>
      <c r="M17" s="3456">
        <v>61535</v>
      </c>
      <c r="N17" s="3456">
        <v>4656.37</v>
      </c>
      <c r="O17" s="3456">
        <v>0</v>
      </c>
      <c r="P17" s="3456" t="s">
        <v>3232</v>
      </c>
      <c r="Q17" s="3456" t="s">
        <v>3220</v>
      </c>
    </row>
    <row r="18" spans="1:17" s="3461" customFormat="1">
      <c r="A18" s="3460" t="s">
        <v>3479</v>
      </c>
      <c r="B18" s="3460" t="s">
        <v>3177</v>
      </c>
      <c r="C18" s="3460" t="s">
        <v>3178</v>
      </c>
      <c r="D18" s="3460">
        <v>25523.57</v>
      </c>
      <c r="E18" s="3460">
        <v>107198.99</v>
      </c>
      <c r="F18" s="3460" t="s">
        <v>3239</v>
      </c>
      <c r="G18" s="3460" t="s">
        <v>3180</v>
      </c>
      <c r="H18" s="3460" t="s">
        <v>3240</v>
      </c>
      <c r="I18" s="3460" t="s">
        <v>3182</v>
      </c>
      <c r="J18" s="3460" t="s">
        <v>3231</v>
      </c>
      <c r="K18" s="3460" t="s">
        <v>3231</v>
      </c>
      <c r="L18" s="3460">
        <v>39043</v>
      </c>
      <c r="M18" s="3460">
        <v>39043</v>
      </c>
      <c r="N18" s="3460">
        <v>3642.11</v>
      </c>
      <c r="O18" s="3460">
        <v>0</v>
      </c>
      <c r="P18" s="3460" t="s">
        <v>3241</v>
      </c>
      <c r="Q18" s="3460" t="s">
        <v>3211</v>
      </c>
    </row>
    <row r="19" spans="1:17">
      <c r="A19" s="3456" t="s">
        <v>3242</v>
      </c>
      <c r="B19" s="3456" t="s">
        <v>3177</v>
      </c>
      <c r="C19" s="3456" t="s">
        <v>3178</v>
      </c>
      <c r="D19" s="3456">
        <v>91288.47</v>
      </c>
      <c r="E19" s="3456">
        <v>328638.49</v>
      </c>
      <c r="F19" s="3456" t="s">
        <v>3218</v>
      </c>
      <c r="G19" s="3456" t="s">
        <v>3180</v>
      </c>
      <c r="H19" s="3456" t="s">
        <v>3181</v>
      </c>
      <c r="I19" s="3456" t="s">
        <v>3182</v>
      </c>
      <c r="J19" s="3456" t="s">
        <v>3231</v>
      </c>
      <c r="K19" s="3456" t="s">
        <v>3231</v>
      </c>
      <c r="L19" s="3456">
        <v>129776</v>
      </c>
      <c r="M19" s="3456">
        <v>129776</v>
      </c>
      <c r="N19" s="3456">
        <v>3948.9</v>
      </c>
      <c r="O19" s="3456">
        <v>0</v>
      </c>
      <c r="P19" s="3456" t="s">
        <v>3243</v>
      </c>
      <c r="Q19" s="3456" t="s">
        <v>3211</v>
      </c>
    </row>
    <row r="20" spans="1:17">
      <c r="A20" s="3456" t="s">
        <v>3244</v>
      </c>
      <c r="B20" s="3456" t="s">
        <v>3177</v>
      </c>
      <c r="C20" s="3456" t="s">
        <v>3205</v>
      </c>
      <c r="D20" s="3456">
        <v>36715.14</v>
      </c>
      <c r="E20" s="3456">
        <v>91787.85</v>
      </c>
      <c r="F20" s="3456" t="s">
        <v>3245</v>
      </c>
      <c r="G20" s="3456" t="s">
        <v>3180</v>
      </c>
      <c r="H20" s="3456" t="s">
        <v>3246</v>
      </c>
      <c r="I20" s="3456" t="s">
        <v>3214</v>
      </c>
      <c r="J20" s="3456" t="s">
        <v>3247</v>
      </c>
      <c r="K20" s="3456" t="s">
        <v>3247</v>
      </c>
      <c r="L20" s="3456">
        <v>39105</v>
      </c>
      <c r="M20" s="3456">
        <v>39105</v>
      </c>
      <c r="N20" s="3456">
        <v>4260.37</v>
      </c>
      <c r="O20" s="3456">
        <v>0</v>
      </c>
      <c r="P20" s="3456" t="s">
        <v>3248</v>
      </c>
      <c r="Q20" s="3456" t="s">
        <v>3211</v>
      </c>
    </row>
    <row r="21" spans="1:17">
      <c r="A21" s="3456" t="s">
        <v>3249</v>
      </c>
      <c r="B21" s="3456" t="s">
        <v>3177</v>
      </c>
      <c r="C21" s="3456" t="s">
        <v>3178</v>
      </c>
      <c r="D21" s="3456">
        <v>46750.17</v>
      </c>
      <c r="E21" s="3456">
        <v>168300.61</v>
      </c>
      <c r="F21" s="3456" t="s">
        <v>3250</v>
      </c>
      <c r="G21" s="3456" t="s">
        <v>3180</v>
      </c>
      <c r="H21" s="3456" t="s">
        <v>3251</v>
      </c>
      <c r="I21" s="3456" t="s">
        <v>3214</v>
      </c>
      <c r="J21" s="3456" t="s">
        <v>3247</v>
      </c>
      <c r="K21" s="3456" t="s">
        <v>3247</v>
      </c>
      <c r="L21" s="3456">
        <v>53455</v>
      </c>
      <c r="M21" s="3456">
        <v>53455</v>
      </c>
      <c r="N21" s="3456">
        <v>3176.16</v>
      </c>
      <c r="O21" s="3456">
        <v>0</v>
      </c>
      <c r="P21" s="3456" t="s">
        <v>3232</v>
      </c>
      <c r="Q21" s="3456" t="s">
        <v>3220</v>
      </c>
    </row>
    <row r="22" spans="1:17">
      <c r="A22" s="3456" t="s">
        <v>3252</v>
      </c>
      <c r="B22" s="3456" t="s">
        <v>3177</v>
      </c>
      <c r="C22" s="3456" t="s">
        <v>3205</v>
      </c>
      <c r="D22" s="3456">
        <v>22234.560000000001</v>
      </c>
      <c r="E22" s="3456">
        <v>81156.14</v>
      </c>
      <c r="F22" s="3456" t="s">
        <v>3206</v>
      </c>
      <c r="G22" s="3456" t="s">
        <v>3180</v>
      </c>
      <c r="H22" s="3456" t="s">
        <v>3181</v>
      </c>
      <c r="I22" s="3456" t="s">
        <v>3214</v>
      </c>
      <c r="J22" s="3456" t="s">
        <v>3247</v>
      </c>
      <c r="K22" s="3456" t="s">
        <v>3247</v>
      </c>
      <c r="L22" s="3456">
        <v>31098</v>
      </c>
      <c r="M22" s="3456">
        <v>31098</v>
      </c>
      <c r="N22" s="3456">
        <v>3831.87</v>
      </c>
      <c r="O22" s="3456">
        <v>0</v>
      </c>
      <c r="P22" s="3456" t="s">
        <v>3253</v>
      </c>
      <c r="Q22" s="3456" t="s">
        <v>3211</v>
      </c>
    </row>
    <row r="23" spans="1:17">
      <c r="A23" s="3456" t="s">
        <v>3254</v>
      </c>
      <c r="B23" s="3456" t="s">
        <v>3177</v>
      </c>
      <c r="C23" s="3456" t="s">
        <v>3178</v>
      </c>
      <c r="D23" s="3456">
        <v>109944.27</v>
      </c>
      <c r="E23" s="3456">
        <v>340827.24</v>
      </c>
      <c r="F23" s="3456" t="s">
        <v>3255</v>
      </c>
      <c r="G23" s="3456" t="s">
        <v>3180</v>
      </c>
      <c r="H23" s="3456" t="s">
        <v>3256</v>
      </c>
      <c r="I23" s="3456" t="s">
        <v>3214</v>
      </c>
      <c r="J23" s="3456" t="s">
        <v>3247</v>
      </c>
      <c r="K23" s="3456" t="s">
        <v>3247</v>
      </c>
      <c r="L23" s="3456">
        <v>120670</v>
      </c>
      <c r="M23" s="3456">
        <v>120670</v>
      </c>
      <c r="N23" s="3456">
        <v>3540.5</v>
      </c>
      <c r="O23" s="3456">
        <v>0</v>
      </c>
      <c r="P23" s="3456" t="s">
        <v>3232</v>
      </c>
      <c r="Q23" s="3456" t="s">
        <v>3220</v>
      </c>
    </row>
    <row r="24" spans="1:17">
      <c r="A24" s="3456" t="s">
        <v>3257</v>
      </c>
      <c r="B24" s="3456" t="s">
        <v>3177</v>
      </c>
      <c r="C24" s="3456" t="s">
        <v>3205</v>
      </c>
      <c r="D24" s="3456">
        <v>55111.41</v>
      </c>
      <c r="E24" s="3456">
        <v>192889.94</v>
      </c>
      <c r="F24" s="3456" t="s">
        <v>3258</v>
      </c>
      <c r="G24" s="3456" t="s">
        <v>3180</v>
      </c>
      <c r="H24" s="3456" t="s">
        <v>3246</v>
      </c>
      <c r="I24" s="3456" t="s">
        <v>3214</v>
      </c>
      <c r="J24" s="3456" t="s">
        <v>3247</v>
      </c>
      <c r="K24" s="3456" t="s">
        <v>3247</v>
      </c>
      <c r="L24" s="3456">
        <v>72900</v>
      </c>
      <c r="M24" s="3456">
        <v>72900</v>
      </c>
      <c r="N24" s="3456">
        <v>3779.36</v>
      </c>
      <c r="O24" s="3456">
        <v>0</v>
      </c>
      <c r="P24" s="3456" t="s">
        <v>3259</v>
      </c>
      <c r="Q24" s="3456" t="s">
        <v>3211</v>
      </c>
    </row>
    <row r="25" spans="1:17">
      <c r="A25" s="3456" t="s">
        <v>3260</v>
      </c>
      <c r="B25" s="3456" t="s">
        <v>3177</v>
      </c>
      <c r="C25" s="3456" t="s">
        <v>3205</v>
      </c>
      <c r="D25" s="3456">
        <v>44598.76</v>
      </c>
      <c r="E25" s="3456">
        <v>187314.79</v>
      </c>
      <c r="F25" s="3456" t="s">
        <v>3239</v>
      </c>
      <c r="G25" s="3456" t="s">
        <v>3180</v>
      </c>
      <c r="H25" s="3456" t="s">
        <v>3181</v>
      </c>
      <c r="I25" s="3456" t="s">
        <v>3214</v>
      </c>
      <c r="J25" s="3456" t="s">
        <v>3247</v>
      </c>
      <c r="K25" s="3456" t="s">
        <v>3247</v>
      </c>
      <c r="L25" s="3456">
        <v>68154</v>
      </c>
      <c r="M25" s="3456">
        <v>68154</v>
      </c>
      <c r="N25" s="3456">
        <v>3638.47</v>
      </c>
      <c r="O25" s="3456">
        <v>0</v>
      </c>
      <c r="P25" s="3456" t="s">
        <v>3241</v>
      </c>
      <c r="Q25" s="3456" t="s">
        <v>3211</v>
      </c>
    </row>
    <row r="26" spans="1:17">
      <c r="A26" s="3456" t="s">
        <v>3261</v>
      </c>
      <c r="B26" s="3456" t="s">
        <v>3177</v>
      </c>
      <c r="C26" s="3456" t="s">
        <v>3205</v>
      </c>
      <c r="D26" s="3456">
        <v>49963.37</v>
      </c>
      <c r="E26" s="3456">
        <v>124908.43</v>
      </c>
      <c r="F26" s="3456" t="s">
        <v>3245</v>
      </c>
      <c r="G26" s="3456" t="s">
        <v>3180</v>
      </c>
      <c r="H26" s="3456" t="s">
        <v>3246</v>
      </c>
      <c r="I26" s="3456" t="s">
        <v>3214</v>
      </c>
      <c r="J26" s="3456" t="s">
        <v>3247</v>
      </c>
      <c r="K26" s="3456" t="s">
        <v>3247</v>
      </c>
      <c r="L26" s="3456">
        <v>53102</v>
      </c>
      <c r="M26" s="3456">
        <v>53102</v>
      </c>
      <c r="N26" s="3456">
        <v>4251.2700000000004</v>
      </c>
      <c r="O26" s="3456">
        <v>0</v>
      </c>
      <c r="P26" s="3456" t="s">
        <v>3262</v>
      </c>
      <c r="Q26" s="3456" t="s">
        <v>3211</v>
      </c>
    </row>
    <row r="27" spans="1:17">
      <c r="A27" s="3456" t="s">
        <v>3263</v>
      </c>
      <c r="B27" s="3456" t="s">
        <v>3177</v>
      </c>
      <c r="C27" s="3456" t="s">
        <v>3205</v>
      </c>
      <c r="D27" s="3456">
        <v>36384.58</v>
      </c>
      <c r="E27" s="3456">
        <v>127346.03</v>
      </c>
      <c r="F27" s="3456" t="s">
        <v>3264</v>
      </c>
      <c r="G27" s="3456" t="s">
        <v>3180</v>
      </c>
      <c r="H27" s="3456" t="s">
        <v>3181</v>
      </c>
      <c r="I27" s="3456" t="s">
        <v>3214</v>
      </c>
      <c r="J27" s="3456" t="s">
        <v>3247</v>
      </c>
      <c r="K27" s="3456" t="s">
        <v>3247</v>
      </c>
      <c r="L27" s="3456">
        <v>47447</v>
      </c>
      <c r="M27" s="3456">
        <v>47447</v>
      </c>
      <c r="N27" s="3456">
        <v>3725.83</v>
      </c>
      <c r="O27" s="3456">
        <v>0</v>
      </c>
      <c r="P27" s="3456" t="s">
        <v>3265</v>
      </c>
      <c r="Q27" s="3456" t="s">
        <v>3211</v>
      </c>
    </row>
    <row r="28" spans="1:17">
      <c r="A28" s="3456" t="s">
        <v>3266</v>
      </c>
      <c r="B28" s="3456" t="s">
        <v>3177</v>
      </c>
      <c r="C28" s="3456" t="s">
        <v>3178</v>
      </c>
      <c r="D28" s="3456">
        <v>43446.48</v>
      </c>
      <c r="E28" s="3456">
        <v>182475.22</v>
      </c>
      <c r="F28" s="3456" t="s">
        <v>3239</v>
      </c>
      <c r="G28" s="3456" t="s">
        <v>3180</v>
      </c>
      <c r="H28" s="3456" t="s">
        <v>3181</v>
      </c>
      <c r="I28" s="3456">
        <v>0</v>
      </c>
      <c r="J28" s="3456" t="s">
        <v>3267</v>
      </c>
      <c r="K28" s="3456" t="s">
        <v>3267</v>
      </c>
      <c r="L28" s="3456">
        <v>65971</v>
      </c>
      <c r="M28" s="3456">
        <v>65971</v>
      </c>
      <c r="N28" s="3456">
        <v>3615.34</v>
      </c>
      <c r="O28" s="3456">
        <v>0</v>
      </c>
      <c r="P28" s="3456" t="s">
        <v>3241</v>
      </c>
      <c r="Q28" s="3456" t="s">
        <v>3211</v>
      </c>
    </row>
    <row r="29" spans="1:17">
      <c r="A29" s="3456" t="s">
        <v>3268</v>
      </c>
      <c r="B29" s="3456" t="s">
        <v>3177</v>
      </c>
      <c r="C29" s="3456" t="s">
        <v>3178</v>
      </c>
      <c r="D29" s="3456">
        <v>16105.01</v>
      </c>
      <c r="E29" s="3456">
        <v>67641.039999999994</v>
      </c>
      <c r="F29" s="3456" t="s">
        <v>3239</v>
      </c>
      <c r="G29" s="3456" t="s">
        <v>3180</v>
      </c>
      <c r="H29" s="3456" t="s">
        <v>3181</v>
      </c>
      <c r="I29" s="3456">
        <v>0</v>
      </c>
      <c r="J29" s="3456" t="s">
        <v>3267</v>
      </c>
      <c r="K29" s="3456" t="s">
        <v>3267</v>
      </c>
      <c r="L29" s="3456">
        <v>24406</v>
      </c>
      <c r="M29" s="3456">
        <v>24406</v>
      </c>
      <c r="N29" s="3456">
        <v>3608.16</v>
      </c>
      <c r="O29" s="3456">
        <v>0</v>
      </c>
      <c r="P29" s="3456" t="s">
        <v>3241</v>
      </c>
      <c r="Q29" s="3456" t="s">
        <v>3211</v>
      </c>
    </row>
    <row r="30" spans="1:17">
      <c r="A30" s="3456" t="s">
        <v>3269</v>
      </c>
      <c r="B30" s="3456" t="s">
        <v>3177</v>
      </c>
      <c r="C30" s="3456" t="s">
        <v>3178</v>
      </c>
      <c r="D30" s="3456">
        <v>21135.67</v>
      </c>
      <c r="E30" s="3456">
        <v>88769.81</v>
      </c>
      <c r="F30" s="3456" t="s">
        <v>3239</v>
      </c>
      <c r="G30" s="3456" t="s">
        <v>3180</v>
      </c>
      <c r="H30" s="3456" t="s">
        <v>3181</v>
      </c>
      <c r="I30" s="3456">
        <v>0</v>
      </c>
      <c r="J30" s="3456" t="s">
        <v>3267</v>
      </c>
      <c r="K30" s="3456" t="s">
        <v>3267</v>
      </c>
      <c r="L30" s="3456">
        <v>32033</v>
      </c>
      <c r="M30" s="3456">
        <v>32033</v>
      </c>
      <c r="N30" s="3456">
        <v>3608.55</v>
      </c>
      <c r="O30" s="3456">
        <v>0</v>
      </c>
      <c r="P30" s="3456" t="s">
        <v>3241</v>
      </c>
      <c r="Q30" s="3456" t="s">
        <v>3211</v>
      </c>
    </row>
    <row r="31" spans="1:17" s="3461" customFormat="1">
      <c r="A31" s="3828" t="s">
        <v>3478</v>
      </c>
      <c r="B31" s="3460" t="s">
        <v>3177</v>
      </c>
      <c r="C31" s="3460" t="s">
        <v>3178</v>
      </c>
      <c r="D31" s="3460">
        <v>33558.800000000003</v>
      </c>
      <c r="E31" s="3460">
        <v>120811.68</v>
      </c>
      <c r="F31" s="3460" t="s">
        <v>3218</v>
      </c>
      <c r="G31" s="3460" t="s">
        <v>3180</v>
      </c>
      <c r="H31" s="3460" t="s">
        <v>3246</v>
      </c>
      <c r="I31" s="3460">
        <v>0</v>
      </c>
      <c r="J31" s="3460" t="s">
        <v>3270</v>
      </c>
      <c r="K31" s="3460" t="s">
        <v>3270</v>
      </c>
      <c r="L31" s="3460">
        <v>45644</v>
      </c>
      <c r="M31" s="3460">
        <v>45644</v>
      </c>
      <c r="N31" s="3460">
        <v>3778.11</v>
      </c>
      <c r="O31" s="3460">
        <v>0</v>
      </c>
      <c r="P31" s="3460" t="s">
        <v>3219</v>
      </c>
      <c r="Q31" s="3460" t="s">
        <v>3211</v>
      </c>
    </row>
    <row r="32" spans="1:17">
      <c r="A32" s="3456" t="s">
        <v>3271</v>
      </c>
      <c r="B32" s="3456" t="s">
        <v>3177</v>
      </c>
      <c r="C32" s="3456" t="s">
        <v>3178</v>
      </c>
      <c r="D32" s="3456">
        <v>78098</v>
      </c>
      <c r="E32" s="3456">
        <v>429539</v>
      </c>
      <c r="F32" s="3456" t="s">
        <v>3272</v>
      </c>
      <c r="G32" s="3456" t="s">
        <v>3180</v>
      </c>
      <c r="H32" s="3456" t="s">
        <v>3273</v>
      </c>
      <c r="I32" s="3456">
        <v>0</v>
      </c>
      <c r="J32" s="3456" t="s">
        <v>3274</v>
      </c>
      <c r="K32" s="3456" t="s">
        <v>3274</v>
      </c>
      <c r="L32" s="3456">
        <v>134606</v>
      </c>
      <c r="M32" s="3456">
        <v>134606</v>
      </c>
      <c r="N32" s="3456">
        <v>3133.73</v>
      </c>
      <c r="O32" s="3456">
        <v>0</v>
      </c>
      <c r="P32" s="3456" t="s">
        <v>3275</v>
      </c>
      <c r="Q32" s="3456" t="s">
        <v>3226</v>
      </c>
    </row>
    <row r="33" spans="1:17">
      <c r="A33" s="3456" t="s">
        <v>3276</v>
      </c>
      <c r="B33" s="3456" t="s">
        <v>3177</v>
      </c>
      <c r="C33" s="3456" t="s">
        <v>3178</v>
      </c>
      <c r="D33" s="3456">
        <v>12632.79</v>
      </c>
      <c r="E33" s="3456">
        <v>106115.44</v>
      </c>
      <c r="F33" s="3456" t="s">
        <v>3277</v>
      </c>
      <c r="G33" s="3456" t="s">
        <v>3180</v>
      </c>
      <c r="H33" s="3456" t="s">
        <v>3278</v>
      </c>
      <c r="I33" s="3456">
        <v>0</v>
      </c>
      <c r="J33" s="3456" t="s">
        <v>3274</v>
      </c>
      <c r="K33" s="3456" t="s">
        <v>3274</v>
      </c>
      <c r="L33" s="3456">
        <v>30758</v>
      </c>
      <c r="M33" s="3456">
        <v>30758</v>
      </c>
      <c r="N33" s="3456">
        <v>2898.54</v>
      </c>
      <c r="O33" s="3456">
        <v>0</v>
      </c>
      <c r="P33" s="3456" t="s">
        <v>3279</v>
      </c>
      <c r="Q33" s="3456" t="s">
        <v>3226</v>
      </c>
    </row>
    <row r="34" spans="1:17">
      <c r="A34" s="3456" t="s">
        <v>3280</v>
      </c>
      <c r="B34" s="3456" t="s">
        <v>3177</v>
      </c>
      <c r="C34" s="3456" t="s">
        <v>3178</v>
      </c>
      <c r="D34" s="3456">
        <v>66222.91</v>
      </c>
      <c r="E34" s="3456">
        <v>231780.19</v>
      </c>
      <c r="F34" s="3456" t="s">
        <v>3264</v>
      </c>
      <c r="G34" s="3456" t="s">
        <v>3180</v>
      </c>
      <c r="H34" s="3456" t="s">
        <v>3181</v>
      </c>
      <c r="I34" s="3456">
        <v>0</v>
      </c>
      <c r="J34" s="3456" t="s">
        <v>3281</v>
      </c>
      <c r="K34" s="3456" t="s">
        <v>3281</v>
      </c>
      <c r="L34" s="3456">
        <v>74683</v>
      </c>
      <c r="M34" s="3456">
        <v>74683</v>
      </c>
      <c r="N34" s="3456">
        <v>3222.15</v>
      </c>
      <c r="O34" s="3456">
        <v>0</v>
      </c>
      <c r="P34" s="3456" t="s">
        <v>3282</v>
      </c>
      <c r="Q34" s="3456" t="s">
        <v>3211</v>
      </c>
    </row>
    <row r="35" spans="1:17">
      <c r="A35" s="3456" t="s">
        <v>3283</v>
      </c>
      <c r="B35" s="3456" t="s">
        <v>3177</v>
      </c>
      <c r="C35" s="3456" t="s">
        <v>3178</v>
      </c>
      <c r="D35" s="3456">
        <v>30119.02</v>
      </c>
      <c r="E35" s="3456">
        <v>109934.42</v>
      </c>
      <c r="F35" s="3456" t="s">
        <v>3206</v>
      </c>
      <c r="G35" s="3456" t="s">
        <v>3180</v>
      </c>
      <c r="H35" s="3456" t="s">
        <v>3181</v>
      </c>
      <c r="I35" s="3456">
        <v>0</v>
      </c>
      <c r="J35" s="3456" t="s">
        <v>3281</v>
      </c>
      <c r="K35" s="3456" t="s">
        <v>3281</v>
      </c>
      <c r="L35" s="3456">
        <v>41158</v>
      </c>
      <c r="M35" s="3456">
        <v>41158</v>
      </c>
      <c r="N35" s="3456">
        <v>3743.87</v>
      </c>
      <c r="O35" s="3456">
        <v>0</v>
      </c>
      <c r="P35" s="3456" t="s">
        <v>3253</v>
      </c>
      <c r="Q35" s="3456" t="s">
        <v>3211</v>
      </c>
    </row>
    <row r="36" spans="1:17">
      <c r="A36" s="3456" t="s">
        <v>3284</v>
      </c>
      <c r="B36" s="3456" t="s">
        <v>3177</v>
      </c>
      <c r="C36" s="3456" t="s">
        <v>3178</v>
      </c>
      <c r="D36" s="3456">
        <v>57012.9</v>
      </c>
      <c r="E36" s="3456">
        <v>114025.8</v>
      </c>
      <c r="F36" s="3456" t="s">
        <v>3285</v>
      </c>
      <c r="G36" s="3456" t="s">
        <v>3180</v>
      </c>
      <c r="H36" s="3456" t="s">
        <v>3246</v>
      </c>
      <c r="I36" s="3456">
        <v>0</v>
      </c>
      <c r="J36" s="3456" t="s">
        <v>3286</v>
      </c>
      <c r="K36" s="3456" t="s">
        <v>3286</v>
      </c>
      <c r="L36" s="3456">
        <v>56726</v>
      </c>
      <c r="M36" s="3456">
        <v>79326</v>
      </c>
      <c r="N36" s="3456">
        <v>6956.85</v>
      </c>
      <c r="O36" s="3456">
        <v>39.840000000000003</v>
      </c>
      <c r="P36" s="3456" t="s">
        <v>3287</v>
      </c>
      <c r="Q36" s="3456" t="s">
        <v>3220</v>
      </c>
    </row>
    <row r="37" spans="1:17">
      <c r="A37" s="3456" t="s">
        <v>3288</v>
      </c>
      <c r="B37" s="3456" t="s">
        <v>3177</v>
      </c>
      <c r="C37" s="3456" t="s">
        <v>3178</v>
      </c>
      <c r="D37" s="3456">
        <v>55421.84</v>
      </c>
      <c r="E37" s="3456">
        <v>221687.36</v>
      </c>
      <c r="F37" s="3456" t="s">
        <v>3289</v>
      </c>
      <c r="G37" s="3456" t="s">
        <v>3180</v>
      </c>
      <c r="H37" s="3456" t="s">
        <v>3246</v>
      </c>
      <c r="I37" s="3456">
        <v>0</v>
      </c>
      <c r="J37" s="3456" t="s">
        <v>3290</v>
      </c>
      <c r="K37" s="3456" t="s">
        <v>3290</v>
      </c>
      <c r="L37" s="3456">
        <v>73993</v>
      </c>
      <c r="M37" s="3456">
        <v>73993</v>
      </c>
      <c r="N37" s="3456">
        <v>3337.72</v>
      </c>
      <c r="O37" s="3456">
        <v>0</v>
      </c>
      <c r="P37" s="3456" t="s">
        <v>3291</v>
      </c>
      <c r="Q37" s="3456" t="s">
        <v>3220</v>
      </c>
    </row>
    <row r="38" spans="1:17">
      <c r="A38" s="3456" t="s">
        <v>3292</v>
      </c>
      <c r="B38" s="3456" t="s">
        <v>3177</v>
      </c>
      <c r="C38" s="3456" t="s">
        <v>3178</v>
      </c>
      <c r="D38" s="3456">
        <v>77037.759999999995</v>
      </c>
      <c r="E38" s="3456">
        <v>192594.4</v>
      </c>
      <c r="F38" s="3456" t="s">
        <v>3245</v>
      </c>
      <c r="G38" s="3456" t="s">
        <v>3180</v>
      </c>
      <c r="H38" s="3456" t="s">
        <v>3256</v>
      </c>
      <c r="I38" s="3456">
        <v>0</v>
      </c>
      <c r="J38" s="3456" t="s">
        <v>3293</v>
      </c>
      <c r="K38" s="3456" t="s">
        <v>3293</v>
      </c>
      <c r="L38" s="3456">
        <v>82858</v>
      </c>
      <c r="M38" s="3456">
        <v>82858</v>
      </c>
      <c r="N38" s="3456">
        <v>4302.2</v>
      </c>
      <c r="O38" s="3456">
        <v>0</v>
      </c>
      <c r="P38" s="3456" t="s">
        <v>3294</v>
      </c>
      <c r="Q38" s="3456" t="s">
        <v>3211</v>
      </c>
    </row>
    <row r="39" spans="1:17">
      <c r="A39" s="3456" t="s">
        <v>3295</v>
      </c>
      <c r="B39" s="3456" t="s">
        <v>3177</v>
      </c>
      <c r="C39" s="3456" t="s">
        <v>3178</v>
      </c>
      <c r="D39" s="3456">
        <v>44259.71</v>
      </c>
      <c r="E39" s="3456">
        <v>110649.28</v>
      </c>
      <c r="F39" s="3456" t="s">
        <v>3245</v>
      </c>
      <c r="G39" s="3456" t="s">
        <v>3180</v>
      </c>
      <c r="H39" s="3456" t="s">
        <v>3246</v>
      </c>
      <c r="I39" s="3456">
        <v>0</v>
      </c>
      <c r="J39" s="3456" t="s">
        <v>3293</v>
      </c>
      <c r="K39" s="3456" t="s">
        <v>3293</v>
      </c>
      <c r="L39" s="3456">
        <v>45906</v>
      </c>
      <c r="M39" s="3456">
        <v>45906</v>
      </c>
      <c r="N39" s="3456">
        <v>4148.78</v>
      </c>
      <c r="O39" s="3456">
        <v>0</v>
      </c>
      <c r="P39" s="3456" t="s">
        <v>3296</v>
      </c>
      <c r="Q39" s="3456" t="s">
        <v>3211</v>
      </c>
    </row>
    <row r="40" spans="1:17">
      <c r="A40" s="3456" t="s">
        <v>3297</v>
      </c>
      <c r="B40" s="3456" t="s">
        <v>3177</v>
      </c>
      <c r="C40" s="3456" t="s">
        <v>3178</v>
      </c>
      <c r="D40" s="3456">
        <v>26428.55</v>
      </c>
      <c r="E40" s="3456">
        <v>79285.649999999994</v>
      </c>
      <c r="F40" s="3456" t="s">
        <v>3298</v>
      </c>
      <c r="G40" s="3456" t="s">
        <v>3180</v>
      </c>
      <c r="H40" s="3456" t="s">
        <v>3246</v>
      </c>
      <c r="I40" s="3456">
        <v>0</v>
      </c>
      <c r="J40" s="3456" t="s">
        <v>3293</v>
      </c>
      <c r="K40" s="3456" t="s">
        <v>3293</v>
      </c>
      <c r="L40" s="3456">
        <v>28706</v>
      </c>
      <c r="M40" s="3456">
        <v>28706</v>
      </c>
      <c r="N40" s="3456">
        <v>3620.58</v>
      </c>
      <c r="O40" s="3456">
        <v>0</v>
      </c>
      <c r="P40" s="3456" t="s">
        <v>3299</v>
      </c>
      <c r="Q40" s="3456" t="s">
        <v>3211</v>
      </c>
    </row>
    <row r="41" spans="1:17">
      <c r="A41" s="3456" t="s">
        <v>3300</v>
      </c>
      <c r="B41" s="3456" t="s">
        <v>3177</v>
      </c>
      <c r="C41" s="3456" t="s">
        <v>3178</v>
      </c>
      <c r="D41" s="3456">
        <v>108392.92</v>
      </c>
      <c r="E41" s="3456">
        <v>346857.34</v>
      </c>
      <c r="F41" s="3456" t="s">
        <v>3301</v>
      </c>
      <c r="G41" s="3456" t="s">
        <v>3180</v>
      </c>
      <c r="H41" s="3456" t="s">
        <v>3256</v>
      </c>
      <c r="I41" s="3456">
        <v>0</v>
      </c>
      <c r="J41" s="3456" t="s">
        <v>3302</v>
      </c>
      <c r="K41" s="3456" t="s">
        <v>3302</v>
      </c>
      <c r="L41" s="3456">
        <v>120179</v>
      </c>
      <c r="M41" s="3456">
        <v>120179</v>
      </c>
      <c r="N41" s="3456">
        <v>3464.8</v>
      </c>
      <c r="O41" s="3456">
        <v>0</v>
      </c>
      <c r="P41" s="3456" t="s">
        <v>3232</v>
      </c>
      <c r="Q41" s="3456" t="s">
        <v>3220</v>
      </c>
    </row>
    <row r="42" spans="1:17" s="3463" customFormat="1">
      <c r="A42" s="3462" t="s">
        <v>3303</v>
      </c>
      <c r="B42" s="3462" t="s">
        <v>3177</v>
      </c>
      <c r="C42" s="3462" t="s">
        <v>3178</v>
      </c>
      <c r="D42" s="3462">
        <v>41156.9</v>
      </c>
      <c r="E42" s="3462">
        <v>164627.6</v>
      </c>
      <c r="F42" s="3462" t="s">
        <v>3304</v>
      </c>
      <c r="G42" s="3462" t="s">
        <v>3180</v>
      </c>
      <c r="H42" s="3462" t="s">
        <v>3256</v>
      </c>
      <c r="I42" s="3462">
        <v>0</v>
      </c>
      <c r="J42" s="3462" t="s">
        <v>3302</v>
      </c>
      <c r="K42" s="3462" t="s">
        <v>3302</v>
      </c>
      <c r="L42" s="3462">
        <v>65875</v>
      </c>
      <c r="M42" s="3462">
        <v>65875</v>
      </c>
      <c r="N42" s="3462">
        <v>4001.46</v>
      </c>
      <c r="O42" s="3462">
        <v>0</v>
      </c>
      <c r="P42" s="3462" t="s">
        <v>3219</v>
      </c>
      <c r="Q42" s="3462" t="s">
        <v>3211</v>
      </c>
    </row>
    <row r="43" spans="1:17">
      <c r="A43" s="3456" t="s">
        <v>3305</v>
      </c>
      <c r="B43" s="3456" t="s">
        <v>3177</v>
      </c>
      <c r="C43" s="3456" t="s">
        <v>3178</v>
      </c>
      <c r="D43" s="3456">
        <v>48677.06</v>
      </c>
      <c r="E43" s="3456">
        <v>97354.12</v>
      </c>
      <c r="F43" s="3456" t="s">
        <v>3306</v>
      </c>
      <c r="G43" s="3456" t="s">
        <v>3180</v>
      </c>
      <c r="H43" s="3456" t="s">
        <v>3246</v>
      </c>
      <c r="I43" s="3456">
        <v>0</v>
      </c>
      <c r="J43" s="3456" t="s">
        <v>3302</v>
      </c>
      <c r="K43" s="3456" t="s">
        <v>3302</v>
      </c>
      <c r="L43" s="3456">
        <v>48322</v>
      </c>
      <c r="M43" s="3456">
        <v>59522</v>
      </c>
      <c r="N43" s="3456">
        <v>6113.97</v>
      </c>
      <c r="O43" s="3456">
        <v>23.18</v>
      </c>
      <c r="P43" s="3456" t="s">
        <v>3307</v>
      </c>
      <c r="Q43" s="3456" t="s">
        <v>3211</v>
      </c>
    </row>
    <row r="44" spans="1:17">
      <c r="A44" s="3456" t="s">
        <v>3308</v>
      </c>
      <c r="B44" s="3456" t="s">
        <v>3177</v>
      </c>
      <c r="C44" s="3456" t="s">
        <v>3178</v>
      </c>
      <c r="D44" s="3456">
        <v>33407.620000000003</v>
      </c>
      <c r="E44" s="3456">
        <v>116925</v>
      </c>
      <c r="F44" s="3456" t="s">
        <v>3309</v>
      </c>
      <c r="G44" s="3456" t="s">
        <v>3180</v>
      </c>
      <c r="H44" s="3456" t="s">
        <v>3181</v>
      </c>
      <c r="I44" s="3456">
        <v>0</v>
      </c>
      <c r="J44" s="3456" t="s">
        <v>3310</v>
      </c>
      <c r="K44" s="3456" t="s">
        <v>3310</v>
      </c>
      <c r="L44" s="3456">
        <v>40618</v>
      </c>
      <c r="M44" s="3456">
        <v>40618</v>
      </c>
      <c r="N44" s="3456">
        <v>3473.85</v>
      </c>
      <c r="O44" s="3456">
        <v>0</v>
      </c>
      <c r="P44" s="3456" t="s">
        <v>3311</v>
      </c>
      <c r="Q44" s="3456" t="s">
        <v>3211</v>
      </c>
    </row>
    <row r="45" spans="1:17">
      <c r="A45" s="3456" t="s">
        <v>3312</v>
      </c>
      <c r="B45" s="3456" t="s">
        <v>3177</v>
      </c>
      <c r="C45" s="3456" t="s">
        <v>3178</v>
      </c>
      <c r="D45" s="3456">
        <v>45512.81</v>
      </c>
      <c r="E45" s="3456">
        <v>77371.78</v>
      </c>
      <c r="F45" s="3456" t="s">
        <v>3313</v>
      </c>
      <c r="G45" s="3456" t="s">
        <v>3180</v>
      </c>
      <c r="H45" s="3456" t="s">
        <v>3246</v>
      </c>
      <c r="I45" s="3456">
        <v>0</v>
      </c>
      <c r="J45" s="3456" t="s">
        <v>3314</v>
      </c>
      <c r="K45" s="3456" t="s">
        <v>3314</v>
      </c>
      <c r="L45" s="3456">
        <v>44514</v>
      </c>
      <c r="M45" s="3456">
        <v>44514</v>
      </c>
      <c r="N45" s="3456">
        <v>5753.26</v>
      </c>
      <c r="O45" s="3456">
        <v>0</v>
      </c>
      <c r="P45" s="3456" t="s">
        <v>3315</v>
      </c>
      <c r="Q45" s="3456" t="s">
        <v>3211</v>
      </c>
    </row>
    <row r="46" spans="1:17">
      <c r="A46" s="3456" t="s">
        <v>3316</v>
      </c>
      <c r="B46" s="3456" t="s">
        <v>3177</v>
      </c>
      <c r="C46" s="3456" t="s">
        <v>3178</v>
      </c>
      <c r="D46" s="3456">
        <v>86324.61</v>
      </c>
      <c r="E46" s="3456">
        <v>310768.59999999998</v>
      </c>
      <c r="F46" s="3456" t="s">
        <v>3250</v>
      </c>
      <c r="G46" s="3456" t="s">
        <v>3180</v>
      </c>
      <c r="H46" s="3456" t="s">
        <v>3246</v>
      </c>
      <c r="I46" s="3456">
        <v>0</v>
      </c>
      <c r="J46" s="3456" t="s">
        <v>3314</v>
      </c>
      <c r="K46" s="3456" t="s">
        <v>3314</v>
      </c>
      <c r="L46" s="3456">
        <v>95435</v>
      </c>
      <c r="M46" s="3456">
        <v>95435</v>
      </c>
      <c r="N46" s="3456">
        <v>3070.93</v>
      </c>
      <c r="O46" s="3456">
        <v>0</v>
      </c>
      <c r="P46" s="3456" t="s">
        <v>3317</v>
      </c>
      <c r="Q46" s="3456" t="s">
        <v>3220</v>
      </c>
    </row>
    <row r="47" spans="1:17">
      <c r="A47" s="3456" t="s">
        <v>3318</v>
      </c>
      <c r="B47" s="3456" t="s">
        <v>3177</v>
      </c>
      <c r="C47" s="3456" t="s">
        <v>3178</v>
      </c>
      <c r="D47" s="3456">
        <v>95925.87</v>
      </c>
      <c r="E47" s="3456">
        <v>345333.13</v>
      </c>
      <c r="F47" s="3456" t="s">
        <v>3250</v>
      </c>
      <c r="G47" s="3456" t="s">
        <v>3180</v>
      </c>
      <c r="H47" s="3456" t="s">
        <v>3246</v>
      </c>
      <c r="I47" s="3456">
        <v>0</v>
      </c>
      <c r="J47" s="3456" t="s">
        <v>3314</v>
      </c>
      <c r="K47" s="3456" t="s">
        <v>3314</v>
      </c>
      <c r="L47" s="3456">
        <v>106256</v>
      </c>
      <c r="M47" s="3456">
        <v>106256</v>
      </c>
      <c r="N47" s="3456">
        <v>3076.91</v>
      </c>
      <c r="O47" s="3456">
        <v>0</v>
      </c>
      <c r="P47" s="3456" t="s">
        <v>3319</v>
      </c>
      <c r="Q47" s="3456" t="s">
        <v>3211</v>
      </c>
    </row>
    <row r="48" spans="1:17">
      <c r="A48" s="3456" t="s">
        <v>3320</v>
      </c>
      <c r="B48" s="3456" t="s">
        <v>3177</v>
      </c>
      <c r="C48" s="3456" t="s">
        <v>3178</v>
      </c>
      <c r="D48" s="3456">
        <v>73618.009999999995</v>
      </c>
      <c r="E48" s="3456">
        <v>294472.03999999998</v>
      </c>
      <c r="F48" s="3456" t="s">
        <v>3304</v>
      </c>
      <c r="G48" s="3456" t="s">
        <v>3180</v>
      </c>
      <c r="H48" s="3456" t="s">
        <v>3246</v>
      </c>
      <c r="I48" s="3456">
        <v>0</v>
      </c>
      <c r="J48" s="3456" t="s">
        <v>3314</v>
      </c>
      <c r="K48" s="3456" t="s">
        <v>3314</v>
      </c>
      <c r="L48" s="3456">
        <v>95213</v>
      </c>
      <c r="M48" s="3456">
        <v>95213</v>
      </c>
      <c r="N48" s="3456">
        <v>3233.35</v>
      </c>
      <c r="O48" s="3456">
        <v>0</v>
      </c>
      <c r="P48" s="3456" t="s">
        <v>3259</v>
      </c>
      <c r="Q48" s="3456" t="s">
        <v>3211</v>
      </c>
    </row>
    <row r="49" spans="1:17">
      <c r="A49" s="3456" t="s">
        <v>3321</v>
      </c>
      <c r="B49" s="3456" t="s">
        <v>3177</v>
      </c>
      <c r="C49" s="3456" t="s">
        <v>3178</v>
      </c>
      <c r="D49" s="3456">
        <v>26158.28</v>
      </c>
      <c r="E49" s="3456">
        <v>52316.56</v>
      </c>
      <c r="F49" s="3456" t="s">
        <v>3285</v>
      </c>
      <c r="G49" s="3456" t="s">
        <v>3180</v>
      </c>
      <c r="H49" s="3456" t="s">
        <v>3181</v>
      </c>
      <c r="I49" s="3456">
        <v>0</v>
      </c>
      <c r="J49" s="3456" t="s">
        <v>3322</v>
      </c>
      <c r="K49" s="3456" t="s">
        <v>3322</v>
      </c>
      <c r="L49" s="3456">
        <v>27924</v>
      </c>
      <c r="M49" s="3456">
        <v>27924</v>
      </c>
      <c r="N49" s="3456">
        <v>5337.51</v>
      </c>
      <c r="O49" s="3456">
        <v>0</v>
      </c>
      <c r="P49" s="3456" t="s">
        <v>3323</v>
      </c>
      <c r="Q49" s="3456" t="s">
        <v>3226</v>
      </c>
    </row>
    <row r="50" spans="1:17">
      <c r="A50" s="3456" t="s">
        <v>3324</v>
      </c>
      <c r="B50" s="3456" t="s">
        <v>3177</v>
      </c>
      <c r="C50" s="3456" t="s">
        <v>3178</v>
      </c>
      <c r="D50" s="3456">
        <v>55924.23</v>
      </c>
      <c r="E50" s="3456">
        <v>195734.81</v>
      </c>
      <c r="F50" s="3456" t="s">
        <v>3264</v>
      </c>
      <c r="G50" s="3456" t="s">
        <v>3180</v>
      </c>
      <c r="H50" s="3456" t="s">
        <v>3181</v>
      </c>
      <c r="I50" s="3456">
        <v>0</v>
      </c>
      <c r="J50" s="3456" t="s">
        <v>3325</v>
      </c>
      <c r="K50" s="3456" t="s">
        <v>3325</v>
      </c>
      <c r="L50" s="3456">
        <v>72168</v>
      </c>
      <c r="M50" s="3456">
        <v>72168</v>
      </c>
      <c r="N50" s="3456">
        <v>3687.03</v>
      </c>
      <c r="O50" s="3456">
        <v>0</v>
      </c>
      <c r="P50" s="3456" t="s">
        <v>3265</v>
      </c>
      <c r="Q50" s="3456" t="s">
        <v>3211</v>
      </c>
    </row>
    <row r="51" spans="1:17">
      <c r="A51" s="3456" t="s">
        <v>3326</v>
      </c>
      <c r="B51" s="3456" t="s">
        <v>3177</v>
      </c>
      <c r="C51" s="3456" t="s">
        <v>3178</v>
      </c>
      <c r="D51" s="3456">
        <v>50365.69</v>
      </c>
      <c r="E51" s="3456">
        <v>176278</v>
      </c>
      <c r="F51" s="3456" t="s">
        <v>3264</v>
      </c>
      <c r="G51" s="3456" t="s">
        <v>3180</v>
      </c>
      <c r="H51" s="3456" t="s">
        <v>3181</v>
      </c>
      <c r="I51" s="3456">
        <v>0</v>
      </c>
      <c r="J51" s="3456" t="s">
        <v>3327</v>
      </c>
      <c r="K51" s="3456" t="s">
        <v>3327</v>
      </c>
      <c r="L51" s="3456">
        <v>64621</v>
      </c>
      <c r="M51" s="3456">
        <v>64621</v>
      </c>
      <c r="N51" s="3456">
        <v>3665.86</v>
      </c>
      <c r="O51" s="3456">
        <v>0</v>
      </c>
      <c r="P51" s="3456" t="s">
        <v>3265</v>
      </c>
      <c r="Q51" s="3456" t="s">
        <v>3211</v>
      </c>
    </row>
    <row r="52" spans="1:17">
      <c r="A52" s="3458" t="s">
        <v>3328</v>
      </c>
      <c r="B52" s="3458" t="s">
        <v>3177</v>
      </c>
      <c r="C52" s="3458" t="s">
        <v>3178</v>
      </c>
      <c r="D52" s="3458">
        <v>62169.24</v>
      </c>
      <c r="E52" s="3458">
        <v>124338.48</v>
      </c>
      <c r="F52" s="3458" t="s">
        <v>3285</v>
      </c>
      <c r="G52" s="3458" t="s">
        <v>3180</v>
      </c>
      <c r="H52" s="3458" t="s">
        <v>3246</v>
      </c>
      <c r="I52" s="3458">
        <v>0</v>
      </c>
      <c r="J52" s="3458" t="s">
        <v>3329</v>
      </c>
      <c r="K52" s="3458" t="s">
        <v>3329</v>
      </c>
      <c r="L52" s="3458">
        <v>66062</v>
      </c>
      <c r="M52" s="3458">
        <v>66062</v>
      </c>
      <c r="N52" s="3458">
        <v>5313.08</v>
      </c>
      <c r="O52" s="3458">
        <v>0</v>
      </c>
      <c r="P52" s="3458" t="s">
        <v>3330</v>
      </c>
      <c r="Q52" s="3458" t="s">
        <v>3226</v>
      </c>
    </row>
    <row r="53" spans="1:17">
      <c r="A53" s="3458" t="s">
        <v>3331</v>
      </c>
      <c r="B53" s="3458" t="s">
        <v>3177</v>
      </c>
      <c r="C53" s="3458" t="s">
        <v>3178</v>
      </c>
      <c r="D53" s="3458">
        <v>30733.94</v>
      </c>
      <c r="E53" s="3458">
        <v>122935.76</v>
      </c>
      <c r="F53" s="3458" t="s">
        <v>3332</v>
      </c>
      <c r="G53" s="3458" t="s">
        <v>3180</v>
      </c>
      <c r="H53" s="3458" t="s">
        <v>3246</v>
      </c>
      <c r="I53" s="3458">
        <v>0</v>
      </c>
      <c r="J53" s="3458" t="s">
        <v>3329</v>
      </c>
      <c r="K53" s="3458" t="s">
        <v>3329</v>
      </c>
      <c r="L53" s="3458">
        <v>42939</v>
      </c>
      <c r="M53" s="3458">
        <v>42939</v>
      </c>
      <c r="N53" s="3458">
        <v>3492.8</v>
      </c>
      <c r="O53" s="3458">
        <v>0</v>
      </c>
      <c r="P53" s="3458" t="s">
        <v>3243</v>
      </c>
      <c r="Q53" s="3458" t="s">
        <v>3226</v>
      </c>
    </row>
    <row r="54" spans="1:17">
      <c r="A54" s="3458" t="s">
        <v>3333</v>
      </c>
      <c r="B54" s="3458" t="s">
        <v>3177</v>
      </c>
      <c r="C54" s="3458" t="s">
        <v>3178</v>
      </c>
      <c r="D54" s="3458">
        <v>88139.75</v>
      </c>
      <c r="E54" s="3458">
        <v>176279.5</v>
      </c>
      <c r="F54" s="3458" t="s">
        <v>3334</v>
      </c>
      <c r="G54" s="3458" t="s">
        <v>3180</v>
      </c>
      <c r="H54" s="3458" t="s">
        <v>3246</v>
      </c>
      <c r="I54" s="3458">
        <v>0</v>
      </c>
      <c r="J54" s="3458" t="s">
        <v>3335</v>
      </c>
      <c r="K54" s="3458" t="s">
        <v>3335</v>
      </c>
      <c r="L54" s="3458">
        <v>85537</v>
      </c>
      <c r="M54" s="3458">
        <v>92737</v>
      </c>
      <c r="N54" s="3458">
        <v>5260.79</v>
      </c>
      <c r="O54" s="3458">
        <v>8.42</v>
      </c>
      <c r="P54" s="3458" t="s">
        <v>3336</v>
      </c>
      <c r="Q54" s="3458" t="s">
        <v>3211</v>
      </c>
    </row>
    <row r="55" spans="1:17">
      <c r="A55" s="3458" t="s">
        <v>3337</v>
      </c>
      <c r="B55" s="3458" t="s">
        <v>3177</v>
      </c>
      <c r="C55" s="3458" t="s">
        <v>3178</v>
      </c>
      <c r="D55" s="3458">
        <v>68307.710000000006</v>
      </c>
      <c r="E55" s="3458">
        <v>170769.28</v>
      </c>
      <c r="F55" s="3458" t="s">
        <v>3245</v>
      </c>
      <c r="G55" s="3458" t="s">
        <v>3180</v>
      </c>
      <c r="H55" s="3458" t="s">
        <v>3338</v>
      </c>
      <c r="I55" s="3458">
        <v>0</v>
      </c>
      <c r="J55" s="3458" t="s">
        <v>3339</v>
      </c>
      <c r="K55" s="3458" t="s">
        <v>3339</v>
      </c>
      <c r="L55" s="3458">
        <v>69564</v>
      </c>
      <c r="M55" s="3458">
        <v>69564</v>
      </c>
      <c r="N55" s="3458">
        <v>4073.57</v>
      </c>
      <c r="O55" s="3458">
        <v>0</v>
      </c>
      <c r="P55" s="3458" t="s">
        <v>3340</v>
      </c>
      <c r="Q55" s="3458" t="s">
        <v>3220</v>
      </c>
    </row>
    <row r="56" spans="1:17">
      <c r="A56" s="3458" t="s">
        <v>3341</v>
      </c>
      <c r="B56" s="3458" t="s">
        <v>3177</v>
      </c>
      <c r="C56" s="3458" t="s">
        <v>3178</v>
      </c>
      <c r="D56" s="3458">
        <v>88813.6</v>
      </c>
      <c r="E56" s="3458">
        <v>355254.4</v>
      </c>
      <c r="F56" s="3458" t="s">
        <v>3304</v>
      </c>
      <c r="G56" s="3458" t="s">
        <v>3180</v>
      </c>
      <c r="H56" s="3458" t="s">
        <v>3342</v>
      </c>
      <c r="I56" s="3458">
        <v>0</v>
      </c>
      <c r="J56" s="3458" t="s">
        <v>3339</v>
      </c>
      <c r="K56" s="3458" t="s">
        <v>3339</v>
      </c>
      <c r="L56" s="3458">
        <v>127681</v>
      </c>
      <c r="M56" s="3458">
        <v>127681</v>
      </c>
      <c r="N56" s="3458">
        <v>3594.07</v>
      </c>
      <c r="O56" s="3458">
        <v>0</v>
      </c>
      <c r="P56" s="3458" t="s">
        <v>3343</v>
      </c>
      <c r="Q56" s="3458" t="s">
        <v>3226</v>
      </c>
    </row>
    <row r="57" spans="1:17">
      <c r="A57" s="3458" t="s">
        <v>3344</v>
      </c>
      <c r="B57" s="3458" t="s">
        <v>3177</v>
      </c>
      <c r="C57" s="3458" t="s">
        <v>3178</v>
      </c>
      <c r="D57" s="3458">
        <v>45210.03</v>
      </c>
      <c r="E57" s="3458">
        <v>135630.09</v>
      </c>
      <c r="F57" s="3458" t="s">
        <v>3345</v>
      </c>
      <c r="G57" s="3458" t="s">
        <v>3180</v>
      </c>
      <c r="H57" s="3458" t="s">
        <v>3346</v>
      </c>
      <c r="I57" s="3458">
        <v>0</v>
      </c>
      <c r="J57" s="3458" t="s">
        <v>3347</v>
      </c>
      <c r="K57" s="3458" t="s">
        <v>3347</v>
      </c>
      <c r="L57" s="3458">
        <v>56657</v>
      </c>
      <c r="M57" s="3458">
        <v>56657</v>
      </c>
      <c r="N57" s="3458">
        <v>4177.32</v>
      </c>
      <c r="O57" s="3458">
        <v>0</v>
      </c>
      <c r="P57" s="3458" t="s">
        <v>3315</v>
      </c>
      <c r="Q57" s="3458" t="s">
        <v>3211</v>
      </c>
    </row>
    <row r="58" spans="1:17">
      <c r="A58" s="3458" t="s">
        <v>3348</v>
      </c>
      <c r="B58" s="3458" t="s">
        <v>3177</v>
      </c>
      <c r="C58" s="3458" t="s">
        <v>3178</v>
      </c>
      <c r="D58" s="3458">
        <v>52644.37</v>
      </c>
      <c r="E58" s="3458">
        <v>210577.48</v>
      </c>
      <c r="F58" s="3458" t="s">
        <v>3332</v>
      </c>
      <c r="G58" s="3458" t="s">
        <v>3180</v>
      </c>
      <c r="H58" s="3458" t="s">
        <v>3349</v>
      </c>
      <c r="I58" s="3458">
        <v>0</v>
      </c>
      <c r="J58" s="3458" t="s">
        <v>3350</v>
      </c>
      <c r="K58" s="3458" t="s">
        <v>3350</v>
      </c>
      <c r="L58" s="3458">
        <v>69279</v>
      </c>
      <c r="M58" s="3458">
        <v>69279</v>
      </c>
      <c r="N58" s="3458">
        <v>3289.95</v>
      </c>
      <c r="O58" s="3458">
        <v>0</v>
      </c>
      <c r="P58" s="3458" t="s">
        <v>3219</v>
      </c>
      <c r="Q58" s="3458" t="s">
        <v>3220</v>
      </c>
    </row>
    <row r="59" spans="1:17">
      <c r="A59" s="3458" t="s">
        <v>3351</v>
      </c>
      <c r="B59" s="3458" t="s">
        <v>3177</v>
      </c>
      <c r="C59" s="3458" t="s">
        <v>3178</v>
      </c>
      <c r="D59" s="3458">
        <v>62142.31</v>
      </c>
      <c r="E59" s="3458">
        <v>223712.32</v>
      </c>
      <c r="F59" s="3458" t="s">
        <v>3218</v>
      </c>
      <c r="G59" s="3458" t="s">
        <v>3180</v>
      </c>
      <c r="H59" s="3458" t="s">
        <v>3349</v>
      </c>
      <c r="I59" s="3458">
        <v>0</v>
      </c>
      <c r="J59" s="3458" t="s">
        <v>3350</v>
      </c>
      <c r="K59" s="3458" t="s">
        <v>3350</v>
      </c>
      <c r="L59" s="3458">
        <v>79291</v>
      </c>
      <c r="M59" s="3458">
        <v>79291</v>
      </c>
      <c r="N59" s="3458">
        <v>3544.33</v>
      </c>
      <c r="O59" s="3458">
        <v>0</v>
      </c>
      <c r="P59" s="3458" t="s">
        <v>3219</v>
      </c>
      <c r="Q59" s="3458" t="s">
        <v>3220</v>
      </c>
    </row>
    <row r="60" spans="1:17">
      <c r="A60" s="3458" t="s">
        <v>3352</v>
      </c>
      <c r="B60" s="3458" t="s">
        <v>3177</v>
      </c>
      <c r="C60" s="3458" t="s">
        <v>3178</v>
      </c>
      <c r="D60" s="3458">
        <v>32188.91</v>
      </c>
      <c r="E60" s="3458">
        <v>96566.73</v>
      </c>
      <c r="F60" s="3458" t="s">
        <v>3353</v>
      </c>
      <c r="G60" s="3458" t="s">
        <v>3180</v>
      </c>
      <c r="H60" s="3458" t="s">
        <v>3181</v>
      </c>
      <c r="I60" s="3458">
        <v>0</v>
      </c>
      <c r="J60" s="3458" t="s">
        <v>3354</v>
      </c>
      <c r="K60" s="3458" t="s">
        <v>3354</v>
      </c>
      <c r="L60" s="3458">
        <v>35685</v>
      </c>
      <c r="M60" s="3458">
        <v>56166</v>
      </c>
      <c r="N60" s="3458">
        <v>5816.29</v>
      </c>
      <c r="O60" s="3458">
        <v>57.39</v>
      </c>
      <c r="P60" s="3458" t="s">
        <v>3355</v>
      </c>
      <c r="Q60" s="3458" t="s">
        <v>3211</v>
      </c>
    </row>
    <row r="61" spans="1:17" s="3463" customFormat="1">
      <c r="A61" s="3462" t="s">
        <v>3356</v>
      </c>
      <c r="B61" s="3462" t="s">
        <v>3177</v>
      </c>
      <c r="C61" s="3462" t="s">
        <v>3178</v>
      </c>
      <c r="D61" s="3462">
        <v>44426.7</v>
      </c>
      <c r="E61" s="3462">
        <v>186592.14</v>
      </c>
      <c r="F61" s="3462" t="s">
        <v>3239</v>
      </c>
      <c r="G61" s="3462" t="s">
        <v>3180</v>
      </c>
      <c r="H61" s="3462" t="s">
        <v>3181</v>
      </c>
      <c r="I61" s="3462">
        <v>0</v>
      </c>
      <c r="J61" s="3462" t="s">
        <v>3357</v>
      </c>
      <c r="K61" s="3462" t="s">
        <v>3357</v>
      </c>
      <c r="L61" s="3462">
        <v>66717</v>
      </c>
      <c r="M61" s="3462">
        <v>66717</v>
      </c>
      <c r="N61" s="3462">
        <v>3575.55</v>
      </c>
      <c r="O61" s="3462">
        <v>0</v>
      </c>
      <c r="P61" s="3462" t="s">
        <v>3241</v>
      </c>
      <c r="Q61" s="3462" t="s">
        <v>3226</v>
      </c>
    </row>
    <row r="62" spans="1:17">
      <c r="A62" s="3458" t="s">
        <v>3358</v>
      </c>
      <c r="B62" s="3458" t="s">
        <v>3177</v>
      </c>
      <c r="C62" s="3458" t="s">
        <v>3178</v>
      </c>
      <c r="D62" s="3458">
        <v>28880.66</v>
      </c>
      <c r="E62" s="3458">
        <v>115522.64</v>
      </c>
      <c r="F62" s="3458" t="s">
        <v>3332</v>
      </c>
      <c r="G62" s="3458" t="s">
        <v>3180</v>
      </c>
      <c r="H62" s="3458" t="s">
        <v>3181</v>
      </c>
      <c r="I62" s="3458">
        <v>0</v>
      </c>
      <c r="J62" s="3458" t="s">
        <v>3357</v>
      </c>
      <c r="K62" s="3458" t="s">
        <v>3357</v>
      </c>
      <c r="L62" s="3458">
        <v>42717</v>
      </c>
      <c r="M62" s="3458">
        <v>42717</v>
      </c>
      <c r="N62" s="3458">
        <v>3697.72</v>
      </c>
      <c r="O62" s="3458">
        <v>0</v>
      </c>
      <c r="P62" s="3458" t="s">
        <v>3241</v>
      </c>
      <c r="Q62" s="3458" t="s">
        <v>3226</v>
      </c>
    </row>
    <row r="63" spans="1:17" s="3463" customFormat="1">
      <c r="A63" s="3462" t="s">
        <v>3359</v>
      </c>
      <c r="B63" s="3462" t="s">
        <v>3177</v>
      </c>
      <c r="C63" s="3462" t="s">
        <v>3178</v>
      </c>
      <c r="D63" s="3462">
        <v>16694.240000000002</v>
      </c>
      <c r="E63" s="3462">
        <v>70115.81</v>
      </c>
      <c r="F63" s="3462" t="s">
        <v>3239</v>
      </c>
      <c r="G63" s="3462" t="s">
        <v>3180</v>
      </c>
      <c r="H63" s="3462" t="s">
        <v>3181</v>
      </c>
      <c r="I63" s="3462">
        <v>0</v>
      </c>
      <c r="J63" s="3462" t="s">
        <v>3357</v>
      </c>
      <c r="K63" s="3462" t="s">
        <v>3357</v>
      </c>
      <c r="L63" s="3462">
        <v>25122</v>
      </c>
      <c r="M63" s="3462">
        <v>25122</v>
      </c>
      <c r="N63" s="3462">
        <v>3582.93</v>
      </c>
      <c r="O63" s="3462">
        <v>0</v>
      </c>
      <c r="P63" s="3462" t="s">
        <v>3241</v>
      </c>
      <c r="Q63" s="3462" t="s">
        <v>3211</v>
      </c>
    </row>
    <row r="64" spans="1:17">
      <c r="A64" s="3458" t="s">
        <v>3360</v>
      </c>
      <c r="B64" s="3458" t="s">
        <v>3177</v>
      </c>
      <c r="C64" s="3458" t="s">
        <v>3178</v>
      </c>
      <c r="D64" s="3458">
        <v>43753.34</v>
      </c>
      <c r="E64" s="3458">
        <v>196890.03</v>
      </c>
      <c r="F64" s="3458" t="s">
        <v>3361</v>
      </c>
      <c r="G64" s="3458" t="s">
        <v>3180</v>
      </c>
      <c r="H64" s="3458" t="s">
        <v>3362</v>
      </c>
      <c r="I64" s="3458">
        <v>0</v>
      </c>
      <c r="J64" s="3458" t="s">
        <v>3363</v>
      </c>
      <c r="K64" s="3458" t="s">
        <v>3363</v>
      </c>
      <c r="L64" s="3458">
        <v>54002</v>
      </c>
      <c r="M64" s="3458">
        <v>54002</v>
      </c>
      <c r="N64" s="3458">
        <v>2742.75</v>
      </c>
      <c r="O64" s="3458">
        <v>0</v>
      </c>
      <c r="P64" s="3458" t="s">
        <v>3236</v>
      </c>
      <c r="Q64" s="3458" t="s">
        <v>3211</v>
      </c>
    </row>
    <row r="65" spans="1:17">
      <c r="A65" s="3458" t="s">
        <v>3364</v>
      </c>
      <c r="B65" s="3458" t="s">
        <v>3177</v>
      </c>
      <c r="C65" s="3458" t="s">
        <v>3178</v>
      </c>
      <c r="D65" s="3458">
        <v>70406.25</v>
      </c>
      <c r="E65" s="3458">
        <v>295706.25</v>
      </c>
      <c r="F65" s="3458" t="s">
        <v>3239</v>
      </c>
      <c r="G65" s="3458" t="s">
        <v>3180</v>
      </c>
      <c r="H65" s="3458" t="s">
        <v>3365</v>
      </c>
      <c r="I65" s="3458">
        <v>0</v>
      </c>
      <c r="J65" s="3458" t="s">
        <v>3366</v>
      </c>
      <c r="K65" s="3458" t="s">
        <v>3366</v>
      </c>
      <c r="L65" s="3458">
        <v>121455</v>
      </c>
      <c r="M65" s="3458">
        <v>121455</v>
      </c>
      <c r="N65" s="3458">
        <v>4107.29</v>
      </c>
      <c r="O65" s="3458">
        <v>0</v>
      </c>
      <c r="P65" s="3458" t="s">
        <v>3367</v>
      </c>
      <c r="Q65" s="3458" t="s">
        <v>3226</v>
      </c>
    </row>
    <row r="66" spans="1:17">
      <c r="A66" s="3458" t="s">
        <v>3368</v>
      </c>
      <c r="B66" s="3458" t="s">
        <v>3177</v>
      </c>
      <c r="C66" s="3458" t="s">
        <v>3178</v>
      </c>
      <c r="D66" s="3458">
        <v>63143.61</v>
      </c>
      <c r="E66" s="3458">
        <v>126287.22</v>
      </c>
      <c r="F66" s="3458" t="s">
        <v>3369</v>
      </c>
      <c r="G66" s="3458" t="s">
        <v>3180</v>
      </c>
      <c r="H66" s="3458" t="s">
        <v>3181</v>
      </c>
      <c r="I66" s="3458">
        <v>0</v>
      </c>
      <c r="J66" s="3458" t="s">
        <v>3370</v>
      </c>
      <c r="K66" s="3458" t="s">
        <v>3370</v>
      </c>
      <c r="L66" s="3458">
        <v>64478</v>
      </c>
      <c r="M66" s="3458">
        <v>64478</v>
      </c>
      <c r="N66" s="3458">
        <v>5105.66</v>
      </c>
      <c r="O66" s="3458">
        <v>0</v>
      </c>
      <c r="P66" s="3458" t="s">
        <v>3330</v>
      </c>
      <c r="Q66" s="3458" t="s">
        <v>3226</v>
      </c>
    </row>
    <row r="67" spans="1:17">
      <c r="A67" s="3458" t="s">
        <v>3371</v>
      </c>
      <c r="B67" s="3458" t="s">
        <v>3177</v>
      </c>
      <c r="C67" s="3458" t="s">
        <v>3178</v>
      </c>
      <c r="D67" s="3458">
        <v>20210.05</v>
      </c>
      <c r="E67" s="3458">
        <v>50525.13</v>
      </c>
      <c r="F67" s="3458" t="s">
        <v>3372</v>
      </c>
      <c r="G67" s="3458" t="s">
        <v>3180</v>
      </c>
      <c r="H67" s="3458" t="s">
        <v>3373</v>
      </c>
      <c r="I67" s="3458">
        <v>0</v>
      </c>
      <c r="J67" s="3458" t="s">
        <v>3374</v>
      </c>
      <c r="K67" s="3458" t="s">
        <v>3374</v>
      </c>
      <c r="L67" s="3458">
        <v>20937</v>
      </c>
      <c r="M67" s="3458">
        <v>20937</v>
      </c>
      <c r="N67" s="3458">
        <v>4143.88</v>
      </c>
      <c r="O67" s="3458">
        <v>0</v>
      </c>
      <c r="P67" s="3458" t="s">
        <v>3375</v>
      </c>
      <c r="Q67" s="3458" t="s">
        <v>3211</v>
      </c>
    </row>
    <row r="68" spans="1:17">
      <c r="A68" s="3458" t="s">
        <v>3376</v>
      </c>
      <c r="B68" s="3458" t="s">
        <v>3177</v>
      </c>
      <c r="C68" s="3458" t="s">
        <v>3178</v>
      </c>
      <c r="D68" s="3458">
        <v>13091.5</v>
      </c>
      <c r="E68" s="3458">
        <v>52366</v>
      </c>
      <c r="F68" s="3458" t="s">
        <v>3332</v>
      </c>
      <c r="G68" s="3458" t="s">
        <v>3180</v>
      </c>
      <c r="H68" s="3458" t="s">
        <v>3246</v>
      </c>
      <c r="I68" s="3458">
        <v>0</v>
      </c>
      <c r="J68" s="3458" t="s">
        <v>3377</v>
      </c>
      <c r="K68" s="3458" t="s">
        <v>3377</v>
      </c>
      <c r="L68" s="3458">
        <v>17152</v>
      </c>
      <c r="M68" s="3458">
        <v>17152</v>
      </c>
      <c r="N68" s="3458">
        <v>3275.41</v>
      </c>
      <c r="O68" s="3458">
        <v>0</v>
      </c>
      <c r="P68" s="3458" t="s">
        <v>3219</v>
      </c>
      <c r="Q68" s="3458" t="s">
        <v>3220</v>
      </c>
    </row>
    <row r="75" spans="1:17" ht="28.5">
      <c r="A75" s="3459" t="s">
        <v>3204</v>
      </c>
    </row>
    <row r="134" spans="1:1" ht="30">
      <c r="A134" s="3457" t="s">
        <v>3378</v>
      </c>
    </row>
    <row r="196" spans="1:1" ht="28.5">
      <c r="A196" s="3459" t="s">
        <v>3238</v>
      </c>
    </row>
    <row r="250" spans="1:1" ht="14.25">
      <c r="A250" s="3459"/>
    </row>
  </sheetData>
  <phoneticPr fontId="22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36" workbookViewId="0">
      <selection activeCell="D139" sqref="D139"/>
    </sheetView>
  </sheetViews>
  <sheetFormatPr defaultRowHeight="13.5"/>
  <sheetData>
    <row r="136" spans="4:8">
      <c r="E136" s="3153" t="s">
        <v>3404</v>
      </c>
      <c r="F136" s="3153" t="s">
        <v>3405</v>
      </c>
      <c r="G136" s="3153" t="s">
        <v>3406</v>
      </c>
      <c r="H136" s="3153" t="s">
        <v>3407</v>
      </c>
    </row>
    <row r="137" spans="4:8">
      <c r="D137" s="3153" t="s">
        <v>3480</v>
      </c>
      <c r="E137">
        <v>6.49</v>
      </c>
      <c r="F137">
        <v>361115</v>
      </c>
      <c r="G137">
        <v>11825</v>
      </c>
      <c r="H137" s="3153" t="s">
        <v>3408</v>
      </c>
    </row>
    <row r="138" spans="4:8">
      <c r="D138" s="3153" t="s">
        <v>3465</v>
      </c>
      <c r="E138">
        <v>4.1900000000000004</v>
      </c>
      <c r="F138">
        <v>2700000</v>
      </c>
      <c r="G138">
        <v>12817</v>
      </c>
      <c r="H138" s="3153" t="s">
        <v>3409</v>
      </c>
    </row>
    <row r="139" spans="4:8">
      <c r="D139" s="3153" t="s">
        <v>3481</v>
      </c>
      <c r="E139">
        <v>6.38</v>
      </c>
      <c r="F139">
        <v>44200</v>
      </c>
      <c r="G139">
        <v>11629</v>
      </c>
      <c r="H139" s="3153" t="s">
        <v>3408</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3425</v>
      </c>
      <c r="G49" s="3153" t="s">
        <v>3406</v>
      </c>
    </row>
    <row r="50" spans="5:7">
      <c r="E50" s="3153" t="s">
        <v>3424</v>
      </c>
      <c r="F50">
        <v>750000</v>
      </c>
      <c r="G50">
        <v>20000</v>
      </c>
    </row>
    <row r="51" spans="5:7">
      <c r="E51" s="3153" t="s">
        <v>3426</v>
      </c>
      <c r="F51">
        <v>1000000</v>
      </c>
      <c r="G51">
        <v>25000</v>
      </c>
    </row>
    <row r="52" spans="5:7">
      <c r="E52" s="3153" t="s">
        <v>3427</v>
      </c>
      <c r="F52">
        <v>506706</v>
      </c>
      <c r="G52">
        <v>25000</v>
      </c>
    </row>
  </sheetData>
  <phoneticPr fontId="22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E33" sqref="E33"/>
    </sheetView>
  </sheetViews>
  <sheetFormatPr defaultRowHeight="13.5"/>
  <cols>
    <col min="5" max="5" width="13.5" customWidth="1"/>
  </cols>
  <sheetData>
    <row r="32" spans="5:8">
      <c r="E32" s="3153" t="s">
        <v>3443</v>
      </c>
      <c r="F32" s="3153" t="s">
        <v>3446</v>
      </c>
      <c r="G32">
        <v>2340010</v>
      </c>
      <c r="H32">
        <v>7902</v>
      </c>
    </row>
    <row r="33" spans="5:8">
      <c r="E33" s="3153" t="s">
        <v>3444</v>
      </c>
      <c r="F33" s="3153" t="s">
        <v>3447</v>
      </c>
      <c r="G33">
        <v>2340010</v>
      </c>
      <c r="H33">
        <v>8521</v>
      </c>
    </row>
    <row r="34" spans="5:8">
      <c r="E34" s="3153" t="s">
        <v>3445</v>
      </c>
      <c r="F34" s="3153" t="s">
        <v>3448</v>
      </c>
      <c r="G34">
        <v>42327</v>
      </c>
      <c r="H34">
        <v>8602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0" t="s">
        <v>1829</v>
      </c>
      <c r="B1" s="3510"/>
      <c r="C1" s="3510"/>
      <c r="D1" s="3510"/>
      <c r="E1" s="3510"/>
      <c r="F1" s="3510"/>
      <c r="G1" s="3510"/>
      <c r="H1" s="3510"/>
      <c r="I1" s="3510"/>
      <c r="J1" s="3510"/>
      <c r="K1" s="3510"/>
      <c r="L1" s="3510"/>
      <c r="M1" s="3510"/>
      <c r="N1" s="3510"/>
      <c r="O1" s="3510"/>
      <c r="P1" s="3510"/>
      <c r="Q1" s="3510"/>
      <c r="R1" s="3510"/>
    </row>
    <row r="2" spans="1:18">
      <c r="A2" s="1675" t="s">
        <v>1831</v>
      </c>
      <c r="B2" s="1675"/>
      <c r="C2" s="1675"/>
      <c r="D2" s="1675"/>
      <c r="E2" s="1675"/>
      <c r="F2" s="1675"/>
      <c r="G2" s="1675"/>
      <c r="H2" s="1675"/>
      <c r="I2" s="1676"/>
      <c r="J2" s="1676"/>
      <c r="K2" s="1677" t="str">
        <f>"估价期日："&amp;TEXT(项目基本情况!D3,"yyyy年m月d日;;")</f>
        <v>估价期日：2022年11月30日</v>
      </c>
      <c r="L2" s="1675"/>
      <c r="M2" s="1675"/>
      <c r="N2" s="1675"/>
      <c r="O2" s="1675"/>
      <c r="P2" s="1675"/>
      <c r="Q2" s="1675"/>
      <c r="R2" s="1677" t="str">
        <f>"估价期日的国有建设用地使用权性质："&amp;项目基本情况!B16</f>
        <v>估价期日的国有建设用地使用权性质：出让</v>
      </c>
    </row>
    <row r="3" spans="1:18" ht="23.25" customHeight="1">
      <c r="A3" s="3511" t="s">
        <v>1820</v>
      </c>
      <c r="B3" s="3511" t="s">
        <v>2447</v>
      </c>
      <c r="C3" s="3512" t="s">
        <v>1821</v>
      </c>
      <c r="D3" s="3511" t="s">
        <v>2451</v>
      </c>
      <c r="E3" s="3506" t="s">
        <v>1822</v>
      </c>
      <c r="F3" s="3506"/>
      <c r="G3" s="3506"/>
      <c r="H3" s="3506" t="s">
        <v>1823</v>
      </c>
      <c r="I3" s="3506"/>
      <c r="J3" s="3506"/>
      <c r="K3" s="3512" t="s">
        <v>1824</v>
      </c>
      <c r="L3" s="3512" t="s">
        <v>1825</v>
      </c>
      <c r="M3" s="3511" t="s">
        <v>2448</v>
      </c>
      <c r="N3" s="3513" t="str">
        <f>"（分摊）"&amp;项目基本情况!B16&amp;"国有建设用地使用权面积/㎡"</f>
        <v>（分摊）出让国有建设用地使用权面积/㎡</v>
      </c>
      <c r="O3" s="3511" t="s">
        <v>1854</v>
      </c>
      <c r="P3" s="3512" t="s">
        <v>1834</v>
      </c>
      <c r="Q3" s="3512" t="s">
        <v>1855</v>
      </c>
      <c r="R3" s="3512" t="s">
        <v>1826</v>
      </c>
    </row>
    <row r="4" spans="1:18" ht="36.75" customHeight="1">
      <c r="A4" s="3511"/>
      <c r="B4" s="3511"/>
      <c r="C4" s="3512"/>
      <c r="D4" s="3511"/>
      <c r="E4" s="2411" t="s">
        <v>1833</v>
      </c>
      <c r="F4" s="2411" t="s">
        <v>2460</v>
      </c>
      <c r="G4" s="2411" t="s">
        <v>1827</v>
      </c>
      <c r="H4" s="2411" t="s">
        <v>1828</v>
      </c>
      <c r="I4" s="2411" t="s">
        <v>2461</v>
      </c>
      <c r="J4" s="2411" t="s">
        <v>1827</v>
      </c>
      <c r="K4" s="3512"/>
      <c r="L4" s="3512"/>
      <c r="M4" s="3511"/>
      <c r="N4" s="3513"/>
      <c r="O4" s="3511"/>
      <c r="P4" s="3512"/>
      <c r="Q4" s="3512"/>
      <c r="R4" s="3512"/>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23308.880000000001</v>
      </c>
      <c r="O5" s="1678">
        <f>项目基本情况!C21</f>
        <v>184715.46</v>
      </c>
      <c r="P5" s="1678">
        <f ca="1">结果表!E42</f>
        <v>20391</v>
      </c>
      <c r="Q5" s="1678">
        <f ca="1">结果表!D42</f>
        <v>2573</v>
      </c>
      <c r="R5" s="1679">
        <f ca="1">结果表!C42</f>
        <v>47529</v>
      </c>
    </row>
    <row r="6" spans="1:18">
      <c r="A6" s="3507" t="str">
        <f>IF(项目基本情况!B9="市场价格","——","抵押价格")</f>
        <v>——</v>
      </c>
      <c r="B6" s="3508"/>
      <c r="C6" s="3508"/>
      <c r="D6" s="3508"/>
      <c r="E6" s="3508"/>
      <c r="F6" s="3508"/>
      <c r="G6" s="3508"/>
      <c r="H6" s="3508"/>
      <c r="I6" s="3508"/>
      <c r="J6" s="3508"/>
      <c r="K6" s="3508"/>
      <c r="L6" s="3508"/>
      <c r="M6" s="3508"/>
      <c r="N6" s="3508"/>
      <c r="O6" s="3508"/>
      <c r="P6" s="3508"/>
      <c r="Q6" s="3509"/>
      <c r="R6" s="1680">
        <f ca="1">结果表!O39</f>
        <v>47529</v>
      </c>
    </row>
    <row r="7" spans="1:18">
      <c r="A7" s="3507" t="str">
        <f>IF(项目基本情况!B9="市场价格","——",IF(项目基本情况!E8="已注销及未注销","抵押担保权已注销时的抵押价格","——"))</f>
        <v>——</v>
      </c>
      <c r="B7" s="3508"/>
      <c r="C7" s="3508"/>
      <c r="D7" s="3508"/>
      <c r="E7" s="3508"/>
      <c r="F7" s="3508"/>
      <c r="G7" s="3508"/>
      <c r="H7" s="3508"/>
      <c r="I7" s="3508"/>
      <c r="J7" s="3508"/>
      <c r="K7" s="3508"/>
      <c r="L7" s="3508"/>
      <c r="M7" s="3508"/>
      <c r="N7" s="3508"/>
      <c r="O7" s="3508"/>
      <c r="P7" s="3508"/>
      <c r="Q7" s="3509"/>
      <c r="R7" s="1680" t="str">
        <f>结果表!O40</f>
        <v>——</v>
      </c>
    </row>
    <row r="8" spans="1:18">
      <c r="A8" s="3507" t="str">
        <f>IF(项目基本情况!B9="市场价格","——",项目基本情况!E9)</f>
        <v>——</v>
      </c>
      <c r="B8" s="3508"/>
      <c r="C8" s="3508"/>
      <c r="D8" s="3508"/>
      <c r="E8" s="3508"/>
      <c r="F8" s="3508"/>
      <c r="G8" s="3508"/>
      <c r="H8" s="3508"/>
      <c r="I8" s="3508"/>
      <c r="J8" s="3508"/>
      <c r="K8" s="3508"/>
      <c r="L8" s="3508"/>
      <c r="M8" s="3508"/>
      <c r="N8" s="3508"/>
      <c r="O8" s="3508"/>
      <c r="P8" s="3508"/>
      <c r="Q8" s="3509"/>
      <c r="R8" s="1680">
        <f ca="1">结果表!O41</f>
        <v>41840</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14" t="s">
        <v>1856</v>
      </c>
      <c r="B1" s="3514"/>
      <c r="C1" s="3514"/>
      <c r="D1" s="3514"/>
    </row>
    <row r="2" spans="1:4" ht="47.25" customHeight="1">
      <c r="A2" s="3518" t="str">
        <f>"1.权利限制："&amp;项目基本情况!L24&amp;"未设定租赁等其他他项权利。"</f>
        <v>1.权利限制：根据估价对象《不动产权证书》原件、《国有土地使用权》复印件，截至估价期日，估价对象抵押权未见登记。未设定租赁等其他他项权利。</v>
      </c>
      <c r="B2" s="3518"/>
      <c r="C2" s="3518"/>
      <c r="D2" s="3518"/>
    </row>
    <row r="3" spans="1:4" ht="48" customHeight="1">
      <c r="A3" s="35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4"/>
      <c r="C3" s="3514"/>
      <c r="D3" s="3514"/>
    </row>
    <row r="4" spans="1:4" ht="36.75" customHeight="1">
      <c r="A4" s="3514" t="str">
        <f>"3.估价规划限制条件：详见"&amp;项目基本情况!E21&amp;"。"</f>
        <v>3.估价规划限制条件：详见《建设工程规划许可证》[]、《出让合同》[]。</v>
      </c>
      <c r="B4" s="3514"/>
      <c r="C4" s="3514"/>
      <c r="D4" s="3514"/>
    </row>
    <row r="5" spans="1:4">
      <c r="A5" s="3517" t="s">
        <v>1857</v>
      </c>
      <c r="B5" s="3517"/>
      <c r="C5" s="3517"/>
      <c r="D5" s="3517"/>
    </row>
    <row r="6" spans="1:4">
      <c r="A6" s="3514" t="s">
        <v>1835</v>
      </c>
      <c r="B6" s="3514"/>
      <c r="C6" s="3514"/>
      <c r="D6" s="3514"/>
    </row>
    <row r="7" spans="1:4" ht="33" customHeight="1">
      <c r="A7" s="3514" t="s">
        <v>2291</v>
      </c>
      <c r="B7" s="3514"/>
      <c r="C7" s="3514"/>
      <c r="D7" s="3514"/>
    </row>
    <row r="8" spans="1:4" ht="32.25" customHeight="1">
      <c r="A8" s="35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4"/>
      <c r="C8" s="3514"/>
      <c r="D8" s="3514"/>
    </row>
    <row r="9" spans="1:4" ht="33.75" customHeight="1">
      <c r="A9" s="3514" t="str">
        <f>IF(项目基本情况!B8="抵押","3.抵押双方在办理抵押登记手续时，应使用本公司出具的正式《土地估价报告》，特提请报告使用者注意。","——")</f>
        <v>——</v>
      </c>
      <c r="B9" s="3514"/>
      <c r="C9" s="3514"/>
      <c r="D9" s="3514"/>
    </row>
    <row r="10" spans="1:4">
      <c r="A10" s="3514" t="str">
        <f>IF(项目基本情况!B8="抵押","4.估价师所知悉的法定优先受偿款情况为：","——")</f>
        <v>——</v>
      </c>
      <c r="B10" s="3514"/>
      <c r="C10" s="3514"/>
      <c r="D10" s="3514"/>
    </row>
    <row r="11" spans="1:4" ht="37.5" customHeight="1">
      <c r="A11" s="3516" t="str">
        <f>IF(项目基本情况!B8="抵押","（1）"&amp;CONCATENATE(项目基本情况!L24,项目基本情况!L25,项目基本情况!L26),"——")</f>
        <v>——</v>
      </c>
      <c r="B11" s="3516"/>
      <c r="C11" s="3516"/>
      <c r="D11" s="3516"/>
    </row>
    <row r="12" spans="1:4" ht="168" customHeight="1">
      <c r="A12" s="3517" t="s">
        <v>1859</v>
      </c>
      <c r="B12" s="3517"/>
      <c r="C12" s="3517"/>
      <c r="D12" s="3517"/>
    </row>
    <row r="13" spans="1:4">
      <c r="A13" s="3515" t="s">
        <v>2462</v>
      </c>
      <c r="B13" s="3515"/>
      <c r="C13" s="3515"/>
      <c r="D13" s="3515"/>
    </row>
    <row r="14" spans="1:4">
      <c r="A14" s="3516" t="str">
        <f>IF(项目基本情况!B8="抵押","综上，"&amp;结果表!K47,"——")</f>
        <v>——</v>
      </c>
      <c r="B14" s="3516"/>
      <c r="C14" s="3516"/>
      <c r="D14" s="3516"/>
    </row>
    <row r="15" spans="1:4" ht="58.5" customHeight="1">
      <c r="A15" s="35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4"/>
      <c r="C15" s="3514"/>
      <c r="D15" s="3514"/>
    </row>
    <row r="16" spans="1:4" ht="70.5" customHeight="1">
      <c r="A16" s="35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4"/>
      <c r="C16" s="3514"/>
      <c r="D16" s="3514"/>
    </row>
    <row r="17" spans="1:4">
      <c r="A17" s="3514" t="s">
        <v>2418</v>
      </c>
      <c r="B17" s="3514"/>
      <c r="C17" s="3514"/>
      <c r="D17" s="3514"/>
    </row>
    <row r="18" spans="1:4">
      <c r="A18" s="3514" t="s">
        <v>2410</v>
      </c>
      <c r="B18" s="3514"/>
      <c r="C18" s="3514"/>
      <c r="D18" s="3514"/>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14" t="s">
        <v>2415</v>
      </c>
      <c r="B23" s="3514"/>
      <c r="C23" s="3514"/>
      <c r="D23" s="3514"/>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26" t="s">
        <v>53</v>
      </c>
      <c r="B15" s="3527" t="s">
        <v>825</v>
      </c>
      <c r="C15" s="3523"/>
    </row>
    <row r="16" spans="1:7" ht="14.25">
      <c r="A16" s="3526"/>
      <c r="B16" s="3524" t="s">
        <v>54</v>
      </c>
      <c r="C16" s="1117" t="s">
        <v>53</v>
      </c>
    </row>
    <row r="17" spans="1:3" ht="14.25">
      <c r="A17" s="3526"/>
      <c r="B17" s="3524"/>
      <c r="C17" s="1117" t="s">
        <v>55</v>
      </c>
    </row>
    <row r="18" spans="1:3" ht="14.25">
      <c r="A18" s="3526"/>
      <c r="B18" s="3524"/>
      <c r="C18" s="1117" t="s">
        <v>56</v>
      </c>
    </row>
    <row r="19" spans="1:3" ht="14.25">
      <c r="A19" s="3526"/>
      <c r="B19" s="3522" t="s">
        <v>57</v>
      </c>
      <c r="C19" s="3523"/>
    </row>
    <row r="20" spans="1:3" ht="14.25">
      <c r="A20" s="1118" t="s">
        <v>58</v>
      </c>
      <c r="B20" s="1119"/>
      <c r="C20" s="1120"/>
    </row>
    <row r="21" spans="1:3" ht="14.25">
      <c r="A21" s="3525" t="s">
        <v>59</v>
      </c>
      <c r="B21" s="3522" t="s">
        <v>60</v>
      </c>
      <c r="C21" s="3523"/>
    </row>
    <row r="22" spans="1:3" ht="14.25">
      <c r="A22" s="3525"/>
      <c r="B22" s="3522" t="s">
        <v>61</v>
      </c>
      <c r="C22" s="3523"/>
    </row>
    <row r="23" spans="1:3" ht="14.25">
      <c r="A23" s="3525"/>
      <c r="B23" s="3522" t="s">
        <v>62</v>
      </c>
      <c r="C23" s="3523"/>
    </row>
    <row r="24" spans="1:3" ht="14.25">
      <c r="A24" s="3525"/>
      <c r="B24" s="3528" t="s">
        <v>63</v>
      </c>
      <c r="C24" s="1121" t="s">
        <v>816</v>
      </c>
    </row>
    <row r="25" spans="1:3" ht="14.25">
      <c r="A25" s="3525"/>
      <c r="B25" s="3529"/>
      <c r="C25" s="1121" t="s">
        <v>817</v>
      </c>
    </row>
    <row r="26" spans="1:3" ht="14.25">
      <c r="A26" s="3525"/>
      <c r="B26" s="3529"/>
      <c r="C26" s="1121" t="s">
        <v>818</v>
      </c>
    </row>
    <row r="27" spans="1:3" ht="14.25">
      <c r="A27" s="3525"/>
      <c r="B27" s="3529"/>
      <c r="C27" s="1121" t="s">
        <v>819</v>
      </c>
    </row>
    <row r="28" spans="1:3" ht="14.25">
      <c r="A28" s="3525"/>
      <c r="B28" s="3529"/>
      <c r="C28" s="1121" t="s">
        <v>820</v>
      </c>
    </row>
    <row r="29" spans="1:3" ht="14.25">
      <c r="A29" s="3525"/>
      <c r="B29" s="3529"/>
      <c r="C29" s="1121" t="s">
        <v>821</v>
      </c>
    </row>
    <row r="30" spans="1:3" ht="14.25">
      <c r="A30" s="3525"/>
      <c r="B30" s="3529"/>
      <c r="C30" s="1121" t="s">
        <v>822</v>
      </c>
    </row>
    <row r="31" spans="1:3" ht="14.25">
      <c r="A31" s="3525"/>
      <c r="B31" s="3529"/>
      <c r="C31" s="1121" t="s">
        <v>823</v>
      </c>
    </row>
    <row r="32" spans="1:3" ht="14.25">
      <c r="A32" s="3525"/>
      <c r="B32" s="3529"/>
      <c r="C32" s="1121" t="s">
        <v>1445</v>
      </c>
    </row>
    <row r="33" spans="1:3" ht="14.25">
      <c r="A33" s="3525"/>
      <c r="B33" s="3519" t="s">
        <v>1451</v>
      </c>
      <c r="C33" s="1121" t="s">
        <v>1446</v>
      </c>
    </row>
    <row r="34" spans="1:3" ht="14.25">
      <c r="A34" s="3525"/>
      <c r="B34" s="3520"/>
      <c r="C34" s="1126" t="s">
        <v>1447</v>
      </c>
    </row>
    <row r="35" spans="1:3" ht="14.25">
      <c r="A35" s="3525"/>
      <c r="B35" s="3520"/>
      <c r="C35" s="1127" t="s">
        <v>1448</v>
      </c>
    </row>
    <row r="36" spans="1:3" ht="14.25">
      <c r="A36" s="3525"/>
      <c r="B36" s="3520"/>
      <c r="C36" s="1127" t="s">
        <v>1449</v>
      </c>
    </row>
    <row r="37" spans="1:3" ht="14.25">
      <c r="A37" s="3525"/>
      <c r="B37" s="3521"/>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44908</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2689</v>
      </c>
      <c r="B15" s="2935">
        <f ca="1">IF(C15&lt;B2,"已过期",1119980106)</f>
        <v>1119980106</v>
      </c>
      <c r="C15" s="2938">
        <v>44969</v>
      </c>
      <c r="D15" s="2946"/>
      <c r="E15" s="2935"/>
      <c r="F15" s="2935"/>
      <c r="G15" s="2930"/>
    </row>
    <row r="16" spans="1:7" ht="20.25" customHeight="1">
      <c r="A16" s="2934" t="s">
        <v>2890</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33" t="s">
        <v>1719</v>
      </c>
      <c r="B18" s="3534"/>
      <c r="C18" s="3534"/>
      <c r="D18" s="3534"/>
      <c r="E18" s="3534"/>
      <c r="F18" s="3534"/>
      <c r="G18" s="2939"/>
    </row>
    <row r="19" spans="1:7" ht="20.25" customHeight="1">
      <c r="A19" s="3530" t="s">
        <v>1720</v>
      </c>
      <c r="B19" s="3530"/>
      <c r="C19" s="3531"/>
      <c r="D19" s="3532" t="s">
        <v>1721</v>
      </c>
      <c r="E19" s="3530"/>
      <c r="F19" s="3530"/>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2891</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2702</v>
      </c>
      <c r="C20" s="1446"/>
    </row>
    <row r="21" spans="1:3">
      <c r="A21" s="8" t="s">
        <v>122</v>
      </c>
      <c r="B21" s="8" t="s">
        <v>2882</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35"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38"/>
      <c r="E53" s="1638"/>
    </row>
    <row r="54" spans="1:5">
      <c r="A54" s="3535"/>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35"/>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35"/>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35"/>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76号规划指标</vt:lpstr>
      <vt:lpstr>数据-汇总表</vt:lpstr>
      <vt:lpstr>数据-取费表</vt:lpstr>
      <vt:lpstr>估价对象房地状况</vt:lpstr>
      <vt:lpstr>系统读取表</vt:lpstr>
      <vt:lpstr>结果表</vt:lpstr>
      <vt:lpstr>净值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2022-12-13T10:48:14Z</dcterms:modified>
</cp:coreProperties>
</file>