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32" yWindow="-192" windowWidth="15396" windowHeight="12492"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 (2)" sheetId="80"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3" r:id="rId47"/>
    <sheet name="案例" sheetId="81" r:id="rId48"/>
    <sheet name="租赁情况"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6"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46">'比较法-商业(租金)'!$A$1:$K$54,'比较法-商业(租金)'!$A$57:$M$131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 (2)'!$A$1:$I$127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6" i="9" l="1"/>
  <c r="C74" i="9" s="1"/>
  <c r="C77" i="9"/>
  <c r="N20" i="1" l="1"/>
  <c r="O19" i="1"/>
  <c r="F15" i="82" l="1"/>
  <c r="I15" i="82"/>
  <c r="I14" i="82"/>
  <c r="I6" i="82"/>
  <c r="I7" i="82"/>
  <c r="I10" i="82"/>
  <c r="J8" i="82"/>
  <c r="K8" i="82"/>
  <c r="I9" i="82"/>
  <c r="J9" i="82"/>
  <c r="B59" i="1" l="1"/>
  <c r="Y18" i="1"/>
  <c r="Y20" i="1" s="1"/>
  <c r="N18" i="1"/>
  <c r="AF6" i="1"/>
  <c r="J11" i="82" l="1"/>
  <c r="J12" i="82" s="1"/>
  <c r="J13" i="82" s="1"/>
  <c r="F4" i="82" l="1"/>
  <c r="F7" i="82"/>
  <c r="F6" i="82"/>
  <c r="B130" i="83" l="1"/>
  <c r="B128" i="83"/>
  <c r="B126" i="83"/>
  <c r="E125" i="83"/>
  <c r="F125" i="83" s="1"/>
  <c r="G125" i="83" s="1"/>
  <c r="D125" i="83"/>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E113" i="83"/>
  <c r="F113" i="83" s="1"/>
  <c r="G113" i="83" s="1"/>
  <c r="H113" i="83" s="1"/>
  <c r="I113" i="83" s="1"/>
  <c r="J113" i="83" s="1"/>
  <c r="K113" i="83" s="1"/>
  <c r="L113" i="83" s="1"/>
  <c r="M113" i="83" s="1"/>
  <c r="D113" i="83"/>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B98" i="83"/>
  <c r="B96" i="83"/>
  <c r="B94" i="83"/>
  <c r="O93" i="83"/>
  <c r="P91" i="83" s="1"/>
  <c r="C93" i="83" s="1"/>
  <c r="E93"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I54" i="83"/>
  <c r="J54" i="83" s="1"/>
  <c r="G54" i="83"/>
  <c r="H54" i="83" s="1"/>
  <c r="E54" i="83"/>
  <c r="F54" i="83" s="1"/>
  <c r="I50" i="83"/>
  <c r="G50" i="83"/>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I11" i="82"/>
  <c r="F5" i="82"/>
  <c r="F8" i="82"/>
  <c r="F9" i="82"/>
  <c r="F10" i="82"/>
  <c r="F11" i="82"/>
  <c r="F12" i="82"/>
  <c r="F13" i="82"/>
  <c r="I50" i="33"/>
  <c r="G50" i="33"/>
  <c r="E93" i="33"/>
  <c r="O93" i="33"/>
  <c r="P91" i="33" s="1"/>
  <c r="C93" i="33" s="1"/>
  <c r="D2" i="83"/>
  <c r="AC8" i="83" l="1"/>
  <c r="F101" i="83"/>
  <c r="G101" i="83" s="1"/>
  <c r="H101" i="83" s="1"/>
  <c r="I101" i="83" s="1"/>
  <c r="J101" i="83" s="1"/>
  <c r="K101" i="83" s="1"/>
  <c r="L101" i="83" s="1"/>
  <c r="M101" i="83" s="1"/>
  <c r="F32" i="83"/>
  <c r="AA32" i="83" s="1"/>
  <c r="U10" i="83"/>
  <c r="U9" i="83"/>
  <c r="W10" i="83"/>
  <c r="S12" i="83"/>
  <c r="U13" i="83"/>
  <c r="W14" i="83"/>
  <c r="W15" i="83"/>
  <c r="W17" i="83"/>
  <c r="W19" i="83"/>
  <c r="W21" i="83"/>
  <c r="W23" i="83"/>
  <c r="S9" i="83"/>
  <c r="W11" i="83"/>
  <c r="S13" i="83"/>
  <c r="U14" i="83"/>
  <c r="AA8" i="83"/>
  <c r="AB8" i="83"/>
  <c r="W9" i="83"/>
  <c r="S11" i="83"/>
  <c r="U12" i="83"/>
  <c r="W13" i="83"/>
  <c r="W25" i="83"/>
  <c r="F28" i="83"/>
  <c r="J28" i="83"/>
  <c r="H28" i="83"/>
  <c r="S10" i="83"/>
  <c r="U11" i="83"/>
  <c r="W12" i="83"/>
  <c r="S14" i="83"/>
  <c r="S15" i="83"/>
  <c r="S17" i="83"/>
  <c r="S19" i="83"/>
  <c r="S21" i="83"/>
  <c r="S23" i="83"/>
  <c r="U15" i="83"/>
  <c r="U17" i="83"/>
  <c r="U19" i="83"/>
  <c r="U21" i="83"/>
  <c r="U23" i="83"/>
  <c r="S26" i="83"/>
  <c r="S27" i="83"/>
  <c r="W29" i="83"/>
  <c r="S31" i="83"/>
  <c r="U32" i="83"/>
  <c r="W33" i="83"/>
  <c r="S35" i="83"/>
  <c r="U37" i="83"/>
  <c r="W38" i="83"/>
  <c r="S40" i="83"/>
  <c r="U41" i="83"/>
  <c r="W42" i="83"/>
  <c r="S44" i="83"/>
  <c r="U45" i="83"/>
  <c r="W46" i="83"/>
  <c r="U27" i="83"/>
  <c r="S30" i="83"/>
  <c r="U31" i="83"/>
  <c r="W32" i="83"/>
  <c r="S34" i="83"/>
  <c r="U35" i="83"/>
  <c r="W37" i="83"/>
  <c r="S39" i="83"/>
  <c r="U40" i="83"/>
  <c r="W41" i="83"/>
  <c r="S43" i="83"/>
  <c r="U44" i="83"/>
  <c r="W45" i="83"/>
  <c r="S25" i="83"/>
  <c r="U26" i="83"/>
  <c r="W27" i="83"/>
  <c r="S29" i="83"/>
  <c r="U30" i="83"/>
  <c r="W31" i="83"/>
  <c r="S33" i="83"/>
  <c r="U34" i="83"/>
  <c r="W35" i="83"/>
  <c r="S38" i="83"/>
  <c r="U39" i="83"/>
  <c r="W40" i="83"/>
  <c r="S42" i="83"/>
  <c r="U43" i="83"/>
  <c r="W44" i="83"/>
  <c r="S46" i="83"/>
  <c r="U25" i="83"/>
  <c r="W26" i="83"/>
  <c r="U29" i="83"/>
  <c r="W30" i="83"/>
  <c r="U33" i="83"/>
  <c r="W34" i="83"/>
  <c r="S37" i="83"/>
  <c r="U38" i="83"/>
  <c r="W39" i="83"/>
  <c r="S41" i="83"/>
  <c r="U42" i="83"/>
  <c r="W43" i="83"/>
  <c r="S45" i="83"/>
  <c r="U46" i="83"/>
  <c r="N6" i="1"/>
  <c r="C36" i="83" l="1"/>
  <c r="C36" i="33"/>
  <c r="S32" i="83"/>
  <c r="AC28" i="83"/>
  <c r="W28" i="83"/>
  <c r="AB28" i="83"/>
  <c r="U28" i="83"/>
  <c r="AA28" i="83"/>
  <c r="S28" i="83"/>
  <c r="D3" i="4"/>
  <c r="J36" i="83" l="1"/>
  <c r="H36" i="83"/>
  <c r="F36" i="83"/>
  <c r="M49" i="80"/>
  <c r="M48" i="80"/>
  <c r="C75" i="80"/>
  <c r="A120" i="80"/>
  <c r="E111" i="80"/>
  <c r="H112" i="80" s="1"/>
  <c r="E109" i="80"/>
  <c r="A124" i="80" s="1"/>
  <c r="E107" i="80"/>
  <c r="A122" i="80" s="1"/>
  <c r="H106" i="80"/>
  <c r="H103" i="80" s="1"/>
  <c r="D120" i="80" s="1"/>
  <c r="H105" i="80"/>
  <c r="H104" i="80"/>
  <c r="D101" i="80"/>
  <c r="C101" i="80"/>
  <c r="C91" i="80"/>
  <c r="E90" i="80"/>
  <c r="D89" i="80"/>
  <c r="C89" i="80" s="1"/>
  <c r="C87" i="80" s="1"/>
  <c r="H77" i="80"/>
  <c r="D77" i="80"/>
  <c r="C77" i="80" s="1"/>
  <c r="C76" i="80"/>
  <c r="C66" i="80"/>
  <c r="F59" i="80"/>
  <c r="E59" i="80"/>
  <c r="D59" i="80"/>
  <c r="M55" i="80" s="1"/>
  <c r="F56" i="80"/>
  <c r="O55" i="80"/>
  <c r="N55" i="80"/>
  <c r="K55" i="80"/>
  <c r="J55" i="80"/>
  <c r="I55" i="80"/>
  <c r="F55" i="80" s="1"/>
  <c r="O53" i="80" s="1"/>
  <c r="O54" i="80"/>
  <c r="N54" i="80"/>
  <c r="N53" i="80"/>
  <c r="K49" i="80"/>
  <c r="E48" i="80"/>
  <c r="N52" i="80" s="1"/>
  <c r="F33" i="80"/>
  <c r="D27" i="80"/>
  <c r="C25" i="80"/>
  <c r="C24" i="80"/>
  <c r="D17" i="80"/>
  <c r="C17" i="80"/>
  <c r="L4" i="80"/>
  <c r="K4" i="80"/>
  <c r="H1" i="80"/>
  <c r="C66" i="9"/>
  <c r="D34" i="80"/>
  <c r="D35" i="80"/>
  <c r="AA36" i="83" l="1"/>
  <c r="S36" i="83"/>
  <c r="C18" i="80"/>
  <c r="D18" i="80" s="1"/>
  <c r="U36" i="83"/>
  <c r="AB36" i="83"/>
  <c r="AC36" i="83"/>
  <c r="W36" i="83"/>
  <c r="H111" i="80"/>
  <c r="D126" i="80" s="1"/>
  <c r="D127" i="80" s="1"/>
  <c r="C74" i="80"/>
  <c r="C92" i="80"/>
  <c r="C94" i="80"/>
  <c r="D121" i="80"/>
  <c r="K120" i="80"/>
  <c r="A126" i="80"/>
  <c r="H109" i="80"/>
  <c r="Y6" i="1"/>
  <c r="F19" i="6"/>
  <c r="D124" i="80" l="1"/>
  <c r="D125" i="80" s="1"/>
  <c r="H110" i="80"/>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U28" i="79" s="1"/>
  <c r="M29" i="79"/>
  <c r="L29" i="79"/>
  <c r="S28" i="79" s="1"/>
  <c r="I29" i="79"/>
  <c r="AD29" i="79" s="1"/>
  <c r="U26" i="79"/>
  <c r="N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U39" i="79"/>
  <c r="AD40" i="79"/>
  <c r="Y3" i="79"/>
  <c r="AC3" i="79"/>
  <c r="Z3" i="79"/>
  <c r="R13" i="79"/>
  <c r="V13" i="79"/>
  <c r="S14" i="79"/>
  <c r="T15" i="79"/>
  <c r="W15" i="79" s="1"/>
  <c r="M26" i="79"/>
  <c r="P26" i="79" s="1"/>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E88" i="71"/>
  <c r="E87" i="71"/>
  <c r="E86" i="71" s="1"/>
  <c r="C88" i="71"/>
  <c r="D88" i="71" s="1"/>
  <c r="B88" i="71"/>
  <c r="B87" i="71" s="1"/>
  <c r="B86" i="71" s="1"/>
  <c r="F86" i="71"/>
  <c r="D85" i="71"/>
  <c r="F84" i="71"/>
  <c r="F83" i="71" s="1"/>
  <c r="E84" i="71"/>
  <c r="E83" i="71"/>
  <c r="E82" i="71" s="1"/>
  <c r="C84" i="71"/>
  <c r="D84" i="71" s="1"/>
  <c r="B84" i="71"/>
  <c r="B83" i="71" s="1"/>
  <c r="B82" i="71" s="1"/>
  <c r="F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c r="N57" i="71"/>
  <c r="B58" i="71"/>
  <c r="B59" i="71" s="1"/>
  <c r="B60" i="71" s="1"/>
  <c r="S60" i="71" s="1"/>
  <c r="D57" i="71"/>
  <c r="Q56" i="71"/>
  <c r="P56" i="71"/>
  <c r="O56" i="71"/>
  <c r="N56" i="71"/>
  <c r="Q55" i="71"/>
  <c r="P55" i="71"/>
  <c r="O55" i="71"/>
  <c r="N55" i="71"/>
  <c r="Q54" i="71"/>
  <c r="P54" i="71"/>
  <c r="O54" i="71"/>
  <c r="N54" i="71"/>
  <c r="B55" i="71" s="1"/>
  <c r="B56" i="71" s="1"/>
  <c r="S56" i="71" s="1"/>
  <c r="Q53" i="71"/>
  <c r="F54" i="71" s="1"/>
  <c r="F55" i="71" s="1"/>
  <c r="F56" i="71" s="1"/>
  <c r="V56" i="71" s="1"/>
  <c r="P53" i="71"/>
  <c r="E54" i="71"/>
  <c r="O53" i="71"/>
  <c r="C54" i="71" s="1"/>
  <c r="N53" i="71"/>
  <c r="B54" i="71" s="1"/>
  <c r="D53" i="71"/>
  <c r="Q52" i="71"/>
  <c r="P52" i="71"/>
  <c r="O52" i="71"/>
  <c r="N52" i="71"/>
  <c r="Q51" i="71"/>
  <c r="P51" i="71"/>
  <c r="O51" i="71"/>
  <c r="N51" i="71"/>
  <c r="Q50" i="71"/>
  <c r="P50" i="71"/>
  <c r="O50" i="71"/>
  <c r="N50" i="71"/>
  <c r="Q49" i="71"/>
  <c r="F50" i="71" s="1"/>
  <c r="P49" i="71"/>
  <c r="E50" i="71" s="1"/>
  <c r="E51" i="71"/>
  <c r="E52" i="71" s="1"/>
  <c r="U52" i="71" s="1"/>
  <c r="O49" i="71"/>
  <c r="C50" i="71"/>
  <c r="C51" i="71" s="1"/>
  <c r="N49" i="71"/>
  <c r="B50" i="71"/>
  <c r="B51" i="71" s="1"/>
  <c r="B52" i="71"/>
  <c r="S52" i="71" s="1"/>
  <c r="D49" i="71"/>
  <c r="T48" i="71"/>
  <c r="Q48" i="71"/>
  <c r="P48" i="71"/>
  <c r="O48" i="71"/>
  <c r="N48" i="71"/>
  <c r="D48" i="71"/>
  <c r="Q47" i="71"/>
  <c r="P47" i="71"/>
  <c r="O47" i="71"/>
  <c r="N47" i="71"/>
  <c r="Q46" i="71"/>
  <c r="P46" i="71"/>
  <c r="O46" i="71"/>
  <c r="N46" i="71"/>
  <c r="V48" i="71"/>
  <c r="Q45" i="71"/>
  <c r="F46" i="71" s="1"/>
  <c r="F47" i="71" s="1"/>
  <c r="F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AA34" i="71" s="1"/>
  <c r="O34" i="71"/>
  <c r="Y34" i="71"/>
  <c r="Z34" i="71" s="1"/>
  <c r="N34" i="71"/>
  <c r="X34" i="71" s="1"/>
  <c r="Q33" i="71"/>
  <c r="F34" i="71" s="1"/>
  <c r="F35" i="71" s="1"/>
  <c r="F36" i="71" s="1"/>
  <c r="V36" i="71" s="1"/>
  <c r="P33" i="71"/>
  <c r="AA31" i="71" s="1"/>
  <c r="O33" i="71"/>
  <c r="N33" i="71"/>
  <c r="D33" i="71"/>
  <c r="Q32" i="71"/>
  <c r="AB32" i="71" s="1"/>
  <c r="P32" i="71"/>
  <c r="O32" i="71"/>
  <c r="Y32" i="71"/>
  <c r="Z32" i="71" s="1"/>
  <c r="N32" i="71"/>
  <c r="Q31" i="71"/>
  <c r="P31" i="71"/>
  <c r="O31" i="71"/>
  <c r="Y31" i="71" s="1"/>
  <c r="Z31" i="71" s="1"/>
  <c r="N31" i="71"/>
  <c r="Q30" i="71"/>
  <c r="AB30" i="71" s="1"/>
  <c r="P30" i="71"/>
  <c r="O30" i="71"/>
  <c r="N30" i="71"/>
  <c r="X30" i="71" s="1"/>
  <c r="F31" i="71"/>
  <c r="F32" i="71" s="1"/>
  <c r="V32" i="71" s="1"/>
  <c r="Q29" i="71"/>
  <c r="F30" i="71" s="1"/>
  <c r="P29" i="71"/>
  <c r="O29" i="71"/>
  <c r="N29" i="71"/>
  <c r="D29" i="71"/>
  <c r="O28" i="71"/>
  <c r="C28" i="71" s="1"/>
  <c r="N28" i="71"/>
  <c r="B30" i="71"/>
  <c r="X29" i="71"/>
  <c r="B34" i="71"/>
  <c r="X33" i="71"/>
  <c r="E38" i="71"/>
  <c r="E39" i="71" s="1"/>
  <c r="E40" i="71" s="1"/>
  <c r="U40" i="71" s="1"/>
  <c r="AA37" i="71"/>
  <c r="AA33" i="71"/>
  <c r="C30" i="71"/>
  <c r="AB29" i="71"/>
  <c r="AA30" i="71"/>
  <c r="C34" i="71"/>
  <c r="C35" i="71"/>
  <c r="X35" i="71"/>
  <c r="X36" i="71"/>
  <c r="C38" i="71"/>
  <c r="D38" i="71" s="1"/>
  <c r="Y37" i="71"/>
  <c r="Z37" i="71"/>
  <c r="X38" i="71"/>
  <c r="F51" i="71"/>
  <c r="F52" i="71" s="1"/>
  <c r="V52" i="71" s="1"/>
  <c r="Y25" i="71"/>
  <c r="Z25" i="71" s="1"/>
  <c r="Y26" i="71"/>
  <c r="Z26" i="71" s="1"/>
  <c r="B28" i="71"/>
  <c r="B27" i="71" s="1"/>
  <c r="B26" i="71"/>
  <c r="C31" i="71"/>
  <c r="D30" i="71"/>
  <c r="D34" i="71"/>
  <c r="C39" i="71"/>
  <c r="C43" i="71"/>
  <c r="C44" i="71" s="1"/>
  <c r="D42" i="71"/>
  <c r="C47" i="71"/>
  <c r="D47" i="71" s="1"/>
  <c r="D46" i="71"/>
  <c r="D50" i="71"/>
  <c r="P28" i="71"/>
  <c r="E55" i="71"/>
  <c r="E56" i="71" s="1"/>
  <c r="U56" i="71" s="1"/>
  <c r="E60" i="71"/>
  <c r="U60" i="71"/>
  <c r="E63" i="71"/>
  <c r="E64" i="71" s="1"/>
  <c r="U64" i="71" s="1"/>
  <c r="Q65" i="71"/>
  <c r="U68" i="71"/>
  <c r="E67" i="71"/>
  <c r="Q28" i="71"/>
  <c r="C55" i="71"/>
  <c r="D54" i="71"/>
  <c r="C59" i="71"/>
  <c r="D58" i="71"/>
  <c r="C63" i="71"/>
  <c r="C64" i="71" s="1"/>
  <c r="D62" i="71"/>
  <c r="Q67" i="71"/>
  <c r="T68" i="71"/>
  <c r="O68" i="71"/>
  <c r="D68" i="71"/>
  <c r="C67" i="71"/>
  <c r="D67" i="71" s="1"/>
  <c r="Q68" i="71"/>
  <c r="C71" i="71"/>
  <c r="E71" i="71"/>
  <c r="E70" i="71"/>
  <c r="D72" i="71"/>
  <c r="C75" i="71"/>
  <c r="E75" i="71"/>
  <c r="E74" i="71"/>
  <c r="D76" i="71"/>
  <c r="C79" i="71"/>
  <c r="E79" i="71"/>
  <c r="E78" i="71"/>
  <c r="D80" i="71"/>
  <c r="C83" i="71"/>
  <c r="C87" i="71"/>
  <c r="T28" i="71"/>
  <c r="C27" i="71"/>
  <c r="C26" i="71" s="1"/>
  <c r="D26" i="71" s="1"/>
  <c r="F28" i="71"/>
  <c r="F27" i="71"/>
  <c r="F26" i="71" s="1"/>
  <c r="AB25" i="71"/>
  <c r="AB26" i="71"/>
  <c r="AB27" i="71"/>
  <c r="AB28" i="71"/>
  <c r="E28" i="71"/>
  <c r="E27" i="71" s="1"/>
  <c r="E26" i="71" s="1"/>
  <c r="AA3" i="71"/>
  <c r="AA25" i="71"/>
  <c r="AA26" i="71"/>
  <c r="AA27" i="71"/>
  <c r="AA28" i="71"/>
  <c r="D28" i="71"/>
  <c r="U28" i="71" s="1"/>
  <c r="C66" i="71"/>
  <c r="O65" i="71" s="1"/>
  <c r="O67" i="71"/>
  <c r="D63" i="71"/>
  <c r="D83" i="71"/>
  <c r="C82" i="71"/>
  <c r="D82" i="71" s="1"/>
  <c r="D75" i="71"/>
  <c r="C74" i="71"/>
  <c r="D74" i="71" s="1"/>
  <c r="D87" i="71"/>
  <c r="C86" i="71"/>
  <c r="D86" i="71" s="1"/>
  <c r="D79" i="71"/>
  <c r="C78" i="71"/>
  <c r="D78" i="71" s="1"/>
  <c r="D71" i="71"/>
  <c r="C70" i="71"/>
  <c r="D70" i="71"/>
  <c r="C60" i="71"/>
  <c r="D59" i="71"/>
  <c r="C56" i="71"/>
  <c r="D56" i="71" s="1"/>
  <c r="D55" i="71"/>
  <c r="P67" i="71"/>
  <c r="E66" i="71"/>
  <c r="C52" i="71"/>
  <c r="T52" i="71" s="1"/>
  <c r="D51" i="71"/>
  <c r="C40" i="71"/>
  <c r="T40" i="71" s="1"/>
  <c r="D39" i="71"/>
  <c r="C36" i="71"/>
  <c r="D35" i="71"/>
  <c r="C32" i="71"/>
  <c r="T32" i="71" s="1"/>
  <c r="D31" i="71"/>
  <c r="D27" i="71"/>
  <c r="V28" i="71"/>
  <c r="P65" i="71"/>
  <c r="P66" i="71"/>
  <c r="O66" i="71"/>
  <c r="D66" i="71"/>
  <c r="D32" i="71"/>
  <c r="T36" i="71"/>
  <c r="D36" i="71"/>
  <c r="D40"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c r="H19" i="21"/>
  <c r="D83" i="21"/>
  <c r="F21" i="21"/>
  <c r="AA21" i="21"/>
  <c r="D81" i="21"/>
  <c r="G20" i="20"/>
  <c r="B88" i="43"/>
  <c r="C22" i="20"/>
  <c r="B100" i="43" s="1"/>
  <c r="B68" i="43"/>
  <c r="C25" i="40"/>
  <c r="S25" i="40"/>
  <c r="S18" i="36"/>
  <c r="U18" i="36"/>
  <c r="H25" i="40"/>
  <c r="J25" i="40"/>
  <c r="H29" i="39"/>
  <c r="AB29" i="39" s="1"/>
  <c r="J29" i="39"/>
  <c r="AC29" i="39" s="1"/>
  <c r="J18" i="36"/>
  <c r="F68" i="35"/>
  <c r="H18" i="35"/>
  <c r="U18" i="35" s="1"/>
  <c r="S18" i="35"/>
  <c r="G68" i="35"/>
  <c r="J18" i="35"/>
  <c r="H21" i="37"/>
  <c r="U21" i="37" s="1"/>
  <c r="F21" i="37"/>
  <c r="F84" i="34"/>
  <c r="H21" i="34"/>
  <c r="AB21" i="34" s="1"/>
  <c r="H21" i="33"/>
  <c r="U21" i="33" s="1"/>
  <c r="F21" i="33"/>
  <c r="S21" i="33" s="1"/>
  <c r="E83" i="21"/>
  <c r="S21" i="21"/>
  <c r="H1" i="69"/>
  <c r="AC25" i="40"/>
  <c r="W25" i="40"/>
  <c r="AB25" i="40"/>
  <c r="U25" i="40"/>
  <c r="U29" i="39"/>
  <c r="AC18" i="36"/>
  <c r="W18" i="36"/>
  <c r="AB21" i="37"/>
  <c r="AA21" i="37"/>
  <c r="S21" i="37"/>
  <c r="AB18" i="35"/>
  <c r="AC18" i="35"/>
  <c r="W18" i="35"/>
  <c r="J21" i="37"/>
  <c r="G84" i="34"/>
  <c r="J21" i="34"/>
  <c r="J21" i="33"/>
  <c r="W21" i="33" s="1"/>
  <c r="F83" i="21"/>
  <c r="G83" i="21" s="1"/>
  <c r="H21" i="21"/>
  <c r="AB21" i="21" s="1"/>
  <c r="F38" i="69"/>
  <c r="E37" i="69"/>
  <c r="F36" i="69"/>
  <c r="F35" i="69"/>
  <c r="F21" i="69"/>
  <c r="F40" i="69" s="1"/>
  <c r="F20" i="69"/>
  <c r="F39" i="69" s="1"/>
  <c r="E10" i="69"/>
  <c r="E9" i="69"/>
  <c r="AC21" i="37"/>
  <c r="W21" i="37"/>
  <c r="AC21" i="34"/>
  <c r="W21" i="34"/>
  <c r="AC21" i="33"/>
  <c r="U21" i="21"/>
  <c r="J21" i="21"/>
  <c r="W21" i="21" s="1"/>
  <c r="F38" i="68"/>
  <c r="E37" i="68"/>
  <c r="F36" i="68"/>
  <c r="F35" i="68"/>
  <c r="F21" i="68"/>
  <c r="F40" i="68" s="1"/>
  <c r="C21" i="68"/>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83" s="1"/>
  <c r="E15" i="4"/>
  <c r="F8" i="1" s="1"/>
  <c r="G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A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F12" i="35" s="1"/>
  <c r="S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J42" i="33" s="1"/>
  <c r="W42"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s="1"/>
  <c r="F15"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J39" i="33"/>
  <c r="AC39" i="33"/>
  <c r="Q38" i="33"/>
  <c r="Z38" i="33"/>
  <c r="J38" i="33"/>
  <c r="AC38" i="33" s="1"/>
  <c r="H38" i="33"/>
  <c r="AB38" i="33" s="1"/>
  <c r="F38" i="33"/>
  <c r="S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s="1"/>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c r="J12" i="21"/>
  <c r="AC12" i="21" s="1"/>
  <c r="H12" i="21"/>
  <c r="AB12" i="21" s="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s="1"/>
  <c r="F26" i="33"/>
  <c r="AA26" i="33" s="1"/>
  <c r="U33" i="33"/>
  <c r="U35" i="33"/>
  <c r="S40" i="33"/>
  <c r="W39" i="33"/>
  <c r="H39" i="37"/>
  <c r="AB39" i="37" s="1"/>
  <c r="S27" i="35"/>
  <c r="F11" i="40"/>
  <c r="AA11" i="40"/>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113" i="33" s="1"/>
  <c r="G113" i="33" s="1"/>
  <c r="H113" i="33" s="1"/>
  <c r="I113" i="33" s="1"/>
  <c r="J113" i="33" s="1"/>
  <c r="K113" i="33" s="1"/>
  <c r="L113" i="33" s="1"/>
  <c r="M113"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S15" i="34"/>
  <c r="S41" i="33"/>
  <c r="H37" i="33"/>
  <c r="AB37" i="33"/>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c r="H14" i="21"/>
  <c r="U14" i="21" s="1"/>
  <c r="H28" i="21"/>
  <c r="AB28" i="21"/>
  <c r="F28" i="21"/>
  <c r="AA28" i="21" s="1"/>
  <c r="J28" i="21"/>
  <c r="W28" i="21"/>
  <c r="H30" i="21"/>
  <c r="F30" i="21"/>
  <c r="S30" i="21" s="1"/>
  <c r="J30" i="21"/>
  <c r="AC30" i="21" s="1"/>
  <c r="J44" i="21"/>
  <c r="AC44" i="21"/>
  <c r="H44" i="21"/>
  <c r="U44" i="21" s="1"/>
  <c r="F44" i="21"/>
  <c r="AA44" i="21"/>
  <c r="H46" i="21"/>
  <c r="U46" i="21" s="1"/>
  <c r="J46" i="21"/>
  <c r="W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c r="H29" i="21"/>
  <c r="U29" i="21" s="1"/>
  <c r="J31" i="21"/>
  <c r="AC31" i="21" s="1"/>
  <c r="F31" i="21"/>
  <c r="S31" i="21" s="1"/>
  <c r="F45" i="21"/>
  <c r="AA45" i="21" s="1"/>
  <c r="F27" i="33"/>
  <c r="AA27" i="33" s="1"/>
  <c r="J13" i="33"/>
  <c r="H13" i="33"/>
  <c r="U13" i="33" s="1"/>
  <c r="F13" i="33"/>
  <c r="S13" i="33"/>
  <c r="J29" i="33"/>
  <c r="AC29" i="33"/>
  <c r="H29" i="33"/>
  <c r="U29" i="33" s="1"/>
  <c r="F29" i="33"/>
  <c r="S29" i="33"/>
  <c r="J31" i="33"/>
  <c r="W31" i="33" s="1"/>
  <c r="H31" i="33"/>
  <c r="F31" i="33"/>
  <c r="H45" i="33"/>
  <c r="U45" i="33" s="1"/>
  <c r="J45" i="33"/>
  <c r="W45" i="33"/>
  <c r="F45" i="33"/>
  <c r="AA45" i="33" s="1"/>
  <c r="J14" i="34"/>
  <c r="W14" i="34"/>
  <c r="F14" i="34"/>
  <c r="AA14" i="34" s="1"/>
  <c r="H14" i="34"/>
  <c r="H30" i="34"/>
  <c r="F30" i="34"/>
  <c r="S30" i="34" s="1"/>
  <c r="J30" i="34"/>
  <c r="W30" i="34"/>
  <c r="H32" i="34"/>
  <c r="F32" i="34"/>
  <c r="J32" i="34"/>
  <c r="W32" i="34"/>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c r="F107" i="37"/>
  <c r="J37" i="37"/>
  <c r="AC37" i="37"/>
  <c r="H37" i="37"/>
  <c r="U37" i="37"/>
  <c r="H40" i="37"/>
  <c r="U40" i="37"/>
  <c r="J40" i="37"/>
  <c r="AC40" i="37"/>
  <c r="F40" i="37"/>
  <c r="AA40" i="37"/>
  <c r="AC12" i="40"/>
  <c r="W12" i="40"/>
  <c r="H14" i="33"/>
  <c r="U14" i="33"/>
  <c r="F14" i="33"/>
  <c r="AA14" i="33" s="1"/>
  <c r="S14" i="33"/>
  <c r="J14" i="33"/>
  <c r="H30" i="33"/>
  <c r="AB30" i="33"/>
  <c r="F30" i="33"/>
  <c r="J30" i="33"/>
  <c r="H44" i="33"/>
  <c r="J44" i="33"/>
  <c r="AC44" i="33"/>
  <c r="F44" i="33"/>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c r="J13" i="40"/>
  <c r="W13" i="40" s="1"/>
  <c r="F13" i="40"/>
  <c r="AA13" i="40" s="1"/>
  <c r="F14" i="37"/>
  <c r="S14" i="37" s="1"/>
  <c r="F27" i="37"/>
  <c r="AA27" i="37" s="1"/>
  <c r="F13" i="39"/>
  <c r="J13" i="39"/>
  <c r="W13" i="39" s="1"/>
  <c r="H13" i="39"/>
  <c r="H14" i="40"/>
  <c r="AB14" i="40" s="1"/>
  <c r="J14" i="40"/>
  <c r="W14" i="40"/>
  <c r="F14" i="40"/>
  <c r="AA14" i="40" s="1"/>
  <c r="J14" i="37"/>
  <c r="AC14" i="37"/>
  <c r="J27" i="37"/>
  <c r="AC27" i="37" s="1"/>
  <c r="AA44" i="33"/>
  <c r="AA13" i="35"/>
  <c r="U31" i="34"/>
  <c r="J36" i="37"/>
  <c r="AC36" i="37"/>
  <c r="G105" i="37"/>
  <c r="J10" i="36"/>
  <c r="AC10" i="36" s="1"/>
  <c r="AA14" i="37"/>
  <c r="W31" i="34"/>
  <c r="AC13" i="36"/>
  <c r="W13" i="36"/>
  <c r="S11" i="36"/>
  <c r="AB46" i="34"/>
  <c r="AC30" i="34"/>
  <c r="S45" i="33"/>
  <c r="AB45" i="33"/>
  <c r="AB31" i="33"/>
  <c r="U31" i="33"/>
  <c r="W29" i="33"/>
  <c r="AC28" i="21"/>
  <c r="S44" i="34"/>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AZ572" i="3" s="1"/>
  <c r="BL568" i="3"/>
  <c r="BL564" i="3"/>
  <c r="BL560" i="3"/>
  <c r="AZ560" i="3" s="1"/>
  <c r="BL554" i="3"/>
  <c r="AZ554" i="3" s="1"/>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s="1"/>
  <c r="BA576" i="3"/>
  <c r="BA574" i="3"/>
  <c r="AZ574" i="3" s="1"/>
  <c r="BA572" i="3"/>
  <c r="BA570" i="3"/>
  <c r="AZ570" i="3" s="1"/>
  <c r="BA568" i="3"/>
  <c r="AZ568" i="3"/>
  <c r="BA566" i="3"/>
  <c r="AZ566" i="3" s="1"/>
  <c r="BA564" i="3"/>
  <c r="AZ564" i="3"/>
  <c r="BA562" i="3"/>
  <c r="AZ562" i="3" s="1"/>
  <c r="BA560" i="3"/>
  <c r="BA558" i="3"/>
  <c r="AZ558" i="3"/>
  <c r="BA556" i="3"/>
  <c r="AZ556" i="3" s="1"/>
  <c r="BA554" i="3"/>
  <c r="BA552" i="3"/>
  <c r="AZ552" i="3" s="1"/>
  <c r="BA548" i="3"/>
  <c r="AZ548" i="3" s="1"/>
  <c r="BA546" i="3"/>
  <c r="BA544" i="3"/>
  <c r="AZ544" i="3" s="1"/>
  <c r="BA542" i="3"/>
  <c r="AZ542" i="3" s="1"/>
  <c r="BA540" i="3"/>
  <c r="BA538" i="3"/>
  <c r="AZ538" i="3"/>
  <c r="BA536" i="3"/>
  <c r="AZ536" i="3" s="1"/>
  <c r="BA534" i="3"/>
  <c r="AZ534" i="3" s="1"/>
  <c r="BA532" i="3"/>
  <c r="AZ532" i="3" s="1"/>
  <c r="BA530" i="3"/>
  <c r="BA528" i="3"/>
  <c r="AZ528" i="3" s="1"/>
  <c r="BA526" i="3"/>
  <c r="AZ526" i="3"/>
  <c r="BA524" i="3"/>
  <c r="AZ524" i="3" s="1"/>
  <c r="BA522" i="3"/>
  <c r="BA520" i="3"/>
  <c r="AZ520" i="3" s="1"/>
  <c r="BA518" i="3"/>
  <c r="AZ518" i="3" s="1"/>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AZ573" i="3" s="1"/>
  <c r="BA571" i="3"/>
  <c r="BA569" i="3"/>
  <c r="BA567" i="3"/>
  <c r="BA565" i="3"/>
  <c r="BA563" i="3"/>
  <c r="BA561" i="3"/>
  <c r="BA559" i="3"/>
  <c r="BA555" i="3"/>
  <c r="BA553" i="3"/>
  <c r="AZ553" i="3" s="1"/>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AZ575" i="3" s="1"/>
  <c r="BQ573" i="3"/>
  <c r="BL573" i="3"/>
  <c r="BQ571" i="3"/>
  <c r="BL571" i="3" s="1"/>
  <c r="AZ571" i="3"/>
  <c r="BQ569" i="3"/>
  <c r="BL569" i="3" s="1"/>
  <c r="BQ567" i="3"/>
  <c r="BL567" i="3"/>
  <c r="AZ567" i="3" s="1"/>
  <c r="BQ565" i="3"/>
  <c r="BL565" i="3"/>
  <c r="AZ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s="1"/>
  <c r="BQ549" i="3"/>
  <c r="BQ547" i="3"/>
  <c r="BL547" i="3" s="1"/>
  <c r="AZ547" i="3" s="1"/>
  <c r="BQ545" i="3"/>
  <c r="BL545" i="3" s="1"/>
  <c r="BQ543" i="3"/>
  <c r="BL543" i="3"/>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s="1"/>
  <c r="BQ525" i="3"/>
  <c r="BL525" i="3" s="1"/>
  <c r="AZ525" i="3" s="1"/>
  <c r="BQ523" i="3"/>
  <c r="BL523" i="3" s="1"/>
  <c r="AZ523" i="3" s="1"/>
  <c r="BA521" i="3"/>
  <c r="AC521" i="3"/>
  <c r="G521" i="3" s="1"/>
  <c r="BQ521" i="3"/>
  <c r="BL521" i="3"/>
  <c r="AZ521" i="3" s="1"/>
  <c r="BL520" i="3"/>
  <c r="G519" i="3"/>
  <c r="G517" i="3"/>
  <c r="G515" i="3"/>
  <c r="G513" i="3"/>
  <c r="G511" i="3"/>
  <c r="BQ519" i="3"/>
  <c r="BL519" i="3" s="1"/>
  <c r="BQ517" i="3"/>
  <c r="BL517" i="3"/>
  <c r="AZ517" i="3" s="1"/>
  <c r="BQ515" i="3"/>
  <c r="BL515" i="3" s="1"/>
  <c r="AZ515" i="3" s="1"/>
  <c r="BQ513" i="3"/>
  <c r="BL513" i="3" s="1"/>
  <c r="AZ513" i="3" s="1"/>
  <c r="BQ511" i="3"/>
  <c r="BL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S42" i="33" s="1"/>
  <c r="H28" i="34"/>
  <c r="AB28" i="34" s="1"/>
  <c r="F14" i="36"/>
  <c r="AA14" i="36"/>
  <c r="F22" i="36"/>
  <c r="S22" i="36" s="1"/>
  <c r="F26" i="36"/>
  <c r="S26" i="36"/>
  <c r="H27" i="34"/>
  <c r="AB27" i="34" s="1"/>
  <c r="H35" i="34"/>
  <c r="U35" i="34"/>
  <c r="F41" i="34"/>
  <c r="S41" i="34" s="1"/>
  <c r="H41" i="34"/>
  <c r="U41" i="34"/>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c r="H94" i="37"/>
  <c r="I94" i="37" s="1"/>
  <c r="J94" i="37" s="1"/>
  <c r="K94" i="37" s="1"/>
  <c r="L94" i="37" s="1"/>
  <c r="M94" i="37" s="1"/>
  <c r="H31" i="37"/>
  <c r="U31" i="37"/>
  <c r="F71" i="37"/>
  <c r="G71" i="37" s="1"/>
  <c r="J15" i="37"/>
  <c r="W15" i="37"/>
  <c r="AT6" i="3"/>
  <c r="H5" i="3"/>
  <c r="AA25" i="21"/>
  <c r="H19" i="40"/>
  <c r="U19" i="40"/>
  <c r="F88" i="40"/>
  <c r="G88" i="40" s="1"/>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AZ124" i="3" s="1"/>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c r="G149" i="3"/>
  <c r="BA151" i="3"/>
  <c r="AZ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AZ171" i="3" s="1"/>
  <c r="BL172" i="3"/>
  <c r="AZ172" i="3"/>
  <c r="G173" i="3"/>
  <c r="BA175" i="3"/>
  <c r="AZ175" i="3" s="1"/>
  <c r="BL176" i="3"/>
  <c r="AZ176" i="3" s="1"/>
  <c r="G177" i="3"/>
  <c r="BA179" i="3"/>
  <c r="BL180" i="3"/>
  <c r="AZ180" i="3"/>
  <c r="G181" i="3"/>
  <c r="BA183" i="3"/>
  <c r="AZ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1" i="3"/>
  <c r="AZ55" i="3"/>
  <c r="AZ59" i="3"/>
  <c r="AZ63" i="3"/>
  <c r="AZ67" i="3"/>
  <c r="AZ71" i="3"/>
  <c r="AZ75" i="3"/>
  <c r="AZ79" i="3"/>
  <c r="AZ136" i="3"/>
  <c r="AZ160" i="3"/>
  <c r="AZ168" i="3"/>
  <c r="AZ192" i="3"/>
  <c r="AZ200" i="3"/>
  <c r="AZ89" i="3"/>
  <c r="AZ97" i="3"/>
  <c r="AZ105"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AZ346" i="3" s="1"/>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90" i="3"/>
  <c r="AZ194" i="3"/>
  <c r="AZ198" i="3"/>
  <c r="AZ202" i="3"/>
  <c r="AZ206" i="3"/>
  <c r="AZ500"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09" i="3"/>
  <c r="AZ214" i="3"/>
  <c r="AZ218" i="3"/>
  <c r="AZ222"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60" i="3"/>
  <c r="AZ364" i="3"/>
  <c r="AZ368" i="3"/>
  <c r="BA15" i="3"/>
  <c r="AZ15" i="3"/>
  <c r="BB5" i="3"/>
  <c r="BR5" i="3"/>
  <c r="AZ384" i="3"/>
  <c r="AZ388" i="3"/>
  <c r="AZ392" i="3"/>
  <c r="AZ396" i="3"/>
  <c r="AZ394" i="3"/>
  <c r="AZ499" i="3"/>
  <c r="G509" i="3"/>
  <c r="BL493" i="3"/>
  <c r="AZ491" i="3"/>
  <c r="AZ382" i="3"/>
  <c r="AZ493"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s="1"/>
  <c r="AC17" i="34"/>
  <c r="J34" i="33"/>
  <c r="W34" i="33" s="1"/>
  <c r="F33" i="34"/>
  <c r="S33" i="34" s="1"/>
  <c r="W12" i="36"/>
  <c r="AC12" i="36"/>
  <c r="H20" i="36"/>
  <c r="U20" i="36" s="1"/>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c r="F96"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s="1"/>
  <c r="H34" i="33"/>
  <c r="U34" i="33" s="1"/>
  <c r="F35" i="33"/>
  <c r="S35" i="33"/>
  <c r="F39" i="34"/>
  <c r="S39" i="34" s="1"/>
  <c r="J39" i="34"/>
  <c r="W39" i="34"/>
  <c r="F40" i="34"/>
  <c r="S40" i="34" s="1"/>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102" i="3"/>
  <c r="AZ110"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U30" i="33"/>
  <c r="AC13" i="34"/>
  <c r="AA47" i="34"/>
  <c r="W28" i="37"/>
  <c r="S19" i="39"/>
  <c r="F12" i="33"/>
  <c r="AA12" i="33" s="1"/>
  <c r="H12" i="39"/>
  <c r="AB12" i="39"/>
  <c r="F39" i="40"/>
  <c r="AA39" i="40" s="1"/>
  <c r="BA14" i="3"/>
  <c r="AZ14" i="3" s="1"/>
  <c r="AZ367" i="3"/>
  <c r="AZ213" i="3"/>
  <c r="AZ224" i="3"/>
  <c r="AZ234" i="3"/>
  <c r="AZ238" i="3"/>
  <c r="AZ250" i="3"/>
  <c r="AZ254" i="3"/>
  <c r="AZ281" i="3"/>
  <c r="AZ286" i="3"/>
  <c r="AZ297" i="3"/>
  <c r="AZ149" i="3"/>
  <c r="AZ157" i="3"/>
  <c r="AZ165" i="3"/>
  <c r="AZ173" i="3"/>
  <c r="AZ189" i="3"/>
  <c r="AZ197" i="3"/>
  <c r="AZ19" i="3"/>
  <c r="AZ26" i="3"/>
  <c r="AZ35" i="3"/>
  <c r="AZ41" i="3"/>
  <c r="B12" i="1"/>
  <c r="E12" i="1" s="1"/>
  <c r="B10" i="1"/>
  <c r="E10" i="1" s="1"/>
  <c r="AZ88" i="3"/>
  <c r="AZ107" i="3"/>
  <c r="K12" i="1"/>
  <c r="M12" i="1" s="1"/>
  <c r="S13" i="1"/>
  <c r="AR13" i="1" s="1"/>
  <c r="R13" i="1"/>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S46" i="33"/>
  <c r="W43" i="33"/>
  <c r="H27" i="33"/>
  <c r="AB27" i="33" s="1"/>
  <c r="H25" i="33"/>
  <c r="U25" i="33" s="1"/>
  <c r="F25" i="33"/>
  <c r="AA25" i="33" s="1"/>
  <c r="J23" i="33"/>
  <c r="AC23" i="33" s="1"/>
  <c r="H23" i="33"/>
  <c r="U23" i="33" s="1"/>
  <c r="F19" i="33"/>
  <c r="S1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44" i="33"/>
  <c r="AB44" i="33"/>
  <c r="S30" i="33"/>
  <c r="AA30" i="33"/>
  <c r="AC14" i="33"/>
  <c r="W14" i="33"/>
  <c r="AC30" i="33"/>
  <c r="W30" i="33"/>
  <c r="S31" i="33"/>
  <c r="AA31" i="33"/>
  <c r="W13" i="33"/>
  <c r="AC13" i="33"/>
  <c r="U37"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c r="J17" i="21"/>
  <c r="AC17" i="21" s="1"/>
  <c r="AC19" i="21"/>
  <c r="W39" i="21"/>
  <c r="AC14" i="21"/>
  <c r="W30" i="21"/>
  <c r="S46" i="21"/>
  <c r="H45" i="21"/>
  <c r="U45" i="21" s="1"/>
  <c r="F29" i="21"/>
  <c r="S29" i="2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S39" i="40"/>
  <c r="S12" i="33"/>
  <c r="J32" i="39"/>
  <c r="W32" i="39" s="1"/>
  <c r="H32" i="39"/>
  <c r="AB32" i="39" s="1"/>
  <c r="AA32" i="39"/>
  <c r="S32" i="39"/>
  <c r="AB21" i="39"/>
  <c r="AA21" i="39"/>
  <c r="S21" i="39"/>
  <c r="AC17" i="37"/>
  <c r="S17" i="37"/>
  <c r="J19" i="37"/>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B41" i="33"/>
  <c r="U41" i="33"/>
  <c r="J25" i="33"/>
  <c r="W25" i="33" s="1"/>
  <c r="F23" i="33"/>
  <c r="AA23" i="33" s="1"/>
  <c r="H19" i="33"/>
  <c r="AB19" i="33" s="1"/>
  <c r="H17" i="33"/>
  <c r="U17" i="33" s="1"/>
  <c r="F17" i="33"/>
  <c r="S17" i="33" s="1"/>
  <c r="S37" i="21"/>
  <c r="AB15" i="21"/>
  <c r="J23" i="21"/>
  <c r="W23" i="21" s="1"/>
  <c r="F85" i="21"/>
  <c r="G85" i="21" s="1"/>
  <c r="H23" i="21"/>
  <c r="AB23" i="21" s="1"/>
  <c r="S13" i="21"/>
  <c r="D6" i="52"/>
  <c r="AP7" i="1"/>
  <c r="AB9" i="21"/>
  <c r="U9" i="21"/>
  <c r="S32" i="21"/>
  <c r="W9" i="21"/>
  <c r="AC9" i="21"/>
  <c r="U32" i="21"/>
  <c r="U32" i="39"/>
  <c r="AC32" i="39"/>
  <c r="W19" i="37"/>
  <c r="AC19" i="37"/>
  <c r="H63" i="37"/>
  <c r="I63" i="37"/>
  <c r="J63" i="37" s="1"/>
  <c r="K63" i="37" s="1"/>
  <c r="L63" i="37" s="1"/>
  <c r="M63" i="37" s="1"/>
  <c r="J11" i="37"/>
  <c r="AC11" i="37" s="1"/>
  <c r="J11" i="34"/>
  <c r="W11" i="34" s="1"/>
  <c r="U23" i="21"/>
  <c r="H109" i="9"/>
  <c r="D16" i="53" s="1"/>
  <c r="B34" i="72" s="1"/>
  <c r="AD3" i="71"/>
  <c r="H69"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V20" i="71"/>
  <c r="C20" i="71"/>
  <c r="C19" i="71" s="1"/>
  <c r="C18" i="71" s="1"/>
  <c r="C17" i="71" s="1"/>
  <c r="T20" i="71"/>
  <c r="D19" i="71"/>
  <c r="M24" i="15"/>
  <c r="F38" i="67"/>
  <c r="E9" i="76"/>
  <c r="E7" i="76"/>
  <c r="F7" i="73"/>
  <c r="F16" i="67"/>
  <c r="E12" i="76"/>
  <c r="D34" i="9"/>
  <c r="L47" i="67"/>
  <c r="E8" i="76"/>
  <c r="M29" i="67"/>
  <c r="M22" i="67"/>
  <c r="F8" i="15"/>
  <c r="E11" i="76"/>
  <c r="M8" i="67"/>
  <c r="J15" i="67"/>
  <c r="F3" i="73"/>
  <c r="B7" i="76"/>
  <c r="F36" i="67"/>
  <c r="F6" i="73"/>
  <c r="C76" i="67"/>
  <c r="M28" i="15"/>
  <c r="F7" i="67"/>
  <c r="F40" i="67"/>
  <c r="B8" i="76"/>
  <c r="B9" i="76"/>
  <c r="M29" i="15"/>
  <c r="M24" i="67"/>
  <c r="F8" i="67"/>
  <c r="M28" i="67"/>
  <c r="F20" i="31"/>
  <c r="M23" i="67"/>
  <c r="L47" i="15"/>
  <c r="M9" i="15"/>
  <c r="B11" i="76"/>
  <c r="E2" i="69"/>
  <c r="F5" i="73"/>
  <c r="B10" i="76"/>
  <c r="C76" i="15"/>
  <c r="F13" i="67"/>
  <c r="M9" i="67"/>
  <c r="D35" i="9"/>
  <c r="F26" i="15"/>
  <c r="F16" i="15"/>
  <c r="E10" i="76"/>
  <c r="E13" i="76"/>
  <c r="M26" i="67"/>
  <c r="B12" i="76"/>
  <c r="E2" i="68"/>
  <c r="F4" i="73"/>
  <c r="F42" i="67"/>
  <c r="F37" i="67"/>
  <c r="F26" i="67"/>
  <c r="F43" i="67"/>
  <c r="B13" i="76"/>
  <c r="F38" i="15"/>
  <c r="M23" i="15"/>
  <c r="F37" i="15"/>
  <c r="F9" i="67"/>
  <c r="F13" i="15"/>
  <c r="AO13" i="1"/>
  <c r="AZ507" i="3" l="1"/>
  <c r="AZ511" i="3"/>
  <c r="AZ519" i="3"/>
  <c r="AZ545" i="3"/>
  <c r="AC35" i="33"/>
  <c r="U46" i="33"/>
  <c r="D18" i="71"/>
  <c r="E15" i="71"/>
  <c r="E14" i="71" s="1"/>
  <c r="E13" i="71" s="1"/>
  <c r="E12" i="71" s="1"/>
  <c r="V16" i="71"/>
  <c r="AC23" i="21"/>
  <c r="AB45" i="21"/>
  <c r="D20" i="71"/>
  <c r="U20" i="71" s="1"/>
  <c r="AC23" i="37"/>
  <c r="AA23" i="21"/>
  <c r="W17" i="21"/>
  <c r="AC15" i="21"/>
  <c r="F48" i="9"/>
  <c r="O52" i="9" s="1"/>
  <c r="D68" i="80"/>
  <c r="F53" i="80"/>
  <c r="F52" i="80"/>
  <c r="F54" i="80"/>
  <c r="F48" i="80"/>
  <c r="O52" i="80" s="1"/>
  <c r="AA41" i="34"/>
  <c r="AZ569" i="3"/>
  <c r="AZ577" i="3"/>
  <c r="AZ583" i="3"/>
  <c r="AZ540" i="3"/>
  <c r="C16" i="71"/>
  <c r="D17" i="71"/>
  <c r="AC12" i="37"/>
  <c r="AC9" i="34"/>
  <c r="W9" i="34"/>
  <c r="W11" i="35"/>
  <c r="AC11" i="35"/>
  <c r="S14" i="34"/>
  <c r="U30" i="21"/>
  <c r="AB30" i="21"/>
  <c r="W12" i="34"/>
  <c r="AC12" i="34"/>
  <c r="AB17" i="34"/>
  <c r="B79" i="43"/>
  <c r="B75" i="43"/>
  <c r="J9" i="33"/>
  <c r="F9" i="34"/>
  <c r="AA9" i="34" s="1"/>
  <c r="J9" i="36"/>
  <c r="H23" i="36"/>
  <c r="J23" i="36"/>
  <c r="F23" i="36"/>
  <c r="G574" i="3"/>
  <c r="AZ399" i="3"/>
  <c r="B73" i="43"/>
  <c r="B76" i="43"/>
  <c r="AZ398" i="3"/>
  <c r="AZ402" i="3"/>
  <c r="AZ406" i="3"/>
  <c r="AZ407" i="3"/>
  <c r="AZ427" i="3"/>
  <c r="AZ430" i="3"/>
  <c r="AZ432" i="3"/>
  <c r="AZ440" i="3"/>
  <c r="AZ445" i="3"/>
  <c r="AZ447" i="3"/>
  <c r="AZ449" i="3"/>
  <c r="AZ451" i="3"/>
  <c r="AZ452" i="3"/>
  <c r="AZ456" i="3"/>
  <c r="AZ484" i="3"/>
  <c r="AZ486" i="3"/>
  <c r="AZ488" i="3"/>
  <c r="AZ260" i="3"/>
  <c r="AZ416" i="3"/>
  <c r="AZ421" i="3"/>
  <c r="AZ423" i="3"/>
  <c r="AZ425" i="3"/>
  <c r="AZ431" i="3"/>
  <c r="AZ438" i="3"/>
  <c r="AZ443" i="3"/>
  <c r="AZ444" i="3"/>
  <c r="AZ448" i="3"/>
  <c r="AZ462" i="3"/>
  <c r="AZ463" i="3"/>
  <c r="AZ471" i="3"/>
  <c r="AZ480" i="3"/>
  <c r="AZ482" i="3"/>
  <c r="AZ485" i="3"/>
  <c r="AZ489" i="3"/>
  <c r="AZ332" i="3"/>
  <c r="AZ217" i="3"/>
  <c r="AZ219" i="3"/>
  <c r="AZ247" i="3"/>
  <c r="G13" i="3"/>
  <c r="U6" i="1"/>
  <c r="D33" i="43"/>
  <c r="B14" i="74"/>
  <c r="D3" i="83"/>
  <c r="D78" i="9"/>
  <c r="D78" i="80"/>
  <c r="D93" i="80"/>
  <c r="A15" i="62"/>
  <c r="B61" i="72" s="1"/>
  <c r="BL410" i="3"/>
  <c r="AZ410" i="3" s="1"/>
  <c r="AZ414" i="3"/>
  <c r="AZ419" i="3"/>
  <c r="AZ420" i="3"/>
  <c r="AZ424" i="3"/>
  <c r="AZ469" i="3"/>
  <c r="AZ470" i="3"/>
  <c r="AZ481" i="3"/>
  <c r="AZ395" i="3"/>
  <c r="AZ216" i="3"/>
  <c r="AZ262" i="3"/>
  <c r="G406" i="3"/>
  <c r="AZ231" i="3"/>
  <c r="AZ285" i="3"/>
  <c r="AZ270" i="3"/>
  <c r="AZ274" i="3"/>
  <c r="AZ282" i="3"/>
  <c r="AZ129" i="3"/>
  <c r="AZ141" i="3"/>
  <c r="AZ161" i="3"/>
  <c r="BL264" i="3"/>
  <c r="AZ264" i="3" s="1"/>
  <c r="G265" i="3"/>
  <c r="BA269" i="3"/>
  <c r="AZ269" i="3" s="1"/>
  <c r="BA271" i="3"/>
  <c r="AZ271" i="3" s="1"/>
  <c r="AZ293" i="3"/>
  <c r="AZ301" i="3"/>
  <c r="AZ121" i="3"/>
  <c r="AZ134" i="3"/>
  <c r="AZ169" i="3"/>
  <c r="BL266" i="3"/>
  <c r="AZ266" i="3" s="1"/>
  <c r="G267" i="3"/>
  <c r="BA272" i="3"/>
  <c r="AZ272" i="3" s="1"/>
  <c r="AZ290" i="3"/>
  <c r="AZ292" i="3"/>
  <c r="AZ298" i="3"/>
  <c r="AZ300" i="3"/>
  <c r="AZ118" i="3"/>
  <c r="AZ122" i="3"/>
  <c r="AZ137" i="3"/>
  <c r="AZ145" i="3"/>
  <c r="AZ153" i="3"/>
  <c r="BL179" i="3"/>
  <c r="AZ179" i="3" s="1"/>
  <c r="AZ62" i="3"/>
  <c r="BL181" i="3"/>
  <c r="AZ181" i="3" s="1"/>
  <c r="AZ70" i="3"/>
  <c r="BL182" i="3"/>
  <c r="AZ182" i="3" s="1"/>
  <c r="BL186" i="3"/>
  <c r="AZ186" i="3" s="1"/>
  <c r="AZ207" i="3"/>
  <c r="AZ23" i="3"/>
  <c r="AZ40" i="3"/>
  <c r="AZ56" i="3"/>
  <c r="AZ57" i="3"/>
  <c r="AZ73" i="3"/>
  <c r="AZ78" i="3"/>
  <c r="AZ36" i="3"/>
  <c r="AZ38" i="3"/>
  <c r="AZ54" i="3"/>
  <c r="AZ65" i="3"/>
  <c r="BL84" i="3"/>
  <c r="AZ84" i="3" s="1"/>
  <c r="BL90" i="3"/>
  <c r="BL94" i="3"/>
  <c r="AZ94" i="3" s="1"/>
  <c r="BA98" i="3"/>
  <c r="AZ98" i="3" s="1"/>
  <c r="BA101" i="3"/>
  <c r="AZ101" i="3" s="1"/>
  <c r="AZ103" i="3"/>
  <c r="BL106" i="3"/>
  <c r="BA111" i="3"/>
  <c r="AZ111" i="3" s="1"/>
  <c r="D44" i="71"/>
  <c r="T44" i="71"/>
  <c r="BA80" i="3"/>
  <c r="AZ80" i="3" s="1"/>
  <c r="BL81" i="3"/>
  <c r="AZ81" i="3" s="1"/>
  <c r="BL85" i="3"/>
  <c r="AZ85" i="3" s="1"/>
  <c r="AZ90" i="3"/>
  <c r="BA109" i="3"/>
  <c r="AZ109" i="3" s="1"/>
  <c r="D64" i="71"/>
  <c r="T64" i="71"/>
  <c r="BL83" i="3"/>
  <c r="AZ83" i="3" s="1"/>
  <c r="BA91" i="3"/>
  <c r="AZ91" i="3" s="1"/>
  <c r="BL93" i="3"/>
  <c r="AZ93" i="3" s="1"/>
  <c r="AZ96" i="3"/>
  <c r="BA104" i="3"/>
  <c r="AZ104" i="3" s="1"/>
  <c r="AZ106" i="3"/>
  <c r="D51" i="43"/>
  <c r="D56" i="43"/>
  <c r="U21" i="34"/>
  <c r="W29" i="39"/>
  <c r="B57" i="43"/>
  <c r="X32" i="71"/>
  <c r="X31" i="71"/>
  <c r="AB34" i="71"/>
  <c r="AB33" i="71"/>
  <c r="X9" i="71"/>
  <c r="X10" i="71"/>
  <c r="X39" i="71"/>
  <c r="X24" i="71"/>
  <c r="AA22" i="71"/>
  <c r="X21" i="71"/>
  <c r="X18" i="71"/>
  <c r="X17" i="71"/>
  <c r="AA17" i="71"/>
  <c r="Y14" i="71"/>
  <c r="Z14" i="71" s="1"/>
  <c r="C29" i="39"/>
  <c r="B77" i="43"/>
  <c r="E30" i="71"/>
  <c r="E31" i="71" s="1"/>
  <c r="E32" i="71" s="1"/>
  <c r="U32" i="71" s="1"/>
  <c r="AA29" i="71"/>
  <c r="B38" i="71"/>
  <c r="B39" i="71" s="1"/>
  <c r="B40" i="71" s="1"/>
  <c r="S40" i="71" s="1"/>
  <c r="X37" i="71"/>
  <c r="Y22" i="71"/>
  <c r="Z22" i="71" s="1"/>
  <c r="Y23" i="71"/>
  <c r="Z23" i="71" s="1"/>
  <c r="Y21" i="71"/>
  <c r="Z21" i="71" s="1"/>
  <c r="AA11" i="71"/>
  <c r="Y17" i="71"/>
  <c r="Z17" i="71" s="1"/>
  <c r="D43" i="71"/>
  <c r="X28" i="71"/>
  <c r="Y28" i="71"/>
  <c r="Z28" i="71" s="1"/>
  <c r="AA32" i="71"/>
  <c r="Y29" i="71"/>
  <c r="Z29" i="71" s="1"/>
  <c r="E34" i="71"/>
  <c r="E35" i="71" s="1"/>
  <c r="E36" i="71" s="1"/>
  <c r="U36" i="71" s="1"/>
  <c r="B35" i="71"/>
  <c r="B36" i="71" s="1"/>
  <c r="S36" i="71" s="1"/>
  <c r="Y30" i="71"/>
  <c r="Z30" i="71" s="1"/>
  <c r="AB31" i="71"/>
  <c r="AA36" i="71"/>
  <c r="AA35" i="71"/>
  <c r="B71" i="71"/>
  <c r="B70" i="71" s="1"/>
  <c r="AA24" i="71"/>
  <c r="AB21" i="71"/>
  <c r="AB18" i="71"/>
  <c r="AB14" i="71"/>
  <c r="S28" i="71"/>
  <c r="X26" i="71"/>
  <c r="Y27" i="71"/>
  <c r="Z27" i="71" s="1"/>
  <c r="B31" i="71"/>
  <c r="B32" i="71" s="1"/>
  <c r="S32" i="71" s="1"/>
  <c r="X27" i="71"/>
  <c r="X25" i="71"/>
  <c r="Y33" i="71"/>
  <c r="Z33" i="71" s="1"/>
  <c r="Y35" i="71"/>
  <c r="Z35" i="71" s="1"/>
  <c r="AB38" i="71"/>
  <c r="AB37" i="71"/>
  <c r="S68" i="71"/>
  <c r="B67" i="71"/>
  <c r="N68" i="71"/>
  <c r="AB24" i="71"/>
  <c r="Y18" i="71"/>
  <c r="Z18" i="71" s="1"/>
  <c r="AA18" i="71"/>
  <c r="AB17" i="71"/>
  <c r="AB9" i="71"/>
  <c r="AB23" i="71"/>
  <c r="X15" i="71"/>
  <c r="AB11" i="71"/>
  <c r="AA13" i="71"/>
  <c r="X12" i="71"/>
  <c r="Y12" i="71"/>
  <c r="Z12" i="71" s="1"/>
  <c r="Y9" i="71"/>
  <c r="Z9" i="71" s="1"/>
  <c r="Y10" i="71"/>
  <c r="Z10" i="71" s="1"/>
  <c r="AB39" i="71"/>
  <c r="Y24" i="71"/>
  <c r="Z24" i="71" s="1"/>
  <c r="AA21" i="71"/>
  <c r="AB10" i="71"/>
  <c r="Y11" i="71"/>
  <c r="Z11" i="71" s="1"/>
  <c r="AA23" i="71"/>
  <c r="X22" i="71"/>
  <c r="AA15" i="71"/>
  <c r="AB13" i="71"/>
  <c r="AA14" i="71"/>
  <c r="X13" i="71"/>
  <c r="Y13" i="71"/>
  <c r="Z13" i="71" s="1"/>
  <c r="AA9" i="71"/>
  <c r="AA10" i="71"/>
  <c r="M56" i="9"/>
  <c r="J56" i="80"/>
  <c r="J57" i="80" s="1"/>
  <c r="J59" i="80" s="1"/>
  <c r="J61" i="80" s="1"/>
  <c r="N56" i="80"/>
  <c r="M56" i="80"/>
  <c r="K56" i="80"/>
  <c r="AB15" i="71"/>
  <c r="AB12" i="71"/>
  <c r="AA12" i="71"/>
  <c r="X11" i="71"/>
  <c r="X14" i="71"/>
  <c r="D50" i="43"/>
  <c r="H32" i="33"/>
  <c r="AB32" i="33" s="1"/>
  <c r="F6" i="1"/>
  <c r="G23" i="43"/>
  <c r="C23" i="43" s="1"/>
  <c r="C7" i="33"/>
  <c r="C58" i="83"/>
  <c r="D58" i="83" s="1"/>
  <c r="E58" i="83" s="1"/>
  <c r="F58" i="83" s="1"/>
  <c r="G58" i="83" s="1"/>
  <c r="H58" i="83" s="1"/>
  <c r="I58" i="83" s="1"/>
  <c r="J58" i="83" s="1"/>
  <c r="K58" i="83" s="1"/>
  <c r="L58" i="83" s="1"/>
  <c r="M58" i="83" s="1"/>
  <c r="N58" i="83" s="1"/>
  <c r="O58" i="83" s="1"/>
  <c r="I7" i="83"/>
  <c r="J7" i="83" s="1"/>
  <c r="G7" i="83"/>
  <c r="E7" i="83"/>
  <c r="J51" i="67"/>
  <c r="C7" i="37"/>
  <c r="C52" i="37" s="1"/>
  <c r="D52" i="37" s="1"/>
  <c r="E52" i="37" s="1"/>
  <c r="F52" i="37" s="1"/>
  <c r="G52" i="37" s="1"/>
  <c r="H52" i="37" s="1"/>
  <c r="I52" i="37" s="1"/>
  <c r="J52" i="37" s="1"/>
  <c r="K52" i="37" s="1"/>
  <c r="L52" i="37" s="1"/>
  <c r="M52" i="37" s="1"/>
  <c r="N52" i="37" s="1"/>
  <c r="O52" i="37" s="1"/>
  <c r="AB25" i="33"/>
  <c r="AC25" i="33"/>
  <c r="S25" i="33"/>
  <c r="AA15" i="33"/>
  <c r="S15" i="33"/>
  <c r="J27" i="33"/>
  <c r="W27" i="33" s="1"/>
  <c r="S43" i="33"/>
  <c r="U43" i="33"/>
  <c r="AA42" i="33"/>
  <c r="AC42" i="33"/>
  <c r="U42" i="33"/>
  <c r="U38" i="33"/>
  <c r="W38" i="33"/>
  <c r="AA38" i="33"/>
  <c r="F36" i="33"/>
  <c r="F111" i="33"/>
  <c r="H36" i="33"/>
  <c r="U36" i="33" s="1"/>
  <c r="AA34" i="33"/>
  <c r="AC34" i="33"/>
  <c r="AB34" i="33"/>
  <c r="F101" i="33"/>
  <c r="G101" i="33" s="1"/>
  <c r="H101" i="33" s="1"/>
  <c r="I101" i="33" s="1"/>
  <c r="J101" i="33" s="1"/>
  <c r="K101" i="33" s="1"/>
  <c r="L101" i="33" s="1"/>
  <c r="M101" i="33" s="1"/>
  <c r="J32" i="33"/>
  <c r="W32" i="33" s="1"/>
  <c r="F32" i="33"/>
  <c r="AA32" i="33" s="1"/>
  <c r="AC28" i="33"/>
  <c r="AB28" i="33"/>
  <c r="S28" i="33"/>
  <c r="U27" i="33"/>
  <c r="S27" i="33"/>
  <c r="AB26" i="33"/>
  <c r="S26" i="33"/>
  <c r="W23" i="33"/>
  <c r="AB23" i="33"/>
  <c r="S23" i="33"/>
  <c r="AB21" i="33"/>
  <c r="AA21" i="33"/>
  <c r="W19" i="33"/>
  <c r="U19" i="33"/>
  <c r="AA19" i="33"/>
  <c r="J17" i="33"/>
  <c r="W17" i="33" s="1"/>
  <c r="AA17" i="33"/>
  <c r="AB17" i="33"/>
  <c r="F77" i="33"/>
  <c r="G77" i="33" s="1"/>
  <c r="J15" i="33"/>
  <c r="AC15" i="33" s="1"/>
  <c r="U15" i="33"/>
  <c r="W12" i="33"/>
  <c r="AC12" i="33"/>
  <c r="AC11" i="33"/>
  <c r="U11" i="33"/>
  <c r="S11" i="33"/>
  <c r="U9" i="33"/>
  <c r="W8" i="33"/>
  <c r="C51" i="10"/>
  <c r="A13" i="51" s="1"/>
  <c r="B11" i="72" s="1"/>
  <c r="A118" i="80"/>
  <c r="A2" i="80"/>
  <c r="I7" i="33"/>
  <c r="G7" i="33"/>
  <c r="E7" i="33"/>
  <c r="C7" i="34"/>
  <c r="C59" i="34" s="1"/>
  <c r="D59" i="34" s="1"/>
  <c r="E59" i="34" s="1"/>
  <c r="F59" i="34" s="1"/>
  <c r="G59" i="34" s="1"/>
  <c r="H59" i="34" s="1"/>
  <c r="I59" i="34" s="1"/>
  <c r="J59" i="34" s="1"/>
  <c r="K59" i="34" s="1"/>
  <c r="L59" i="34" s="1"/>
  <c r="M59" i="34" s="1"/>
  <c r="N59" i="34" s="1"/>
  <c r="O59" i="34" s="1"/>
  <c r="M47" i="80"/>
  <c r="J1" i="73"/>
  <c r="C18" i="9"/>
  <c r="D18" i="9" s="1"/>
  <c r="W33" i="33"/>
  <c r="S33" i="33"/>
  <c r="M18" i="67"/>
  <c r="M18" i="15"/>
  <c r="F30" i="11"/>
  <c r="C48" i="11" s="1"/>
  <c r="F54" i="9"/>
  <c r="F32" i="15"/>
  <c r="F60" i="15" s="1"/>
  <c r="F52" i="9"/>
  <c r="F30" i="68"/>
  <c r="F48" i="68" s="1"/>
  <c r="D68" i="9"/>
  <c r="F30" i="69"/>
  <c r="F48" i="69" s="1"/>
  <c r="F31" i="12"/>
  <c r="F28" i="15"/>
  <c r="F32" i="67"/>
  <c r="F60" i="67" s="1"/>
  <c r="F28" i="67"/>
  <c r="D93" i="9"/>
  <c r="C40" i="69"/>
  <c r="D23" i="15"/>
  <c r="G28" i="6"/>
  <c r="G30" i="6" s="1"/>
  <c r="G31" i="6" s="1"/>
  <c r="F29" i="6"/>
  <c r="M47" i="9"/>
  <c r="C7" i="35"/>
  <c r="C48" i="35" s="1"/>
  <c r="D48" i="35" s="1"/>
  <c r="E48" i="35" s="1"/>
  <c r="C7" i="40"/>
  <c r="C63" i="40" s="1"/>
  <c r="D63" i="40" s="1"/>
  <c r="C7" i="39"/>
  <c r="C67" i="39" s="1"/>
  <c r="C69" i="39" s="1"/>
  <c r="C42" i="1"/>
  <c r="C24" i="12" s="1"/>
  <c r="C7" i="36"/>
  <c r="C46" i="36" s="1"/>
  <c r="D46" i="36" s="1"/>
  <c r="E46" i="36" s="1"/>
  <c r="F46" i="36" s="1"/>
  <c r="G46" i="36" s="1"/>
  <c r="H46" i="36" s="1"/>
  <c r="I46" i="36" s="1"/>
  <c r="J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F51" i="15"/>
  <c r="F66" i="67"/>
  <c r="L59" i="15"/>
  <c r="N59" i="15"/>
  <c r="M59" i="15"/>
  <c r="F66" i="15"/>
  <c r="Q71" i="67"/>
  <c r="C27" i="67"/>
  <c r="F71" i="67"/>
  <c r="C27" i="15"/>
  <c r="F65" i="15"/>
  <c r="M59" i="67"/>
  <c r="B13" i="70"/>
  <c r="M7" i="67"/>
  <c r="F50" i="67"/>
  <c r="F68" i="67"/>
  <c r="F64" i="67"/>
  <c r="C36" i="68"/>
  <c r="D9" i="68"/>
  <c r="C16" i="67"/>
  <c r="D6" i="73"/>
  <c r="M8" i="15"/>
  <c r="F6" i="15"/>
  <c r="F40" i="15"/>
  <c r="F42" i="15"/>
  <c r="D9" i="69"/>
  <c r="L48" i="15"/>
  <c r="C36" i="69"/>
  <c r="J15" i="15"/>
  <c r="M26" i="15"/>
  <c r="F7" i="15"/>
  <c r="M22" i="15"/>
  <c r="D4" i="73"/>
  <c r="F43" i="15"/>
  <c r="F9" i="15"/>
  <c r="M6" i="15"/>
  <c r="F27" i="69"/>
  <c r="L48" i="67"/>
  <c r="F36" i="15"/>
  <c r="D3" i="73"/>
  <c r="D7" i="73"/>
  <c r="C16" i="15"/>
  <c r="D5" i="73"/>
  <c r="F50" i="15" l="1"/>
  <c r="M7" i="15"/>
  <c r="J6" i="15" s="1"/>
  <c r="J57" i="15"/>
  <c r="J55" i="15" s="1"/>
  <c r="J58" i="15" s="1"/>
  <c r="Q50" i="15" s="1"/>
  <c r="I54" i="15"/>
  <c r="J53" i="15"/>
  <c r="L56" i="15" s="1"/>
  <c r="L58" i="15"/>
  <c r="F71" i="15"/>
  <c r="F64" i="15"/>
  <c r="C6" i="15"/>
  <c r="F68" i="15"/>
  <c r="B15" i="71"/>
  <c r="B14" i="71" s="1"/>
  <c r="B13" i="71" s="1"/>
  <c r="B12" i="71" s="1"/>
  <c r="S16" i="71"/>
  <c r="D67" i="39"/>
  <c r="D69" i="39" s="1"/>
  <c r="C30" i="69"/>
  <c r="AC27" i="33"/>
  <c r="AC23" i="36"/>
  <c r="W23" i="36"/>
  <c r="AC9" i="33"/>
  <c r="W9" i="33"/>
  <c r="BL5" i="3"/>
  <c r="D1" i="43"/>
  <c r="AB23" i="36"/>
  <c r="U23" i="36"/>
  <c r="AZ5" i="3"/>
  <c r="C48" i="69"/>
  <c r="E28" i="6"/>
  <c r="K14" i="1" s="1"/>
  <c r="K16" i="1" s="1"/>
  <c r="AC17" i="33"/>
  <c r="N67" i="71"/>
  <c r="B66" i="71"/>
  <c r="AC9" i="36"/>
  <c r="W9" i="36"/>
  <c r="E11" i="71"/>
  <c r="E10" i="71" s="1"/>
  <c r="E9" i="71" s="1"/>
  <c r="E8" i="71" s="1"/>
  <c r="E7" i="71" s="1"/>
  <c r="E6" i="71" s="1"/>
  <c r="E5" i="71" s="1"/>
  <c r="V12" i="71"/>
  <c r="BA5" i="3"/>
  <c r="E27" i="6" s="1"/>
  <c r="K26" i="6" s="1"/>
  <c r="M26" i="6" s="1"/>
  <c r="I26" i="6" s="1"/>
  <c r="S26" i="6" s="1"/>
  <c r="G5" i="3"/>
  <c r="B3" i="3" s="1"/>
  <c r="AA23" i="36"/>
  <c r="S23" i="36"/>
  <c r="C15" i="71"/>
  <c r="M23" i="43"/>
  <c r="T16" i="71"/>
  <c r="U32" i="33"/>
  <c r="L58" i="67"/>
  <c r="Q60" i="67" s="1"/>
  <c r="J53" i="67"/>
  <c r="F1" i="67" s="1"/>
  <c r="I54" i="67"/>
  <c r="J57" i="67"/>
  <c r="J55" i="67" s="1"/>
  <c r="J58" i="67" s="1"/>
  <c r="Q50" i="67" s="1"/>
  <c r="K46" i="36"/>
  <c r="L46" i="36" s="1"/>
  <c r="M46" i="36" s="1"/>
  <c r="N46" i="36" s="1"/>
  <c r="O46" i="36" s="1"/>
  <c r="L59" i="67"/>
  <c r="Q74" i="67" s="1"/>
  <c r="L56" i="67"/>
  <c r="C65" i="40"/>
  <c r="F7" i="83"/>
  <c r="AC7" i="83"/>
  <c r="V48" i="83" s="1"/>
  <c r="I48" i="83" s="1"/>
  <c r="W7" i="83"/>
  <c r="N59" i="67"/>
  <c r="H7" i="83"/>
  <c r="G111" i="33"/>
  <c r="H111" i="33" s="1"/>
  <c r="I111" i="33" s="1"/>
  <c r="J111" i="33" s="1"/>
  <c r="K111" i="33" s="1"/>
  <c r="L111" i="33" s="1"/>
  <c r="M111" i="33" s="1"/>
  <c r="J36" i="33"/>
  <c r="AB36" i="33"/>
  <c r="AA36" i="33"/>
  <c r="S36" i="33"/>
  <c r="AC32" i="33"/>
  <c r="S32" i="33"/>
  <c r="W15" i="33"/>
  <c r="C28" i="15"/>
  <c r="H7" i="36"/>
  <c r="U7" i="36" s="1"/>
  <c r="C30" i="68"/>
  <c r="C28" i="67"/>
  <c r="C48" i="68"/>
  <c r="P6" i="1"/>
  <c r="C13" i="12" s="1"/>
  <c r="D18" i="53"/>
  <c r="B35" i="72" s="1"/>
  <c r="E59" i="40"/>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L36" i="43"/>
  <c r="S10" i="39"/>
  <c r="AA10" i="39"/>
  <c r="H7" i="33"/>
  <c r="J7" i="33"/>
  <c r="D65" i="40"/>
  <c r="E63" i="40"/>
  <c r="F48" i="35"/>
  <c r="W7" i="37"/>
  <c r="AB7" i="36"/>
  <c r="T36" i="36" s="1"/>
  <c r="G36" i="36" s="1"/>
  <c r="F7" i="33"/>
  <c r="E58" i="21"/>
  <c r="F7" i="37"/>
  <c r="M17" i="67"/>
  <c r="M17" i="15"/>
  <c r="F59" i="15"/>
  <c r="P28" i="43"/>
  <c r="B66" i="40" s="1"/>
  <c r="P25" i="43"/>
  <c r="C49" i="67"/>
  <c r="P29" i="43"/>
  <c r="P27" i="43"/>
  <c r="B70" i="39" s="1"/>
  <c r="C49" i="15"/>
  <c r="J18" i="15"/>
  <c r="M11" i="67"/>
  <c r="F11" i="15"/>
  <c r="M11" i="15"/>
  <c r="J10" i="15" s="1"/>
  <c r="J5" i="15" s="1"/>
  <c r="J24" i="15" s="1"/>
  <c r="F11" i="67"/>
  <c r="F1" i="15"/>
  <c r="Q52" i="15"/>
  <c r="C32" i="15"/>
  <c r="Q60" i="15"/>
  <c r="Q73" i="15"/>
  <c r="Q74" i="15"/>
  <c r="Q61" i="15"/>
  <c r="AE11" i="1"/>
  <c r="AE9" i="1"/>
  <c r="F27" i="68"/>
  <c r="AE7" i="1"/>
  <c r="AE8" i="1"/>
  <c r="AE12" i="1"/>
  <c r="AE10" i="1"/>
  <c r="AE6" i="1"/>
  <c r="G1" i="73"/>
  <c r="D15" i="71" l="1"/>
  <c r="C14" i="71"/>
  <c r="L18" i="80"/>
  <c r="M18" i="80"/>
  <c r="B118" i="80" s="1"/>
  <c r="J7" i="36"/>
  <c r="W7" i="36" s="1"/>
  <c r="N65" i="71"/>
  <c r="N66" i="71"/>
  <c r="B11" i="71"/>
  <c r="B10" i="71" s="1"/>
  <c r="B9" i="71" s="1"/>
  <c r="B8" i="71" s="1"/>
  <c r="B7" i="71" s="1"/>
  <c r="B6" i="71" s="1"/>
  <c r="B5" i="71" s="1"/>
  <c r="S12" i="71"/>
  <c r="F7" i="36"/>
  <c r="E296" i="3"/>
  <c r="E360" i="3"/>
  <c r="E243" i="3"/>
  <c r="E174" i="3"/>
  <c r="E35" i="3"/>
  <c r="AF6" i="3"/>
  <c r="E22" i="3"/>
  <c r="E469" i="3"/>
  <c r="E198" i="3"/>
  <c r="E96" i="3"/>
  <c r="E342" i="3"/>
  <c r="E251" i="3"/>
  <c r="E308" i="3"/>
  <c r="E197" i="3"/>
  <c r="E494" i="3"/>
  <c r="AL6" i="3"/>
  <c r="E275" i="3"/>
  <c r="E34" i="3"/>
  <c r="E80" i="3"/>
  <c r="E534" i="3"/>
  <c r="E26" i="3"/>
  <c r="E428" i="3"/>
  <c r="E324" i="3"/>
  <c r="E206" i="3"/>
  <c r="E158" i="3"/>
  <c r="E265" i="3"/>
  <c r="E299" i="3"/>
  <c r="E115" i="3"/>
  <c r="E83" i="3"/>
  <c r="E102" i="3"/>
  <c r="E86" i="3"/>
  <c r="E220" i="3"/>
  <c r="E391" i="3"/>
  <c r="E497" i="3"/>
  <c r="E510" i="3"/>
  <c r="E167" i="3"/>
  <c r="E542" i="3"/>
  <c r="E487" i="3"/>
  <c r="E374" i="3"/>
  <c r="E413" i="3"/>
  <c r="E39" i="3"/>
  <c r="E187" i="3"/>
  <c r="E259" i="3"/>
  <c r="E504" i="3"/>
  <c r="E462" i="3"/>
  <c r="E98" i="3"/>
  <c r="E163" i="3"/>
  <c r="E307" i="3"/>
  <c r="E66" i="3"/>
  <c r="E127" i="3"/>
  <c r="Y6" i="3"/>
  <c r="E179" i="3"/>
  <c r="E82" i="3"/>
  <c r="E178" i="3"/>
  <c r="E372" i="3"/>
  <c r="E38" i="3"/>
  <c r="E188" i="3"/>
  <c r="E393" i="3"/>
  <c r="E427" i="3"/>
  <c r="E440" i="3"/>
  <c r="E498" i="3"/>
  <c r="E40" i="3"/>
  <c r="E276" i="3"/>
  <c r="E473" i="3"/>
  <c r="E137" i="3"/>
  <c r="E212" i="3"/>
  <c r="E499" i="3"/>
  <c r="E466" i="3"/>
  <c r="E255" i="3"/>
  <c r="E517" i="3"/>
  <c r="E479" i="3"/>
  <c r="E152" i="3"/>
  <c r="E241" i="3"/>
  <c r="E389" i="3"/>
  <c r="E409" i="3"/>
  <c r="E64" i="3"/>
  <c r="E142" i="3"/>
  <c r="E300" i="3"/>
  <c r="E23" i="3"/>
  <c r="E144" i="3"/>
  <c r="E381" i="3"/>
  <c r="E118" i="3"/>
  <c r="E513" i="3"/>
  <c r="E364" i="3"/>
  <c r="E190" i="3"/>
  <c r="E451" i="3"/>
  <c r="E218" i="3"/>
  <c r="E147" i="3"/>
  <c r="E339" i="3"/>
  <c r="E482" i="3"/>
  <c r="E104" i="3"/>
  <c r="T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76" i="3"/>
  <c r="E166" i="3"/>
  <c r="E480" i="3"/>
  <c r="E125" i="3"/>
  <c r="E282" i="3"/>
  <c r="E569" i="3"/>
  <c r="E358" i="3"/>
  <c r="V6" i="3"/>
  <c r="E320" i="3"/>
  <c r="E130" i="3"/>
  <c r="E260" i="3"/>
  <c r="E117" i="3"/>
  <c r="E61" i="3"/>
  <c r="E578" i="3"/>
  <c r="E336" i="3"/>
  <c r="E20" i="3"/>
  <c r="E234" i="3"/>
  <c r="E13" i="3"/>
  <c r="E326" i="3"/>
  <c r="E370" i="3"/>
  <c r="E522" i="3"/>
  <c r="E129" i="3"/>
  <c r="E225" i="3"/>
  <c r="E408" i="3"/>
  <c r="E165" i="3"/>
  <c r="E141" i="3"/>
  <c r="E552" i="3"/>
  <c r="E398" i="3"/>
  <c r="E566" i="3"/>
  <c r="E460" i="3"/>
  <c r="E90" i="3"/>
  <c r="E155" i="3"/>
  <c r="E348" i="3"/>
  <c r="E58" i="3"/>
  <c r="E521" i="3"/>
  <c r="E65" i="3"/>
  <c r="E248" i="3"/>
  <c r="E386" i="3"/>
  <c r="E24" i="3"/>
  <c r="E250" i="3"/>
  <c r="E51" i="3"/>
  <c r="E222" i="3"/>
  <c r="E490" i="3"/>
  <c r="E202" i="3"/>
  <c r="E60" i="3"/>
  <c r="E170" i="3"/>
  <c r="E223" i="3"/>
  <c r="E493" i="3"/>
  <c r="E486" i="3"/>
  <c r="E376" i="3"/>
  <c r="E419" i="3"/>
  <c r="E108" i="3"/>
  <c r="E333" i="3"/>
  <c r="E455" i="3"/>
  <c r="E539" i="3"/>
  <c r="E199" i="3"/>
  <c r="R6" i="3"/>
  <c r="E541" i="3"/>
  <c r="I3" i="6"/>
  <c r="E435" i="3"/>
  <c r="E56" i="3"/>
  <c r="E132" i="3"/>
  <c r="E292" i="3"/>
  <c r="E544" i="3"/>
  <c r="E484" i="3"/>
  <c r="E46" i="3"/>
  <c r="E200" i="3"/>
  <c r="E371" i="3"/>
  <c r="E84" i="3"/>
  <c r="E184" i="3"/>
  <c r="E68" i="3"/>
  <c r="E264" i="3"/>
  <c r="E21" i="3"/>
  <c r="E289" i="3"/>
  <c r="E75" i="3"/>
  <c r="E525" i="3"/>
  <c r="E62" i="3"/>
  <c r="E112" i="3"/>
  <c r="E219" i="3"/>
  <c r="E42" i="3"/>
  <c r="E452"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412" i="3"/>
  <c r="E244" i="3"/>
  <c r="E421" i="3"/>
  <c r="E500" i="3"/>
  <c r="E520" i="3"/>
  <c r="E240" i="3"/>
  <c r="E110" i="3"/>
  <c r="E446" i="3"/>
  <c r="E209" i="3"/>
  <c r="E48" i="3"/>
  <c r="E284" i="3"/>
  <c r="E401" i="3"/>
  <c r="E226" i="3"/>
  <c r="E329" i="3"/>
  <c r="E507" i="3"/>
  <c r="E483" i="3"/>
  <c r="L6" i="3"/>
  <c r="E79" i="3"/>
  <c r="E286" i="3"/>
  <c r="E430" i="3"/>
  <c r="AP6" i="3"/>
  <c r="E37" i="3"/>
  <c r="E192" i="3"/>
  <c r="E76" i="3"/>
  <c r="E425" i="3"/>
  <c r="E267" i="3"/>
  <c r="E310" i="3"/>
  <c r="E233" i="3"/>
  <c r="E283" i="3"/>
  <c r="E524" i="3"/>
  <c r="E281" i="3"/>
  <c r="E50" i="3"/>
  <c r="E194" i="3"/>
  <c r="E332" i="3"/>
  <c r="E556" i="3"/>
  <c r="E156" i="3"/>
  <c r="E434" i="3"/>
  <c r="E262" i="3"/>
  <c r="E177" i="3"/>
  <c r="Q6" i="3"/>
  <c r="E481" i="3"/>
  <c r="E424" i="3"/>
  <c r="AE6" i="3"/>
  <c r="E429" i="3"/>
  <c r="E55" i="3"/>
  <c r="E203" i="3"/>
  <c r="E274" i="3"/>
  <c r="E394" i="3"/>
  <c r="E32" i="3"/>
  <c r="E236" i="3"/>
  <c r="E164" i="3"/>
  <c r="AG6" i="3"/>
  <c r="P6" i="3"/>
  <c r="E443" i="3"/>
  <c r="E581" i="3"/>
  <c r="E404" i="3"/>
  <c r="E121" i="3"/>
  <c r="E316" i="3"/>
  <c r="E30" i="3"/>
  <c r="E553" i="3"/>
  <c r="N6" i="3"/>
  <c r="E239" i="3"/>
  <c r="E396" i="3"/>
  <c r="E151" i="3"/>
  <c r="E559" i="3"/>
  <c r="E407" i="3"/>
  <c r="E230" i="3"/>
  <c r="E395" i="3"/>
  <c r="E290" i="3"/>
  <c r="E245" i="3"/>
  <c r="E518" i="3"/>
  <c r="E583" i="3"/>
  <c r="E123" i="3"/>
  <c r="E18" i="3"/>
  <c r="E456" i="3"/>
  <c r="E287" i="3"/>
  <c r="E232" i="3"/>
  <c r="E383" i="3"/>
  <c r="E41" i="3"/>
  <c r="E405" i="3"/>
  <c r="E312" i="3"/>
  <c r="E416" i="3"/>
  <c r="E57" i="3"/>
  <c r="E378" i="3"/>
  <c r="E138" i="3"/>
  <c r="E354" i="3"/>
  <c r="E19" i="3"/>
  <c r="E323" i="3"/>
  <c r="E540" i="3"/>
  <c r="E116" i="3"/>
  <c r="E564" i="3"/>
  <c r="AH6" i="3"/>
  <c r="E119" i="3"/>
  <c r="E536" i="3"/>
  <c r="E502" i="3"/>
  <c r="E491" i="3"/>
  <c r="E363" i="3"/>
  <c r="E103" i="3"/>
  <c r="E67" i="3"/>
  <c r="E63" i="3"/>
  <c r="E36" i="3"/>
  <c r="E101" i="3"/>
  <c r="E52" i="3"/>
  <c r="E205" i="3"/>
  <c r="E238" i="3"/>
  <c r="E128" i="3"/>
  <c r="E120" i="3"/>
  <c r="E330" i="3"/>
  <c r="E437" i="3"/>
  <c r="E344" i="3"/>
  <c r="E496" i="3"/>
  <c r="E73" i="3"/>
  <c r="E256" i="3"/>
  <c r="E580" i="3"/>
  <c r="I6" i="3"/>
  <c r="H6" i="3" s="1"/>
  <c r="E252" i="3"/>
  <c r="E448" i="3"/>
  <c r="E558" i="3"/>
  <c r="E444" i="3"/>
  <c r="E88" i="3"/>
  <c r="E295" i="3"/>
  <c r="E334" i="3"/>
  <c r="AQ6" i="3"/>
  <c r="E356" i="3"/>
  <c r="E140" i="3"/>
  <c r="E113" i="3"/>
  <c r="E49" i="3"/>
  <c r="E235" i="3"/>
  <c r="E94" i="3"/>
  <c r="E470" i="3"/>
  <c r="E369" i="3"/>
  <c r="E149" i="3"/>
  <c r="AD6" i="3"/>
  <c r="E464" i="3"/>
  <c r="E459" i="3"/>
  <c r="E582" i="3"/>
  <c r="E436" i="3"/>
  <c r="E131" i="3"/>
  <c r="E297" i="3"/>
  <c r="E375" i="3"/>
  <c r="E488" i="3"/>
  <c r="E47" i="3"/>
  <c r="E195" i="3"/>
  <c r="E266" i="3"/>
  <c r="E584" i="3"/>
  <c r="E87" i="3"/>
  <c r="E341" i="3"/>
  <c r="E154" i="3"/>
  <c r="E373" i="3"/>
  <c r="E25" i="3"/>
  <c r="E346" i="3"/>
  <c r="E15" i="3"/>
  <c r="E16" i="3"/>
  <c r="E105" i="3"/>
  <c r="E543" i="3"/>
  <c r="E422" i="3"/>
  <c r="J6" i="3"/>
  <c r="E463" i="3"/>
  <c r="E242" i="3"/>
  <c r="E43" i="3"/>
  <c r="E100" i="3"/>
  <c r="E148" i="3"/>
  <c r="E575" i="3"/>
  <c r="E442" i="3"/>
  <c r="E449" i="3"/>
  <c r="E554" i="3"/>
  <c r="E417" i="3"/>
  <c r="E95" i="3"/>
  <c r="E258" i="3"/>
  <c r="E349" i="3"/>
  <c r="E59" i="3"/>
  <c r="E467" i="3"/>
  <c r="E160" i="3"/>
  <c r="E249" i="3"/>
  <c r="E492" i="3"/>
  <c r="E33" i="3"/>
  <c r="E355" i="3"/>
  <c r="E81" i="3"/>
  <c r="E309" i="3"/>
  <c r="E176" i="3"/>
  <c r="E325" i="3"/>
  <c r="E420" i="3"/>
  <c r="E365" i="3"/>
  <c r="E340" i="3"/>
  <c r="E392" i="3"/>
  <c r="E78" i="3"/>
  <c r="E139" i="3"/>
  <c r="E51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66" i="3"/>
  <c r="E516" i="3"/>
  <c r="E229" i="3"/>
  <c r="E551" i="3"/>
  <c r="E294" i="3"/>
  <c r="E114" i="3"/>
  <c r="E415" i="3"/>
  <c r="E550" i="3"/>
  <c r="E382" i="3"/>
  <c r="E293" i="3"/>
  <c r="Q52" i="67"/>
  <c r="Q73" i="67"/>
  <c r="Q61" i="67"/>
  <c r="AC7" i="36"/>
  <c r="V36" i="36" s="1"/>
  <c r="I36" i="36" s="1"/>
  <c r="U7" i="83"/>
  <c r="AB7" i="83"/>
  <c r="T48" i="83" s="1"/>
  <c r="G48" i="83" s="1"/>
  <c r="AA7" i="83"/>
  <c r="R48" i="83" s="1"/>
  <c r="S7" i="83"/>
  <c r="I52" i="83"/>
  <c r="J52" i="83" s="1"/>
  <c r="W36" i="33"/>
  <c r="AC36" i="33"/>
  <c r="E69" i="3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48" i="15" s="1"/>
  <c r="C66" i="15" s="1"/>
  <c r="C10" i="15"/>
  <c r="C5" i="15" s="1"/>
  <c r="C38" i="15" s="1"/>
  <c r="F25" i="12"/>
  <c r="F22" i="69"/>
  <c r="F41" i="69" s="1"/>
  <c r="F24" i="67"/>
  <c r="C24" i="67" s="1"/>
  <c r="F22" i="11"/>
  <c r="F22" i="68"/>
  <c r="F24" i="15"/>
  <c r="C24" i="15" s="1"/>
  <c r="M27" i="15"/>
  <c r="M27" i="67"/>
  <c r="F41" i="15"/>
  <c r="F41" i="67"/>
  <c r="AC6" i="3" l="1"/>
  <c r="E6" i="3" s="1"/>
  <c r="S7" i="36"/>
  <c r="AA7" i="36"/>
  <c r="R36" i="36" s="1"/>
  <c r="C13" i="71"/>
  <c r="D14" i="71"/>
  <c r="M19" i="80"/>
  <c r="C118" i="80" s="1"/>
  <c r="L19" i="80"/>
  <c r="F69" i="67"/>
  <c r="E48" i="83"/>
  <c r="R49" i="83"/>
  <c r="G52" i="83"/>
  <c r="H52" i="83" s="1"/>
  <c r="G53" i="83"/>
  <c r="H53" i="8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15"/>
  <c r="C17" i="67"/>
  <c r="D10" i="69"/>
  <c r="C34" i="69"/>
  <c r="M19" i="9" l="1"/>
  <c r="C118" i="9" s="1"/>
  <c r="B2" i="74" s="1"/>
  <c r="D7" i="74" s="1"/>
  <c r="C12" i="71"/>
  <c r="D13" i="71"/>
  <c r="R37" i="36"/>
  <c r="E36" i="36"/>
  <c r="C48" i="83"/>
  <c r="C49" i="83"/>
  <c r="Z6" i="1" s="1"/>
  <c r="E52" i="83"/>
  <c r="F52" i="83" s="1"/>
  <c r="E53" i="83"/>
  <c r="F53" i="83" s="1"/>
  <c r="I53" i="83"/>
  <c r="J53" i="83"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4" i="68"/>
  <c r="M6" i="67"/>
  <c r="B6" i="76"/>
  <c r="E6" i="76"/>
  <c r="C14" i="15"/>
  <c r="F6" i="67"/>
  <c r="J6" i="67" l="1"/>
  <c r="C11" i="71"/>
  <c r="T12" i="71"/>
  <c r="D12" i="71"/>
  <c r="U12" i="71" s="1"/>
  <c r="E40" i="36"/>
  <c r="F40" i="36" s="1"/>
  <c r="I41" i="36"/>
  <c r="J41" i="36" s="1"/>
  <c r="E41" i="36"/>
  <c r="F41" i="36" s="1"/>
  <c r="C37" i="36"/>
  <c r="C36" i="36"/>
  <c r="C6" i="67"/>
  <c r="B2" i="83"/>
  <c r="B3"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18" i="67" l="1"/>
  <c r="J10" i="67"/>
  <c r="J5" i="67" s="1"/>
  <c r="J24" i="67" s="1"/>
  <c r="J19" i="67"/>
  <c r="D11" i="71"/>
  <c r="C10" i="71"/>
  <c r="C32" i="67"/>
  <c r="C10" i="67"/>
  <c r="C5" i="67" s="1"/>
  <c r="C38" i="67" s="1"/>
  <c r="C33" i="67"/>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0" i="71" l="1"/>
  <c r="C9" i="7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M21" i="67"/>
  <c r="F35" i="15"/>
  <c r="C8" i="71" l="1"/>
  <c r="D9"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B3" i="69"/>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Q69" i="67"/>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80"/>
  <c r="C19" i="9"/>
  <c r="D2" i="34"/>
  <c r="L51" i="15"/>
  <c r="D2" i="37"/>
  <c r="D19" i="80"/>
  <c r="D2" i="35"/>
  <c r="D19" i="9"/>
  <c r="C21" i="80" l="1"/>
  <c r="C102" i="80"/>
  <c r="D102" i="80"/>
  <c r="D21" i="80"/>
  <c r="G19" i="80"/>
  <c r="G21" i="80" s="1"/>
  <c r="D22" i="80"/>
  <c r="C102" i="9"/>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D20" i="9"/>
  <c r="D20" i="80"/>
  <c r="AO10" i="1"/>
  <c r="AO9" i="1"/>
  <c r="AO7" i="1"/>
  <c r="AO11" i="1"/>
  <c r="C20" i="80"/>
  <c r="AO6" i="1"/>
  <c r="C20" i="9"/>
  <c r="C103" i="80" l="1"/>
  <c r="D103" i="80"/>
  <c r="G20" i="80"/>
  <c r="C32" i="80" s="1"/>
  <c r="C103" i="9"/>
  <c r="G20" i="9"/>
  <c r="C32"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18" i="80" l="1"/>
  <c r="C35" i="80"/>
  <c r="G118" i="80" s="1"/>
  <c r="F118" i="80" s="1"/>
  <c r="F119" i="80"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80" l="1"/>
  <c r="E118" i="80"/>
  <c r="D118" i="80" s="1"/>
  <c r="D119" i="80" s="1"/>
  <c r="C105" i="80"/>
  <c r="H118" i="80"/>
  <c r="H102" i="80"/>
  <c r="C42" i="40"/>
  <c r="C43" i="40"/>
  <c r="E47" i="40"/>
  <c r="F47" i="40" s="1"/>
  <c r="E46" i="40"/>
  <c r="F46" i="40" s="1"/>
  <c r="I47" i="40"/>
  <c r="J47" i="40" s="1"/>
  <c r="H119" i="80" l="1"/>
  <c r="H101" i="80"/>
  <c r="C104" i="80"/>
  <c r="B58" i="40"/>
  <c r="F58" i="40" s="1"/>
  <c r="B54" i="40"/>
  <c r="F54" i="40" s="1"/>
  <c r="B53" i="40"/>
  <c r="F53" i="40" s="1"/>
  <c r="B59" i="40"/>
  <c r="F59" i="40" s="1"/>
  <c r="B52" i="40"/>
  <c r="F52" i="40" s="1"/>
  <c r="B56" i="40"/>
  <c r="F56" i="40" s="1"/>
  <c r="B60" i="40"/>
  <c r="F60" i="40" s="1"/>
  <c r="B57" i="40"/>
  <c r="F57" i="40" s="1"/>
  <c r="B51" i="40"/>
  <c r="F51" i="40" s="1"/>
  <c r="F61" i="40"/>
  <c r="B2" i="40" s="1"/>
  <c r="B3" i="40" s="1"/>
  <c r="H107" i="80" l="1"/>
  <c r="D55" i="80" l="1"/>
  <c r="M53" i="80" s="1"/>
  <c r="C72" i="80"/>
  <c r="C78" i="80"/>
  <c r="C73" i="80" s="1"/>
  <c r="C64" i="80"/>
  <c r="C63" i="80" s="1"/>
  <c r="C67" i="80" s="1"/>
  <c r="C68" i="80" s="1"/>
  <c r="D54" i="80" s="1"/>
  <c r="D48" i="80" s="1"/>
  <c r="M52" i="80" s="1"/>
  <c r="D53" i="80"/>
  <c r="C93" i="80"/>
  <c r="C86" i="80" s="1"/>
  <c r="C85" i="80"/>
  <c r="D52" i="80"/>
  <c r="D122" i="80"/>
  <c r="D123" i="80" s="1"/>
  <c r="H108" i="80"/>
  <c r="B6" i="74"/>
  <c r="D6" i="74" s="1"/>
  <c r="C79" i="80" l="1"/>
  <c r="C80" i="80" s="1"/>
  <c r="E80" i="80" s="1"/>
  <c r="E81" i="80" s="1"/>
  <c r="C95" i="80"/>
  <c r="L66" i="80"/>
  <c r="M66" i="80" s="1"/>
  <c r="L63" i="80"/>
  <c r="M63" i="80" s="1"/>
  <c r="L68" i="80"/>
  <c r="M68" i="80" s="1"/>
  <c r="L67" i="80"/>
  <c r="M67" i="80" s="1"/>
  <c r="L64" i="80"/>
  <c r="M64" i="80" s="1"/>
  <c r="L65" i="80"/>
  <c r="M65" i="80" s="1"/>
  <c r="C81" i="80" l="1"/>
  <c r="D58" i="80" s="1"/>
  <c r="D56" i="80" s="1"/>
  <c r="M54" i="80" s="1"/>
  <c r="N57" i="80" s="1"/>
  <c r="M69" i="80"/>
  <c r="N69" i="80" s="1"/>
  <c r="C96" i="80"/>
  <c r="E96" i="80" s="1"/>
  <c r="E97" i="80" s="1"/>
  <c r="C97" i="80" l="1"/>
  <c r="P57" i="80"/>
  <c r="N58" i="80"/>
  <c r="N59" i="80"/>
  <c r="N61" i="80" s="1"/>
  <c r="N60" i="80" l="1"/>
  <c r="G118" i="9" l="1"/>
  <c r="G4" i="52" s="1"/>
  <c r="B52" i="72" s="1"/>
  <c r="I118" i="9"/>
  <c r="H118" i="9" s="1"/>
  <c r="E118" i="9" l="1"/>
  <c r="E4" i="52" s="1"/>
  <c r="B48" i="72" s="1"/>
  <c r="H119" i="9"/>
  <c r="H5" i="52" s="1"/>
  <c r="F118" i="9"/>
  <c r="H102" i="9"/>
  <c r="E14" i="74" s="1"/>
  <c r="C105" i="9"/>
  <c r="I4" i="52"/>
  <c r="D118" i="9" l="1"/>
  <c r="D4" i="52" s="1"/>
  <c r="B47" i="72" s="1"/>
  <c r="C104" i="9"/>
  <c r="H4" i="52"/>
  <c r="H101" i="9"/>
  <c r="D45" i="9" s="1"/>
  <c r="F4" i="52"/>
  <c r="B51" i="72" s="1"/>
  <c r="F119" i="9"/>
  <c r="F5" i="52" s="1"/>
  <c r="B53" i="72" s="1"/>
  <c r="D7" i="53"/>
  <c r="B21" i="72" s="1"/>
  <c r="C72" i="9" l="1"/>
  <c r="C78" i="9"/>
  <c r="C85" i="9"/>
  <c r="C93" i="9"/>
  <c r="C86" i="9" s="1"/>
  <c r="D53" i="9"/>
  <c r="D55" i="9"/>
  <c r="M53" i="9" s="1"/>
  <c r="D14" i="74"/>
  <c r="D119" i="9"/>
  <c r="D5" i="52" s="1"/>
  <c r="B49" i="72" s="1"/>
  <c r="H107" i="9"/>
  <c r="D5" i="53"/>
  <c r="D6" i="53" s="1"/>
  <c r="B22" i="72" s="1"/>
  <c r="M48" i="9"/>
  <c r="C73" i="9"/>
  <c r="D52" i="9"/>
  <c r="C64" i="9"/>
  <c r="C95" i="9" l="1"/>
  <c r="C63" i="9"/>
  <c r="C67" i="9" s="1"/>
  <c r="C68" i="9" s="1"/>
  <c r="D54" i="9" s="1"/>
  <c r="D48" i="9" s="1"/>
  <c r="M52" i="9" s="1"/>
  <c r="B5" i="74"/>
  <c r="F14" i="74"/>
  <c r="B20" i="72"/>
  <c r="D13" i="53"/>
  <c r="D14" i="53" s="1"/>
  <c r="B32" i="72" s="1"/>
  <c r="M49" i="9"/>
  <c r="H108" i="9"/>
  <c r="C6" i="74" s="1"/>
  <c r="D122" i="9"/>
  <c r="D8" i="52" s="1"/>
  <c r="D59" i="9"/>
  <c r="M55" i="9" s="1"/>
  <c r="C79" i="9"/>
  <c r="D5" i="74" l="1"/>
  <c r="C5" i="74"/>
  <c r="B30" i="72"/>
  <c r="D123" i="9"/>
  <c r="D9" i="52" s="1"/>
  <c r="D15" i="53"/>
  <c r="B31" i="72" s="1"/>
  <c r="L68" i="9"/>
  <c r="M68" i="9" s="1"/>
  <c r="L63" i="9"/>
  <c r="M63" i="9" s="1"/>
  <c r="L65" i="9"/>
  <c r="M65" i="9" s="1"/>
  <c r="L67" i="9"/>
  <c r="M67" i="9" s="1"/>
  <c r="L66" i="9"/>
  <c r="M66" i="9" s="1"/>
  <c r="L64" i="9"/>
  <c r="M64" i="9" s="1"/>
  <c r="C80" i="9"/>
  <c r="E80" i="9" s="1"/>
  <c r="E81" i="9" s="1"/>
  <c r="C96" i="9"/>
  <c r="E96" i="9" s="1"/>
  <c r="E97" i="9" s="1"/>
  <c r="C81" i="9" l="1"/>
  <c r="C97" i="9"/>
  <c r="M69" i="9"/>
  <c r="N69" i="9" s="1"/>
  <c r="D58" i="9"/>
  <c r="D56" i="9" s="1"/>
  <c r="M54" i="9" s="1"/>
  <c r="N57" i="9" s="1"/>
  <c r="P57" i="9" s="1"/>
  <c r="N59" i="9" l="1"/>
  <c r="N58" i="9"/>
  <c r="N60" i="9" l="1"/>
  <c r="H111" i="9"/>
  <c r="N61" i="9"/>
  <c r="H112" i="9" s="1"/>
  <c r="D21" i="53" l="1"/>
  <c r="B39" i="72" s="1"/>
  <c r="D126" i="9"/>
  <c r="I14" i="74" s="1"/>
  <c r="B8" i="74" s="1"/>
  <c r="D8" i="74" s="1"/>
  <c r="D19" i="53"/>
  <c r="C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<sst xmlns="http://schemas.openxmlformats.org/spreadsheetml/2006/main" count="8591" uniqueCount="3494">
  <si>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</si>
  <si>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</si>
  <si>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</si>
  <si>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</si>
  <si>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</si>
  <si>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</si>
  <si>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</si>
  <si>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</si>
  <si>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</si>
  <si>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</si>
  <si>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</si>
  <si>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</si>
  <si>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</si>
  <si>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</si>
  <si>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</si>
  <si>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</si>
  <si>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</si>
  <si>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</si>
  <si>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</si>
  <si>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</si>
  <si>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</si>
  <si>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</si>
  <si>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</si>
  <si>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</si>
  <si>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</si>
  <si>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</si>
  <si>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</si>
  <si>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</si>
  <si>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</si>
  <si>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</si>
  <si>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</si>
  <si>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</si>
  <si>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</si>
  <si>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</si>
  <si>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</si>
  <si>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</si>
  <si>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</si>
  <si>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</si>
  <si>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</si>
  <si>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</si>
  <si>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</si>
  <si>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</si>
  <si>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</si>
  <si>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</si>
  <si>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</si>
  <si>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</si>
  <si>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</si>
  <si>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</si>
  <si>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</si>
  <si>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</si>
  <si>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</si>
  <si>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</si>
  <si>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</si>
  <si>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</si>
  <si>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</si>
  <si>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</si>
  <si>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</si>
  <si>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</si>
  <si>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</si>
  <si>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</si>
  <si>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</si>
  <si>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</si>
  <si>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</si>
  <si>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</si>
  <si>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</si>
  <si>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</si>
  <si>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</si>
  <si>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</si>
  <si>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</si>
  <si>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</si>
  <si>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</si>
  <si>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</si>
  <si>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</si>
  <si>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</si>
  <si>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</si>
  <si>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</si>
  <si>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</si>
  <si>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</si>
  <si>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</si>
  <si>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</si>
  <si>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</si>
  <si>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</si>
  <si>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</si>
  <si>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</si>
  <si>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</si>
  <si>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</si>
  <si>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</si>
  <si>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</si>
  <si>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</si>
  <si>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</si>
  <si>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</si>
  <si>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</si>
  <si>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</si>
  <si>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</si>
  <si>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</si>
  <si>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</si>
  <si>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</si>
  <si>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</si>
  <si>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</si>
  <si>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</si>
  <si>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</si>
  <si>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</si>
  <si>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</si>
  <si>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</si>
  <si>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</si>
  <si>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</si>
  <si>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</si>
  <si>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</si>
  <si>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</si>
  <si>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</si>
  <si>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</si>
  <si>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</si>
  <si>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</si>
  <si>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</si>
  <si>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</si>
  <si>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</si>
  <si>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</si>
  <si>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</si>
  <si>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</si>
  <si>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</si>
  <si>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</si>
  <si>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</si>
  <si>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</si>
  <si>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</si>
  <si>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</si>
  <si>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</si>
  <si>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</si>
  <si>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</si>
  <si>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</si>
  <si>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</si>
  <si>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</si>
  <si>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</si>
  <si>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</si>
  <si>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</si>
  <si>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</si>
  <si>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</si>
  <si>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</si>
  <si>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</si>
  <si>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</si>
  <si>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</si>
  <si>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</si>
  <si>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</si>
  <si>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</si>
  <si>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</si>
  <si>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</si>
  <si>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</si>
  <si>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</si>
  <si>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</si>
  <si>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</si>
  <si>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</si>
  <si>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</si>
  <si>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</si>
  <si>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</si>
  <si>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</si>
  <si>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</si>
  <si>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</si>
  <si>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</si>
  <si>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</si>
  <si>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</si>
  <si>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</si>
  <si>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</si>
  <si>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</si>
  <si>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</si>
  <si>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</si>
  <si>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</si>
  <si>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</si>
  <si>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</si>
  <si>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</si>
  <si>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</si>
  <si>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</si>
  <si>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</si>
  <si>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</si>
  <si>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</si>
  <si>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</si>
  <si>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</si>
  <si>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</si>
  <si>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</si>
  <si>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</si>
  <si>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</si>
  <si>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</si>
  <si>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</si>
  <si>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</si>
  <si>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</si>
  <si>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</si>
  <si>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</si>
  <si>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</si>
  <si>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</si>
  <si>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</si>
  <si>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</si>
  <si>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</si>
  <si>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</si>
  <si>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</si>
  <si>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</si>
  <si>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</si>
  <si>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</si>
  <si>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</si>
  <si>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</si>
  <si>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</si>
  <si>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</si>
  <si>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</si>
  <si>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</si>
  <si>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</si>
  <si>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</si>
  <si>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</si>
  <si>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</si>
  <si>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</si>
  <si>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</si>
  <si>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</si>
  <si>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</si>
  <si>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</si>
  <si>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</si>
  <si>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</si>
  <si>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</si>
  <si>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</si>
  <si>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</si>
  <si>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</si>
  <si>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</si>
  <si>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</si>
  <si>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</si>
  <si>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</si>
  <si>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</si>
  <si>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</si>
  <si>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</si>
  <si>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</si>
  <si>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</si>
  <si>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</si>
  <si>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</si>
  <si>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</si>
  <si>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</si>
  <si>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</si>
  <si>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</si>
  <si>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</si>
  <si>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</si>
  <si>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</si>
  <si>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</si>
  <si>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</si>
  <si>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</si>
  <si>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</si>
  <si>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</si>
  <si>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</si>
  <si>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</si>
  <si>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</si>
  <si>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</si>
  <si>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</si>
  <si>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</si>
  <si>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</si>
  <si>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</si>
  <si>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</si>
  <si>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</si>
  <si>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</si>
  <si>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</si>
  <si>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</si>
  <si>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</si>
  <si>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</si>
  <si>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</si>
  <si>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</si>
  <si>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</si>
  <si>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</si>
  <si>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</si>
  <si>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</si>
  <si>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</si>
  <si>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</si>
  <si>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</si>
  <si>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</si>
  <si>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</si>
  <si>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</si>
  <si>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</si>
  <si>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</si>
  <si>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</si>
  <si>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</si>
  <si>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</si>
  <si>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</si>
  <si>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</si>
  <si>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</si>
  <si>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</si>
  <si>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</si>
  <si>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</si>
  <si>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</si>
  <si>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</si>
  <si>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</si>
  <si>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</si>
  <si>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</si>
  <si>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</si>
  <si>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</si>
  <si>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</si>
  <si>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</si>
  <si>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</si>
  <si>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</si>
  <si>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</si>
  <si>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</si>
  <si>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</si>
  <si>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</si>
  <si>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</si>
  <si>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</si>
  <si>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</si>
  <si>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</si>
  <si>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</si>
  <si>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</si>
  <si>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</si>
  <si>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</si>
  <si>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</si>
  <si>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</si>
  <si>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</si>
  <si>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</si>
  <si>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</si>
  <si>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</si>
  <si>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</si>
  <si>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</si>
  <si>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</si>
  <si>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</si>
  <si>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</si>
  <si>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</si>
  <si>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</si>
  <si>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</si>
  <si>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</si>
  <si>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</si>
  <si>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</si>
  <si>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</si>
  <si>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</si>
  <si>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</si>
  <si>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</si>
  <si>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</si>
  <si>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</si>
  <si>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</si>
  <si>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</si>
  <si>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</si>
  <si>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</si>
  <si>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</si>
  <si>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</si>
  <si>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</si>
  <si>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</si>
  <si>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</si>
  <si>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</si>
  <si>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</si>
  <si>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</si>
  <si>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</si>
  <si>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</si>
  <si>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</si>
  <si>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</si>
  <si>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</si>
  <si>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</si>
  <si>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</si>
  <si>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</si>
  <si>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</si>
  <si>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</si>
  <si>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</si>
  <si>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</si>
  <si>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</si>
  <si>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</si>
  <si>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</si>
  <si>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</si>
  <si>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</si>
  <si>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</si>
  <si>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</si>
  <si>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</si>
  <si>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</si>
  <si>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</si>
  <si>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</si>
  <si>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</si>
  <si>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</si>
  <si>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</si>
  <si>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</si>
  <si>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</si>
  <si>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</si>
  <si>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</si>
  <si>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</si>
  <si>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</si>
  <si>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</si>
  <si>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</si>
  <si>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</si>
  <si>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</si>
  <si>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</si>
  <si>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</si>
  <si>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</si>
  <si>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</si>
  <si>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</si>
  <si>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</si>
  <si>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</si>
  <si>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</si>
  <si>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</si>
  <si>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</si>
  <si>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</si>
  <si>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</si>
  <si>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</si>
  <si>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</si>
  <si>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</si>
  <si>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</si>
  <si>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</si>
  <si>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</si>
  <si>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</si>
  <si>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</si>
  <si>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</si>
  <si>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</si>
  <si>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</si>
  <si>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</si>
  <si>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</si>
  <si>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</si>
  <si>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</si>
  <si>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</si>
  <si>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</si>
  <si>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</si>
  <si>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</si>
  <si>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</si>
  <si>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</si>
  <si>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</si>
  <si>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</si>
  <si>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</si>
  <si>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</si>
  <si>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</si>
  <si>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</si>
  <si>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</si>
  <si>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</si>
  <si>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</si>
  <si>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</si>
  <si>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</si>
  <si>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</si>
  <si>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</si>
  <si>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</si>
  <si>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</si>
  <si>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</si>
  <si>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</si>
  <si>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</si>
  <si>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</si>
  <si>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</si>
  <si>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</si>
  <si>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</si>
  <si>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</si>
  <si>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</si>
  <si>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</si>
  <si>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</si>
  <si>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</si>
  <si>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</si>
  <si>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</si>
  <si>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</si>
  <si>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</si>
  <si>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</si>
  <si>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</si>
  <si>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</si>
  <si>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</si>
  <si>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</si>
  <si>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</si>
  <si>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</si>
  <si>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</si>
  <si>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</si>
  <si>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</si>
  <si>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</si>
  <si>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</si>
  <si>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</si>
  <si>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</si>
  <si>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</si>
  <si>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</si>
  <si>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</si>
  <si>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</si>
  <si>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</si>
  <si>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</si>
  <si>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</si>
  <si>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</si>
  <si>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</si>
  <si>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</si>
  <si>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</si>
  <si>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</si>
  <si>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</si>
  <si>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</si>
  <si>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</si>
  <si>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</si>
  <si>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</si>
  <si>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</si>
  <si>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</si>
  <si>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</si>
  <si>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</si>
  <si>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</si>
  <si>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</si>
  <si>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</si>
  <si>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</si>
  <si>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</si>
  <si>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</si>
  <si>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</si>
  <si>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</si>
  <si>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</si>
  <si>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</si>
  <si>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</si>
  <si>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</si>
  <si>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</si>
  <si>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</si>
  <si>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</si>
  <si>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</si>
  <si>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</si>
  <si>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</si>
  <si>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</si>
  <si>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</si>
  <si>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</si>
  <si>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</si>
  <si>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</si>
  <si>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</si>
  <si>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</si>
  <si>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</si>
  <si>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</si>
  <si>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</si>
  <si>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</si>
  <si>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</si>
  <si>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</si>
  <si>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</si>
  <si>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</si>
  <si>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</si>
  <si>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</si>
  <si>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</si>
  <si>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</si>
  <si>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</si>
  <si>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</si>
  <si>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</si>
  <si>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</si>
  <si>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</si>
  <si>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</si>
  <si>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</si>
  <si>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</si>
  <si>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</si>
  <si>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</si>
  <si>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</si>
  <si>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</si>
  <si>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</si>
  <si>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</si>
  <si>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</si>
  <si>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</si>
  <si>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</si>
  <si>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</si>
  <si>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</si>
  <si>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</si>
  <si>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</si>
  <si>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</si>
  <si>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</si>
  <si>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</si>
  <si>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</si>
  <si>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</si>
  <si>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</si>
  <si>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</si>
  <si>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</si>
  <si>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</si>
  <si>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</si>
  <si>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</si>
  <si>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</si>
  <si>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</si>
  <si>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</si>
  <si>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</si>
  <si>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</si>
  <si>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</si>
  <si>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</si>
  <si>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</si>
  <si>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</si>
  <si>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</si>
  <si>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</si>
  <si>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</si>
  <si>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</si>
  <si>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</si>
  <si>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</si>
  <si>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</si>
  <si>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</si>
  <si>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</si>
  <si>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</si>
  <si>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</si>
  <si>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</si>
  <si>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</si>
  <si>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</si>
  <si>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</si>
  <si>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</si>
  <si>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</si>
  <si>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</si>
  <si>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</si>
  <si>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</si>
  <si>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</si>
  <si>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</si>
  <si>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</si>
  <si>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</si>
  <si>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</si>
  <si>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</si>
  <si>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</si>
  <si>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</si>
  <si>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</si>
  <si>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</si>
  <si>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</si>
  <si>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</si>
  <si>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</si>
  <si>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</si>
  <si>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</si>
  <si>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</si>
  <si>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</si>
  <si>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</si>
  <si>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</si>
  <si>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</si>
  <si>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</si>
  <si>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</si>
  <si>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</si>
  <si>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</si>
  <si>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</si>
  <si>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</si>
  <si>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</si>
  <si>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</si>
  <si>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</si>
  <si>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</si>
  <si>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</si>
  <si>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</si>
  <si>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</si>
  <si>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</si>
  <si>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</si>
  <si>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</si>
  <si>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</si>
  <si>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</si>
  <si>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</si>
  <si>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</si>
  <si>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</si>
  <si>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</si>
  <si>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</si>
  <si>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</si>
  <si>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</si>
  <si>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</si>
  <si>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</si>
  <si>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</si>
  <si>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</si>
  <si>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</si>
  <si>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</si>
  <si>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</si>
  <si>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</si>
  <si>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</si>
  <si>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</si>
  <si>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</si>
  <si>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</si>
  <si>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</si>
  <si>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</si>
  <si>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</si>
  <si>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</si>
  <si>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</si>
  <si>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</si>
  <si>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</si>
  <si>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</si>
  <si>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</si>
  <si>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</si>
  <si>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</si>
  <si>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</si>
  <si>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</si>
  <si>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</si>
  <si>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</si>
  <si>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</si>
  <si>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</si>
  <si>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</si>
  <si>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</si>
  <si>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</si>
  <si>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</si>
  <si>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</si>
  <si>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</si>
  <si>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</si>
  <si>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</si>
  <si>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</si>
  <si>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</si>
  <si>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</si>
  <si>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</si>
  <si>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</si>
  <si>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</si>
  <si>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</si>
  <si>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</si>
  <si>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</si>
  <si>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</si>
  <si>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</si>
  <si>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</si>
  <si>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</si>
  <si>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</si>
  <si>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</si>
  <si>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</si>
  <si>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</si>
  <si>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</si>
  <si>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</si>
  <si>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</si>
  <si>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</si>
  <si>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</si>
  <si>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</si>
  <si>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</si>
  <si>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</si>
  <si>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</si>
  <si>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</si>
  <si>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</si>
  <si>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</si>
  <si>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</si>
  <si>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</si>
  <si>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</si>
  <si>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</si>
  <si>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</si>
  <si>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</si>
  <si>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</si>
  <si>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</si>
  <si>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</si>
  <si>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</si>
  <si>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</si>
  <si>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</si>
  <si>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</si>
  <si>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</si>
  <si>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</si>
  <si>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</si>
  <si>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</si>
  <si>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</si>
  <si>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</si>
  <si>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</si>
  <si>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</si>
  <si>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</si>
  <si>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</si>
  <si>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</si>
  <si>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</si>
  <si>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</si>
  <si>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</si>
  <si>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</si>
  <si>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</si>
  <si>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</si>
  <si>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</si>
  <si>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</si>
  <si>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</si>
  <si>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</si>
  <si>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</si>
  <si>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</si>
  <si>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</si>
  <si>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</si>
  <si>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</si>
  <si>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</si>
  <si>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</si>
  <si>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</si>
  <si>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</si>
  <si>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</si>
  <si>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</si>
  <si>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</si>
  <si>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</si>
  <si>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</si>
  <si>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</si>
  <si>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</si>
  <si>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</si>
  <si>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</si>
  <si>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</si>
  <si>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</si>
  <si>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</si>
  <si>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</si>
  <si>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</si>
  <si>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</si>
  <si>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</si>
  <si>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</si>
  <si>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</si>
  <si>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</si>
  <si>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</si>
  <si>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</si>
  <si>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</si>
  <si>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</si>
  <si>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</si>
  <si>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</si>
  <si>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</si>
  <si>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</si>
  <si>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</si>
  <si>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</si>
  <si>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</si>
  <si>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</si>
  <si>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</si>
  <si>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</si>
  <si>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</si>
  <si>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</si>
  <si>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</si>
  <si>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</si>
  <si>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</si>
  <si>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</si>
  <si>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</si>
  <si>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</si>
  <si>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</si>
  <si>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</si>
  <si>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</si>
  <si>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</si>
  <si>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</si>
  <si>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</si>
  <si>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</si>
  <si>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</si>
  <si>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</si>
  <si>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</si>
  <si>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</si>
  <si>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</si>
  <si>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</si>
  <si>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</si>
  <si>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</si>
  <si>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</si>
  <si>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</si>
  <si>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</si>
  <si>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</si>
  <si>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</si>
  <si>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</si>
  <si>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</si>
  <si>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</si>
  <si>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</si>
  <si>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</si>
  <si>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</si>
  <si>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</si>
  <si>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</si>
  <si>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</si>
  <si>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</si>
  <si>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</si>
  <si>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</si>
  <si>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</si>
  <si>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</si>
  <si>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</si>
  <si>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</si>
  <si>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</si>
  <si>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</si>
  <si>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</si>
  <si>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</si>
  <si>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</si>
  <si>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</si>
  <si>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</si>
  <si>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</si>
  <si>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</si>
  <si>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</si>
  <si>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</si>
  <si>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</si>
  <si>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</si>
  <si>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</si>
  <si>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</si>
  <si>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</si>
  <si>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</si>
  <si>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</si>
  <si>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</si>
  <si>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</si>
  <si>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</si>
  <si>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</si>
  <si>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</si>
  <si>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</si>
  <si>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</si>
  <si>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</si>
  <si>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</si>
  <si>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</si>
  <si>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</si>
  <si>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</si>
  <si>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</si>
  <si>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</si>
  <si>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</si>
  <si>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</si>
  <si>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</si>
  <si>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</si>
  <si>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</si>
  <si>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</si>
  <si>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</si>
  <si>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</si>
  <si>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</si>
  <si>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</si>
  <si>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</si>
  <si>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</si>
  <si>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</si>
  <si>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</si>
  <si>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</si>
  <si>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</si>
  <si>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</si>
  <si>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</si>
  <si>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</si>
  <si>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</si>
  <si>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</si>
  <si>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</si>
  <si>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</si>
  <si>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</si>
  <si>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</si>
  <si>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</si>
  <si>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</si>
  <si>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</si>
  <si>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</si>
  <si>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</si>
  <si>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</si>
  <si>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</si>
  <si>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</si>
  <si>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</si>
  <si>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</si>
  <si>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</si>
  <si>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</si>
  <si>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</si>
  <si>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</si>
  <si>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</si>
  <si>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</si>
  <si>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</si>
  <si>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</si>
  <si>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</si>
  <si>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</si>
  <si>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</si>
  <si>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</si>
  <si>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</si>
  <si>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</si>
  <si>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</si>
  <si>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</si>
  <si>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</si>
  <si>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</si>
  <si>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</si>
  <si>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</si>
  <si>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</si>
  <si>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</si>
  <si>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</si>
  <si>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</si>
  <si>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</si>
  <si>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</si>
  <si>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</si>
  <si>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</si>
  <si>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</si>
  <si>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</si>
  <si>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</si>
  <si>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</si>
  <si>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</si>
  <si>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</si>
  <si>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</si>
  <si>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</si>
  <si>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</si>
  <si>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</si>
  <si>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</si>
  <si>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</si>
  <si>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</si>
  <si>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</si>
  <si>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</si>
  <si>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</si>
  <si>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</si>
  <si>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</si>
  <si>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</si>
  <si>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</si>
  <si>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</si>
  <si>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</si>
  <si>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</si>
  <si>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</si>
  <si>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</si>
  <si>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</si>
  <si>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</si>
  <si>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</si>
  <si>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</si>
  <si>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</si>
  <si>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</si>
  <si>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</si>
  <si>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</si>
  <si>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</si>
  <si>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</si>
  <si>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</si>
  <si>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</si>
  <si>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</si>
  <si>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</si>
  <si>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</si>
  <si>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</si>
  <si>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</si>
  <si>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</si>
  <si>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</si>
  <si>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</si>
  <si>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</si>
  <si>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</si>
  <si>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</si>
  <si>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</si>
  <si>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</si>
  <si>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</si>
  <si>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</si>
  <si>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</si>
  <si>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</si>
  <si>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</si>
  <si>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</si>
  <si>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</si>
  <si>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</si>
  <si>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</si>
  <si>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</si>
  <si>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</si>
  <si>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</si>
  <si>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</si>
  <si>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</si>
  <si>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</si>
  <si>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</si>
  <si>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</si>
  <si>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</si>
  <si>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</si>
  <si>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</si>
  <si>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</si>
  <si>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</si>
  <si>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</si>
  <si>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</si>
  <si>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</si>
  <si>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</si>
  <si>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</si>
  <si>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</si>
  <si>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</si>
  <si>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</si>
  <si>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</si>
  <si>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</si>
  <si>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</si>
  <si>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</si>
  <si>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</si>
  <si>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</si>
  <si>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</si>
  <si>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</si>
  <si>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</si>
  <si>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</si>
  <si>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</si>
  <si>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</si>
  <si>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</si>
  <si>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</si>
  <si>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</si>
  <si>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</si>
  <si>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</si>
  <si>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</si>
  <si>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</si>
  <si>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</si>
  <si>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</si>
  <si>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</si>
  <si>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</si>
  <si>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</si>
  <si>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</si>
  <si>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</si>
  <si>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</si>
  <si>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</si>
  <si>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</si>
  <si>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</si>
  <si>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</si>
  <si>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</si>
  <si>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</si>
  <si>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</si>
  <si>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</si>
  <si>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</si>
  <si>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</si>
  <si>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</si>
  <si>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</si>
  <si>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</si>
  <si>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</si>
  <si>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</si>
  <si>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</si>
  <si>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</si>
  <si>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</si>
  <si>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</si>
  <si>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</si>
  <si>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</si>
  <si>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</si>
  <si>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</si>
  <si>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</si>
  <si>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</si>
  <si>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</si>
  <si>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</si>
  <si>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</si>
  <si>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</si>
  <si>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</si>
  <si>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</si>
  <si>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</si>
  <si>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</si>
  <si>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</si>
  <si>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</si>
  <si>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</si>
  <si>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</si>
  <si>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</si>
  <si>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</si>
  <si>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</si>
  <si>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</si>
  <si>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</si>
  <si>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</si>
  <si>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</si>
  <si>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</si>
  <si>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</si>
  <si>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</si>
  <si>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</si>
  <si>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</si>
  <si>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</si>
  <si>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</si>
  <si>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</si>
  <si>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</si>
  <si>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</si>
  <si>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</si>
  <si>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</si>
  <si>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</si>
  <si>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</si>
  <si>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</si>
  <si>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</si>
  <si>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</si>
  <si>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</si>
  <si>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</si>
  <si>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</si>
  <si>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</si>
  <si>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</si>
  <si>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</si>
  <si>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</si>
  <si>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</si>
  <si>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</si>
  <si>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</si>
  <si>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</si>
  <si>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</si>
  <si>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</si>
  <si>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</si>
  <si>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</si>
  <si>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</si>
  <si>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</si>
  <si>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</si>
  <si>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</si>
  <si>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</si>
  <si>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</si>
  <si>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</si>
  <si>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</si>
  <si>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</si>
  <si>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</si>
  <si>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</si>
  <si>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</si>
  <si>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</si>
  <si>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</si>
  <si>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</si>
  <si>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</si>
  <si>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</si>
  <si>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</si>
  <si>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</si>
  <si>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</si>
  <si>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</si>
  <si>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</si>
  <si>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</si>
  <si>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</si>
  <si>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</si>
  <si>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</si>
  <si>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</si>
  <si>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</si>
  <si>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</si>
  <si>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</si>
  <si>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</si>
  <si>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</si>
  <si>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</si>
  <si>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</si>
  <si>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</si>
  <si>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</si>
  <si>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</si>
  <si>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</si>
  <si>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</si>
  <si>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</si>
  <si>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</si>
  <si>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</si>
  <si>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</si>
  <si>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</si>
  <si>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</si>
  <si>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</si>
  <si>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</si>
  <si>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</si>
  <si>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</si>
  <si>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</si>
  <si>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</si>
  <si>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</si>
  <si>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</si>
  <si>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</si>
  <si>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</si>
  <si>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</si>
  <si>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</si>
  <si>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</si>
  <si>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</si>
  <si>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</si>
  <si>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</si>
  <si>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</si>
  <si>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</si>
  <si>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</si>
  <si>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</si>
  <si>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</si>
  <si>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</si>
  <si>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</si>
  <si>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</si>
  <si>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</si>
  <si>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</si>
  <si>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</si>
  <si>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</si>
  <si>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</si>
  <si>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</si>
  <si>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</si>
  <si>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</si>
  <si>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</si>
  <si>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</si>
  <si>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</si>
  <si>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</si>
  <si>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</si>
  <si>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</si>
  <si>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</si>
  <si>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</si>
  <si>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</si>
  <si>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</si>
  <si>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</si>
  <si>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</si>
  <si>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</si>
  <si>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</si>
  <si>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</si>
  <si>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</si>
  <si>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</si>
  <si>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</si>
  <si>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</si>
  <si>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</si>
  <si>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</si>
  <si>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</si>
  <si>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</si>
  <si>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</si>
  <si>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</si>
  <si>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</si>
  <si>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</si>
  <si>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</si>
  <si>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</si>
  <si>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</si>
  <si>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</si>
  <si>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</si>
  <si>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</si>
  <si>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</si>
  <si>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</si>
  <si>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</si>
  <si>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</si>
  <si>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</si>
  <si>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</si>
  <si>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</si>
  <si>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</si>
  <si>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</si>
  <si>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</si>
  <si>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</si>
  <si>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</si>
  <si>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</si>
  <si>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</si>
  <si>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</si>
  <si>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</si>
  <si>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</si>
  <si>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</si>
  <si>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</si>
  <si>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</si>
  <si>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</si>
  <si>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</si>
  <si>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</si>
  <si>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</si>
  <si>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</si>
  <si>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</si>
  <si>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</si>
  <si>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</si>
  <si>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</si>
  <si>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</si>
  <si>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</si>
  <si>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</si>
  <si>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</si>
  <si>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</si>
  <si>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</si>
  <si>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</si>
  <si>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</si>
  <si>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</si>
  <si>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</si>
  <si>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</si>
  <si>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</si>
  <si>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</si>
  <si>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</si>
  <si>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</si>
  <si>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</si>
  <si>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</si>
  <si>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</si>
  <si>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</si>
  <si>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</si>
  <si>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</si>
  <si>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</si>
  <si>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</si>
  <si>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</si>
  <si>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</si>
  <si>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</si>
  <si>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</si>
  <si>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</si>
  <si>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</si>
  <si>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</si>
  <si>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</si>
  <si>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</si>
  <si>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</si>
  <si>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</si>
  <si>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</si>
  <si>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</si>
  <si>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</si>
  <si>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</si>
  <si>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</si>
  <si>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</si>
  <si>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</si>
  <si>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</si>
  <si>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</si>
  <si>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</si>
  <si>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</si>
  <si>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</si>
  <si>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</si>
  <si>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</si>
  <si>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</si>
  <si>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</si>
  <si>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</si>
  <si>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</si>
  <si>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</si>
  <si>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</si>
  <si>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</si>
  <si>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</si>
  <si>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</si>
  <si>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</si>
  <si>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</si>
  <si>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</si>
  <si>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</si>
  <si>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</si>
  <si>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</si>
  <si>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</si>
  <si>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</si>
  <si>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</si>
  <si>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</si>
  <si>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</si>
  <si>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</si>
  <si>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</si>
  <si>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</si>
  <si>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</si>
  <si>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</si>
  <si>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</si>
  <si>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</si>
  <si>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</si>
  <si>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</si>
  <si>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</si>
  <si>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</si>
  <si>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</si>
  <si>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</si>
  <si>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</si>
  <si>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</si>
  <si>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</si>
  <si>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</si>
  <si>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</si>
  <si>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</si>
  <si>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</si>
  <si>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</si>
  <si>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</si>
  <si>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</si>
  <si>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</si>
  <si>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</si>
  <si>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</si>
  <si>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</si>
  <si>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</si>
  <si>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</si>
  <si>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</si>
  <si>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</si>
  <si>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</si>
  <si>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</si>
  <si>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</si>
  <si>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</si>
  <si>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</si>
  <si>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</si>
  <si>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</si>
  <si>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</si>
  <si>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</si>
  <si>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</si>
  <si>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</si>
  <si>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</si>
  <si>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</si>
  <si>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</si>
  <si>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</si>
  <si>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</si>
  <si>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</si>
  <si>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</si>
  <si>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</si>
  <si>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</si>
  <si>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</si>
  <si>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</si>
  <si>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</si>
  <si>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</si>
  <si>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</si>
  <si>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</si>
  <si>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</si>
  <si>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</si>
  <si>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</si>
  <si>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</si>
  <si>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</si>
  <si>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</si>
  <si>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</si>
  <si>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</si>
  <si>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</si>
  <si>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</si>
  <si>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</si>
  <si>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</si>
  <si>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</si>
  <si>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</si>
  <si>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</si>
  <si>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</si>
  <si>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</si>
  <si>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</si>
  <si>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</si>
  <si>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</si>
  <si>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</si>
  <si>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</si>
  <si>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</si>
  <si>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</si>
  <si>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</si>
  <si>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</si>
  <si>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</si>
  <si>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</si>
  <si>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</si>
  <si>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</si>
  <si>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</si>
  <si>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</si>
  <si>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</si>
  <si>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</si>
  <si>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</si>
  <si>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</si>
  <si>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</si>
  <si>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</si>
  <si>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</si>
  <si>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</si>
  <si>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</si>
  <si>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</si>
  <si>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</si>
  <si>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</si>
  <si>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</si>
  <si>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</si>
  <si>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</si>
  <si>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</si>
  <si>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</si>
  <si>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</si>
  <si>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</si>
  <si>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</si>
  <si>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</si>
  <si>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</si>
  <si>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</si>
  <si>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</si>
  <si>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</si>
  <si>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</si>
  <si>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</si>
  <si>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</si>
  <si>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</si>
  <si>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</si>
  <si>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</si>
  <si>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</si>
  <si>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</si>
  <si>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</si>
  <si>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</si>
  <si>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</si>
  <si>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</si>
  <si>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</si>
  <si>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</si>
  <si>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</si>
  <si>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</si>
  <si>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</si>
  <si>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</si>
  <si>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</si>
  <si>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</si>
  <si>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</si>
  <si>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</si>
  <si>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</si>
  <si>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</si>
  <si>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</si>
  <si>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</si>
  <si>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</si>
  <si>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</si>
  <si>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</si>
  <si>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</si>
  <si>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</si>
  <si>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</si>
  <si>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</si>
  <si>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</si>
  <si>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</si>
  <si>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</si>
  <si>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</si>
  <si>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</si>
  <si>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</si>
  <si>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</si>
  <si>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</si>
  <si>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</si>
  <si>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</si>
  <si>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</si>
  <si>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</si>
  <si>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</si>
  <si>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</si>
  <si>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</si>
  <si>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</si>
  <si>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</si>
  <si>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</si>
  <si>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</si>
  <si>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</si>
  <si>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</si>
  <si>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</si>
  <si>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</si>
  <si>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</si>
  <si>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</si>
  <si>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</si>
  <si>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</si>
  <si>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</si>
  <si>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</si>
  <si>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</si>
  <si>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</si>
  <si>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</si>
  <si>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</si>
  <si>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</si>
  <si>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</si>
  <si>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</si>
  <si>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</si>
  <si>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</si>
  <si>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</si>
  <si>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</si>
  <si>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</si>
  <si>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</si>
  <si>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</si>
  <si>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</si>
  <si>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</si>
  <si>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</si>
  <si>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</si>
  <si>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</si>
  <si>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</si>
  <si>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</si>
  <si>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</si>
  <si>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</si>
  <si>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</si>
  <si>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</si>
  <si>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</si>
  <si>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</si>
  <si>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</si>
  <si>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</si>
  <si>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</si>
  <si>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</si>
  <si>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</si>
  <si>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</si>
  <si>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</si>
  <si>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</si>
  <si>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</si>
  <si>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</si>
  <si>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</si>
  <si>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</si>
  <si>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</si>
  <si>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</si>
  <si>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</si>
  <si>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</si>
  <si>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</si>
  <si>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</si>
  <si>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</si>
  <si>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</si>
  <si>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</si>
  <si>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</si>
  <si>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</si>
  <si>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</si>
  <si>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</si>
  <si>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</si>
  <si>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</si>
  <si>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</si>
  <si>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</si>
  <si>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</si>
  <si>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</si>
  <si>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</si>
  <si>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</si>
  <si>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</si>
  <si>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</si>
  <si>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</si>
  <si>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</si>
  <si>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</si>
  <si>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</si>
  <si>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</si>
  <si>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</si>
  <si>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</si>
  <si>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</si>
  <si>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</si>
  <si>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</si>
  <si>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</si>
  <si>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</si>
  <si>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</si>
  <si>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</si>
  <si>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</si>
  <si>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</si>
  <si>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</si>
  <si>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</si>
  <si>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</si>
  <si>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</si>
  <si>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</si>
  <si>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</si>
  <si>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</si>
  <si>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</si>
  <si>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</si>
  <si>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</si>
  <si>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</si>
  <si>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</si>
  <si>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</si>
  <si>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</si>
  <si>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</si>
  <si>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</si>
  <si>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</si>
  <si>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</si>
  <si>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</si>
  <si>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</si>
  <si>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</si>
  <si>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</si>
  <si>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</si>
  <si>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</si>
  <si>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</si>
  <si>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</si>
  <si>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</si>
  <si>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</si>
  <si>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</si>
  <si>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</si>
  <si>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</si>
  <si>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</si>
  <si>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</si>
  <si>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</si>
  <si>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</si>
  <si>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</si>
  <si>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</si>
  <si>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</si>
  <si>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</si>
  <si>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</si>
  <si>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</si>
  <si>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</si>
  <si>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</si>
  <si>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</si>
  <si>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</si>
  <si>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</si>
  <si>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</si>
  <si>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</si>
  <si>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</si>
  <si>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</si>
  <si>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</si>
  <si>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</si>
  <si>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</si>
  <si>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</si>
  <si>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</si>
  <si>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</si>
  <si>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</si>
  <si>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</si>
  <si>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</si>
  <si>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</si>
  <si>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</si>
  <si>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</si>
  <si>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</si>
  <si>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</si>
  <si>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</si>
  <si>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</si>
  <si>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</si>
  <si>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</si>
  <si>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</si>
  <si>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</si>
  <si>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</si>
  <si>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</si>
  <si>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</si>
  <si>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</si>
  <si>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</si>
  <si>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</si>
  <si>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</si>
  <si>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</si>
  <si>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</si>
  <si>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</si>
  <si>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</si>
  <si>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</si>
  <si>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</si>
  <si>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</si>
  <si>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</si>
  <si>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</si>
  <si>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</si>
  <si>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</si>
  <si>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</si>
  <si>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</si>
  <si>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</si>
  <si>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</si>
  <si>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</si>
  <si>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</si>
  <si>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</si>
  <si>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</si>
  <si>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</si>
  <si>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</si>
  <si>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</si>
  <si>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</si>
  <si>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</si>
  <si>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</si>
  <si>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</si>
  <si>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</si>
  <si>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</si>
  <si>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</si>
  <si>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</si>
  <si>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</si>
  <si>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</si>
  <si>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</si>
  <si>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</si>
  <si>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</si>
  <si>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</si>
  <si>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</si>
  <si>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</si>
  <si>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</si>
  <si>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</si>
  <si>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</si>
  <si>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</si>
  <si>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</si>
  <si>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</si>
  <si>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</si>
  <si>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</si>
  <si>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</si>
  <si>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</si>
  <si>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</si>
  <si>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</si>
  <si>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</si>
  <si>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</si>
  <si>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</si>
  <si>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</si>
  <si>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</si>
  <si>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</si>
  <si>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</si>
  <si>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</si>
  <si>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</si>
  <si>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</si>
  <si>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</si>
  <si>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</si>
  <si>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</si>
  <si>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</si>
  <si>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</si>
  <si>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</si>
  <si>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</si>
  <si>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</si>
  <si>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</si>
  <si>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</si>
  <si>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</si>
  <si>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</si>
  <si>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</si>
  <si>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</si>
  <si>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</si>
  <si>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</si>
  <si>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</si>
  <si>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</si>
  <si>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</si>
  <si>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</si>
  <si>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</si>
  <si>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</si>
  <si>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</si>
  <si>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</si>
  <si>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</si>
  <si>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</si>
  <si>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</si>
  <si>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</si>
  <si>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</si>
  <si>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</si>
  <si>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</si>
  <si>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</si>
  <si>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</si>
  <si>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</si>
  <si>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</si>
  <si>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</si>
  <si>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</si>
  <si>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</si>
  <si>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</si>
  <si>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</si>
  <si>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</si>
  <si>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</si>
  <si>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</si>
  <si>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</si>
  <si>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</si>
  <si>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</si>
  <si>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</si>
  <si>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</si>
  <si>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</si>
  <si>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</si>
  <si>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</si>
  <si>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</si>
  <si>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</si>
  <si>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</si>
  <si>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</si>
  <si>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</si>
  <si>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</si>
  <si>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</si>
  <si>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</si>
  <si>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</si>
  <si>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</si>
  <si>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</si>
  <si>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</si>
  <si>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</si>
  <si>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</si>
  <si>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</si>
  <si>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</si>
  <si>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</si>
  <si>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</si>
  <si>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</si>
  <si>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</si>
  <si>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</si>
  <si>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</si>
  <si>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</si>
  <si>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</si>
  <si>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</si>
  <si>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</si>
  <si>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</si>
  <si>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</si>
  <si>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</si>
  <si>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</si>
  <si>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</si>
  <si>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</si>
  <si>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</si>
  <si>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</si>
  <si>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</si>
  <si>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</si>
  <si>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</si>
  <si>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</si>
  <si>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</si>
  <si>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</si>
  <si>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</si>
  <si>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</si>
  <si>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</si>
  <si>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</si>
  <si>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</si>
  <si>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</si>
  <si>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</si>
  <si>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</si>
  <si>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</si>
  <si>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</si>
  <si>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</si>
  <si>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</si>
  <si>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</si>
  <si>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</si>
  <si>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</si>
  <si>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</si>
  <si>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</si>
  <si>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</si>
  <si>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</si>
  <si>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</si>
  <si>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</si>
  <si>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</si>
  <si>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</si>
  <si>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</si>
  <si>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</si>
  <si>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</si>
  <si>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</si>
  <si>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</si>
  <si>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</si>
  <si>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</si>
  <si>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</si>
  <si>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</si>
  <si>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</si>
  <si>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</si>
  <si>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</si>
  <si>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</si>
  <si>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</si>
  <si>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</si>
  <si>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</si>
  <si>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</si>
  <si>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</si>
  <si>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</si>
  <si>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</si>
  <si>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</si>
  <si>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</si>
  <si>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</si>
  <si>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</si>
  <si>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</si>
  <si>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</si>
  <si>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</si>
  <si>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</si>
  <si>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</si>
  <si>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</si>
  <si>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</si>
  <si>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</si>
  <si>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</si>
  <si>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</si>
  <si>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</si>
  <si>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</si>
  <si>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</si>
  <si>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</si>
  <si>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</si>
  <si>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</si>
  <si>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</si>
  <si>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</si>
  <si>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</si>
  <si>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</si>
  <si>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</si>
  <si>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</si>
  <si>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</si>
  <si>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</si>
  <si>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</si>
  <si>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</si>
  <si>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</si>
  <si>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</si>
  <si>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</si>
  <si>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</si>
  <si>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</si>
  <si>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</si>
  <si>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</si>
  <si>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</si>
  <si>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</si>
  <si>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</si>
  <si>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</si>
  <si>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</si>
  <si>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</si>
  <si>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</si>
  <si>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</si>
  <si>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</si>
  <si>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</si>
  <si>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</si>
  <si>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</si>
  <si>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</si>
  <si>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</si>
  <si>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</si>
  <si>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</si>
  <si>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</si>
  <si>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</si>
  <si>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</si>
  <si>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</si>
  <si>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</si>
  <si>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</si>
  <si>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</si>
  <si>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</si>
  <si>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</si>
  <si>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</si>
  <si>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</si>
  <si>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</si>
  <si>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</si>
  <si>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</si>
  <si>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</si>
  <si>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</si>
  <si>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</si>
  <si>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</si>
  <si>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</si>
  <si>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</si>
  <si>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</si>
  <si>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</si>
  <si>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</si>
  <si>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</si>
  <si>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</si>
  <si>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</si>
  <si>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</si>
  <si>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</si>
  <si>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</si>
  <si>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</si>
  <si>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</si>
  <si>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</si>
  <si>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</si>
  <si>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</si>
  <si>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</si>
  <si>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</si>
  <si>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</si>
  <si>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</si>
  <si>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</si>
  <si>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</si>
  <si>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</si>
  <si>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</si>
  <si>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</si>
  <si>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</si>
  <si>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</si>
  <si>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</si>
  <si>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</si>
  <si>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</si>
  <si>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</si>
  <si>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</si>
  <si>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</si>
  <si>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</si>
  <si>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</si>
  <si>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</si>
  <si>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</si>
  <si>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</si>
  <si>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</si>
  <si>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</si>
  <si>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</si>
  <si>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</si>
  <si>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</si>
  <si>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</si>
  <si>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</si>
  <si>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</si>
  <si>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</si>
  <si>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</si>
  <si>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</si>
  <si>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</si>
  <si>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</si>
  <si>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</si>
  <si>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</si>
  <si>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</si>
  <si>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</si>
  <si>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</si>
  <si>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</si>
  <si>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</si>
  <si>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</si>
  <si>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</si>
  <si>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</si>
  <si>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</si>
  <si>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</si>
  <si>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</si>
  <si>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</si>
  <si>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</si>
  <si>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</si>
  <si>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</si>
  <si>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</si>
  <si>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</si>
  <si>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</si>
  <si>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</si>
  <si>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</si>
  <si>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</si>
  <si>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</si>
  <si>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</si>
  <si>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</si>
  <si>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</si>
  <si>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</si>
  <si>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</si>
  <si>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</si>
  <si>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</si>
  <si>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</si>
  <si>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</si>
  <si>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</si>
  <si>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</si>
  <si>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</si>
  <si>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</si>
  <si>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</si>
  <si>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</si>
  <si>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</si>
  <si>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</si>
  <si>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</si>
  <si>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</si>
  <si>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</si>
  <si>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</si>
  <si>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</si>
  <si>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</si>
  <si>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</si>
  <si>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</si>
  <si>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</si>
  <si>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</si>
  <si>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</si>
  <si>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</si>
  <si>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</si>
  <si>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</si>
  <si>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</si>
  <si>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</si>
  <si>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</si>
  <si>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</si>
  <si>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</si>
  <si>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</si>
  <si>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</si>
  <si>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</si>
  <si>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</si>
  <si>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</si>
  <si>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</si>
  <si>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</si>
  <si>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</si>
  <si>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</si>
  <si>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</si>
  <si>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</si>
  <si>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</si>
  <si>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</si>
  <si>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</si>
  <si>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</si>
  <si>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</si>
  <si>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</si>
  <si>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</si>
  <si>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</si>
  <si>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</si>
  <si>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</si>
  <si>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</si>
  <si>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</si>
  <si>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</si>
  <si>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</si>
  <si>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</si>
  <si>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</si>
  <si>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</si>
  <si>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</si>
  <si>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</si>
  <si>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</si>
  <si>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</si>
  <si>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</si>
  <si>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</si>
  <si>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</si>
  <si>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</si>
  <si>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</si>
  <si>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</si>
  <si>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</si>
  <si>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</si>
  <si>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</si>
  <si>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</si>
  <si>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</si>
  <si>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</si>
  <si>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</si>
  <si>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</si>
  <si>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</si>
  <si>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</si>
  <si>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</si>
  <si>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</si>
  <si>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</si>
  <si>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</si>
  <si>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</si>
  <si>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</si>
  <si>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</si>
  <si>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</si>
  <si>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</si>
  <si>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</si>
  <si>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</si>
  <si>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</si>
  <si>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</si>
  <si>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</si>
  <si>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</si>
  <si>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</si>
  <si>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</si>
  <si>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</si>
  <si>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</si>
  <si>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</si>
  <si>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</si>
  <si>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</si>
  <si>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</si>
  <si>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</si>
  <si>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</si>
  <si>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</si>
  <si>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</si>
  <si>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</si>
  <si>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</si>
  <si>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</si>
  <si>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</si>
  <si>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</si>
  <si>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</si>
  <si>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</si>
  <si>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</si>
  <si>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</si>
  <si>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</si>
  <si>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</si>
  <si>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</si>
  <si>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</si>
  <si>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</si>
  <si>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</si>
  <si>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</si>
  <si>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</si>
  <si>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</si>
  <si>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</si>
  <si>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</si>
  <si>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</si>
  <si>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</si>
  <si>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</si>
  <si>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</si>
  <si>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</si>
  <si>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</si>
  <si>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</si>
  <si>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</si>
  <si>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</si>
  <si>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</si>
  <si>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</si>
  <si>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</si>
  <si>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</si>
  <si>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</si>
  <si>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</si>
  <si>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</si>
  <si>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</si>
  <si>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</si>
  <si>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</si>
  <si>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</si>
  <si>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</si>
  <si>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</si>
  <si>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</si>
  <si>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</si>
  <si>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</si>
  <si>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</si>
  <si>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</si>
  <si>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</si>
  <si>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</si>
  <si>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</si>
  <si>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</si>
  <si>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</si>
  <si>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</si>
  <si>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</si>
  <si>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</si>
  <si>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</si>
  <si>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</si>
  <si>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</si>
  <si>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</si>
  <si>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</si>
  <si>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</si>
  <si>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</si>
  <si>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</si>
  <si>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</si>
  <si>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</si>
  <si>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</si>
  <si>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</si>
  <si>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</si>
  <si>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</si>
  <si>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</si>
  <si>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</si>
  <si>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</si>
  <si>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</si>
  <si>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</si>
  <si>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</si>
  <si>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</si>
  <si>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</si>
  <si>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</si>
  <si>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</si>
  <si>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</si>
  <si>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</si>
  <si>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</si>
  <si>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</si>
  <si>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</si>
  <si>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</si>
  <si>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</si>
  <si>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</si>
  <si>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</si>
  <si>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</si>
  <si>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</si>
  <si>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</si>
  <si>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</si>
  <si>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</si>
  <si>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</si>
  <si>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</si>
  <si>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</si>
  <si>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</si>
  <si>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</si>
  <si>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</si>
  <si>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</si>
  <si>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</si>
  <si>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</si>
  <si>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</si>
  <si>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</si>
  <si>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</si>
  <si>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</si>
  <si>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</si>
  <si>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</si>
  <si>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</si>
  <si>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</si>
  <si>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</si>
  <si>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</si>
  <si>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</si>
  <si>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</si>
  <si>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</si>
  <si>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</si>
  <si>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</si>
  <si>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</si>
  <si>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</si>
  <si>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</si>
  <si>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</si>
  <si>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</si>
  <si>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</si>
  <si>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</si>
  <si>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</si>
  <si>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</si>
  <si>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</si>
  <si>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</si>
  <si>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</si>
  <si>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</si>
  <si>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</si>
  <si>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</si>
  <si>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</si>
  <si>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</si>
  <si>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</si>
  <si>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</si>
  <si>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</si>
  <si>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</si>
  <si>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</si>
  <si>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</si>
  <si>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</si>
  <si>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</si>
  <si>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</si>
  <si>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</si>
  <si>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</si>
  <si>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</si>
  <si>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</si>
  <si>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</si>
  <si>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</si>
  <si>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</si>
  <si>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</si>
  <si>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</si>
  <si>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</si>
  <si>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</si>
  <si>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</si>
  <si>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</si>
  <si>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</si>
  <si>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</si>
  <si>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</si>
  <si>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</si>
  <si>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</si>
  <si>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</si>
  <si>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</si>
  <si>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</si>
  <si>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</si>
  <si>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</si>
  <si>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</si>
  <si>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</si>
  <si>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</si>
  <si>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</si>
  <si>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</si>
  <si>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</si>
  <si>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</si>
  <si>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</si>
  <si>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</si>
  <si>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</si>
  <si>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</si>
  <si>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</si>
  <si>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</si>
  <si>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</si>
  <si>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</si>
  <si>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</si>
  <si>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</si>
  <si>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</si>
  <si>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</si>
  <si>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</si>
  <si>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</si>
  <si>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</si>
  <si>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</si>
  <si>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</si>
  <si>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</si>
  <si>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</si>
  <si>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</si>
  <si>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</si>
  <si>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</si>
  <si>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</si>
  <si>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</si>
  <si>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</si>
  <si>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</si>
  <si>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</si>
  <si>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</si>
  <si>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</si>
  <si>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</si>
  <si>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</si>
  <si>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</si>
  <si>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</si>
  <si>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</si>
  <si>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</si>
  <si>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</si>
  <si>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</si>
  <si>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</si>
  <si>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</si>
  <si>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</si>
  <si>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</si>
  <si>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</si>
  <si>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</si>
  <si>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</si>
  <si>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</si>
  <si>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</si>
  <si>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</si>
  <si>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</si>
  <si>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</si>
  <si>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</si>
  <si>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</si>
  <si>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</si>
  <si>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</si>
  <si>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</si>
  <si>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</si>
  <si>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</si>
  <si>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</si>
  <si>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</si>
  <si>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</si>
  <si>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</si>
  <si>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</si>
  <si>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</si>
  <si>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</si>
  <si>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</si>
  <si>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</si>
  <si>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</si>
  <si>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</si>
  <si>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</si>
  <si>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</si>
  <si>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</si>
  <si>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</si>
  <si>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</si>
  <si>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</si>
  <si>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</si>
  <si>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</si>
  <si>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</si>
  <si>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</si>
  <si>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</si>
  <si>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</si>
  <si>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</si>
  <si>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</si>
  <si>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</si>
  <si>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</si>
  <si>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</si>
  <si>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</si>
  <si>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</si>
  <si>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</si>
  <si>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</si>
  <si>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</si>
  <si>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</si>
  <si>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</si>
  <si>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</si>
  <si>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</si>
  <si>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</si>
  <si>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</si>
  <si>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</si>
  <si>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</si>
  <si>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</si>
  <si>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</si>
  <si>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</si>
  <si>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</si>
  <si>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</si>
  <si>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</si>
  <si>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</si>
  <si>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</si>
  <si>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</si>
  <si>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</si>
  <si>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</si>
  <si>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</si>
  <si>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</si>
  <si>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</si>
  <si>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</si>
  <si>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</si>
  <si>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</si>
  <si>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</si>
  <si>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</si>
  <si>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</si>
  <si>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</si>
  <si>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</si>
  <si>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</si>
  <si>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</si>
  <si>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</si>
  <si>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</si>
  <si>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</si>
  <si>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</si>
  <si>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</si>
  <si>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</si>
  <si>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</si>
  <si>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</si>
  <si>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</si>
  <si>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</si>
  <si>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</si>
  <si>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</si>
  <si>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</si>
  <si>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</si>
  <si>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</si>
  <si>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</si>
  <si>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</si>
  <si>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</si>
  <si>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</si>
  <si>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</si>
  <si>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</si>
  <si>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</si>
  <si>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</si>
  <si>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</si>
  <si>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</si>
  <si>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</si>
  <si>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</si>
  <si>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</si>
  <si>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</si>
  <si>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</si>
  <si>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</si>
  <si>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</si>
  <si>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</si>
  <si>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</si>
  <si>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</si>
  <si>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</si>
  <si>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</si>
  <si>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</si>
  <si>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</si>
  <si>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</si>
  <si>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</si>
  <si>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</si>
  <si>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</si>
  <si>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</si>
  <si>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</si>
  <si>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</si>
  <si>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</si>
  <si>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</si>
  <si>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</si>
  <si>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</si>
  <si>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</si>
  <si>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</si>
  <si>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</si>
  <si>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</si>
  <si>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</si>
  <si>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</si>
  <si>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</si>
  <si>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</si>
  <si>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</si>
  <si>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</si>
  <si>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</si>
  <si>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</si>
  <si>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</si>
  <si>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</si>
  <si>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</si>
  <si>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</si>
  <si>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</si>
  <si>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</si>
  <si>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</si>
  <si>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</si>
  <si>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</si>
  <si>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</si>
  <si>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</si>
  <si>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</si>
  <si>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</si>
  <si>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</si>
  <si>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</si>
  <si>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</si>
  <si>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</si>
  <si>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</si>
  <si>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</si>
  <si>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</si>
  <si>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</si>
  <si>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</si>
  <si>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</si>
  <si>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</si>
  <si>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</si>
  <si>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</si>
  <si>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</si>
  <si>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</si>
  <si>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</si>
  <si>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</si>
  <si>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</si>
  <si>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</si>
  <si>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</si>
  <si>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</si>
  <si>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</si>
  <si>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</si>
  <si>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</si>
  <si>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</si>
  <si>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</si>
  <si>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</si>
  <si>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</si>
  <si>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</si>
  <si>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</si>
  <si>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</si>
  <si>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</si>
  <si>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</si>
  <si>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</si>
  <si>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</si>
  <si>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</si>
  <si>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</si>
  <si>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</si>
  <si>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</si>
  <si>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</si>
  <si>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</si>
  <si>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</si>
  <si>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</si>
  <si>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</si>
  <si>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</si>
  <si>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</si>
  <si>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</si>
  <si>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</si>
  <si>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</si>
  <si>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</si>
  <si>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</si>
  <si>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</si>
  <si>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</si>
  <si>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</si>
  <si>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</si>
  <si>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</si>
  <si>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</si>
  <si>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</si>
  <si>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</si>
  <si>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</si>
  <si>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</si>
  <si>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</si>
  <si>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</si>
  <si>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</si>
  <si>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</si>
  <si>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</si>
  <si>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</si>
  <si>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</si>
  <si>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</si>
  <si>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</si>
  <si>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</si>
  <si>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</si>
  <si>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</si>
  <si>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</si>
  <si>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</si>
  <si>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</si>
  <si>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</si>
  <si>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</si>
  <si>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</si>
  <si>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</si>
  <si>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</si>
  <si>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</si>
  <si>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</si>
  <si>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</si>
  <si>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</si>
  <si>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</si>
  <si>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</si>
  <si>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</si>
  <si>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</si>
  <si>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</si>
  <si>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</si>
  <si>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</si>
  <si>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</si>
  <si>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</si>
  <si>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</si>
  <si>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</si>
  <si>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</si>
  <si>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</si>
  <si>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</si>
  <si>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</si>
  <si>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</si>
  <si>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</si>
  <si>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</si>
  <si>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</si>
  <si>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</si>
  <si>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</si>
  <si>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</si>
  <si>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</si>
  <si>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</si>
  <si>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</si>
  <si>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</si>
  <si>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</si>
  <si>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</si>
  <si>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</si>
  <si>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</si>
  <si>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</si>
  <si>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</si>
  <si>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</si>
  <si>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</si>
  <si>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</si>
  <si>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</si>
  <si>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</si>
  <si>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</si>
  <si>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</si>
  <si>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</si>
  <si>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</si>
  <si>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</si>
  <si>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</si>
  <si>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</si>
  <si>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</si>
  <si>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</si>
  <si>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</si>
  <si>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</si>
  <si>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</si>
  <si>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</si>
  <si>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</si>
  <si>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</si>
  <si>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</si>
  <si>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</si>
  <si>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</si>
  <si>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</si>
  <si>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</si>
  <si>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</si>
  <si>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</si>
  <si>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</si>
  <si>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</si>
  <si>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</si>
  <si>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</si>
  <si>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</si>
  <si>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</si>
  <si>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</si>
  <si>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</si>
  <si>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</si>
  <si>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</si>
  <si>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</si>
  <si>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</si>
  <si>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</si>
  <si>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</si>
  <si>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</si>
  <si>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</si>
  <si>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</si>
  <si>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</si>
  <si>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</si>
  <si>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</si>
  <si>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</si>
  <si>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</si>
  <si>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</si>
  <si>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</si>
  <si>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</si>
  <si>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</si>
  <si>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</si>
  <si>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</si>
  <si>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</si>
  <si>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</si>
  <si>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</si>
  <si>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</si>
  <si>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</si>
  <si>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</si>
  <si>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</si>
  <si>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</si>
  <si>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</si>
  <si>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</si>
  <si>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</si>
  <si>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</si>
  <si>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</si>
  <si>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</si>
  <si>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</si>
  <si>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</si>
  <si>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</si>
  <si>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</si>
  <si>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</si>
  <si>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</si>
  <si>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</si>
  <si>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</si>
  <si>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</si>
  <si>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</si>
  <si>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</si>
  <si>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</si>
  <si>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</si>
  <si>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</si>
  <si>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</si>
  <si>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</si>
  <si>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</si>
  <si>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</si>
  <si>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</si>
  <si>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</si>
  <si>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</si>
  <si>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</si>
  <si>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</si>
  <si>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</si>
  <si>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</si>
  <si>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</si>
  <si>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</si>
  <si>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</si>
  <si>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</si>
  <si>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</si>
  <si>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</si>
  <si>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</si>
  <si>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</si>
  <si>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</si>
  <si>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</si>
  <si>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</si>
  <si>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</si>
  <si>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</si>
  <si>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</si>
  <si>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</si>
  <si>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</si>
  <si>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</si>
  <si>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</si>
  <si>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</si>
  <si>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</si>
  <si>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</si>
  <si>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</si>
  <si>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</si>
  <si>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</si>
  <si>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</si>
  <si>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</si>
  <si>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</si>
  <si>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</si>
  <si>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</si>
  <si>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</si>
  <si>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</si>
  <si>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</si>
  <si>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</si>
  <si>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</si>
  <si>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</si>
  <si>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</si>
  <si>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</si>
  <si>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</si>
  <si>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</si>
  <si>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</si>
  <si>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</si>
  <si>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</si>
  <si>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</si>
  <si>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</si>
  <si>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</si>
  <si>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</si>
  <si>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</si>
  <si>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</si>
  <si>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</si>
  <si>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</si>
  <si>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</si>
  <si>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</si>
  <si>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</si>
  <si>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</si>
  <si>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</si>
  <si>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</si>
  <si>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</si>
  <si>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</si>
  <si>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</si>
  <si>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</si>
  <si>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</si>
  <si>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</si>
  <si>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</si>
  <si>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</si>
  <si>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</si>
  <si>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</si>
  <si>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</si>
  <si>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</si>
  <si>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</si>
  <si>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</si>
  <si>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</si>
  <si>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</si>
  <si>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</si>
  <si>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</si>
  <si>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</si>
  <si>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</si>
  <si>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</si>
  <si>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</si>
  <si>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</si>
  <si>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</si>
  <si>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</si>
  <si>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</si>
  <si>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</si>
  <si>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</si>
  <si>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</si>
  <si>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</si>
  <si>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</si>
  <si>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</si>
  <si>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</si>
  <si>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</si>
  <si>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</si>
  <si>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</si>
  <si>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</si>
  <si>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</si>
  <si>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</si>
  <si>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</si>
  <si>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</si>
  <si>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</si>
  <si>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</si>
  <si>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</si>
  <si>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</si>
  <si>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</si>
  <si>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</si>
  <si>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</si>
  <si>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</si>
  <si>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</si>
  <si>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</si>
  <si>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</si>
  <si>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</si>
  <si>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</si>
  <si>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</si>
  <si>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</si>
  <si>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</si>
  <si>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</si>
  <si>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</si>
  <si>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</si>
  <si>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</si>
  <si>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</si>
  <si>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</si>
  <si>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</si>
  <si>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</si>
  <si>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</si>
  <si>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</si>
  <si>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</si>
  <si>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</si>
  <si>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</si>
  <si>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</si>
  <si>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</si>
  <si>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</si>
  <si>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</si>
  <si>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</si>
  <si>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</si>
  <si>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</si>
  <si>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</si>
  <si>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</si>
  <si>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</si>
  <si>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</si>
  <si>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</si>
  <si>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</si>
  <si>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</si>
  <si>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</si>
  <si>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</si>
  <si>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</si>
  <si>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</si>
  <si>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</si>
  <si>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</si>
  <si>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</si>
  <si>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</si>
  <si>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</si>
  <si>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</si>
  <si>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</si>
  <si>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</si>
  <si>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</si>
  <si>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</si>
  <si>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</si>
  <si>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</si>
  <si>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</si>
  <si>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</si>
  <si>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</si>
  <si>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</si>
  <si>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</si>
  <si>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</si>
  <si>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</si>
  <si>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</si>
  <si>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</si>
  <si>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</si>
  <si>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</si>
  <si>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</si>
  <si>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</si>
  <si>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</si>
  <si>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</si>
  <si>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</si>
  <si>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</si>
  <si>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</si>
  <si>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</si>
  <si>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</si>
  <si>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</si>
  <si>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</si>
  <si>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</si>
  <si>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</si>
  <si>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</si>
  <si>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</si>
  <si>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</si>
  <si>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</si>
  <si>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</si>
  <si>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</si>
  <si>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</si>
  <si>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</si>
  <si>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</si>
  <si>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</si>
  <si>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</si>
  <si>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</si>
  <si>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</si>
  <si>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</si>
  <si>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</si>
  <si>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</si>
  <si>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</si>
  <si>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</si>
  <si>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</si>
  <si>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</si>
  <si>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</si>
  <si>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</si>
  <si>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</si>
  <si>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</si>
  <si>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</si>
  <si>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</si>
  <si>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</si>
  <si>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</si>
  <si>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</si>
  <si>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</si>
  <si>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</si>
  <si>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</si>
  <si>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</si>
  <si>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</si>
  <si>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</si>
  <si>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</si>
  <si>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</si>
  <si>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</si>
  <si>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</si>
  <si>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</si>
  <si>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</si>
  <si>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</si>
  <si>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</si>
  <si>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</si>
  <si>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</si>
  <si>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</si>
  <si>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</si>
  <si>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</si>
  <si>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</si>
  <si>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</si>
  <si>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</si>
  <si>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</si>
  <si>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</si>
  <si>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</si>
  <si>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</si>
  <si>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</si>
  <si>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</si>
  <si>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</si>
  <si>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</si>
  <si>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</si>
  <si>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</si>
  <si>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</si>
  <si>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</si>
  <si>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</si>
  <si>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</si>
  <si>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</si>
  <si>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</si>
  <si>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</si>
  <si>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</si>
  <si>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</si>
  <si>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</si>
  <si>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</si>
  <si>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</si>
  <si>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</si>
  <si>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</si>
  <si>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</si>
  <si>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</si>
  <si>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</si>
  <si>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</si>
  <si>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</si>
  <si>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</si>
  <si>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</si>
  <si>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</si>
  <si>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</si>
  <si>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</si>
  <si>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</si>
  <si>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</si>
  <si>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</si>
  <si>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</si>
  <si>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</si>
  <si>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</si>
  <si>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</si>
  <si>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</si>
  <si>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</si>
  <si>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</si>
  <si>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</si>
  <si>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</si>
  <si>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</si>
  <si>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</si>
  <si>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</si>
  <si>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</si>
  <si>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</si>
  <si>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</si>
  <si>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</si>
  <si>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</si>
  <si>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</si>
  <si>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</si>
  <si>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</si>
  <si>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</si>
  <si>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</si>
  <si>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</si>
  <si>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</si>
  <si>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</si>
  <si>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</si>
  <si>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</si>
  <si>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</si>
  <si>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</si>
  <si>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</si>
  <si>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</si>
  <si>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</si>
  <si>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</si>
  <si>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</si>
  <si>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</si>
  <si>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</si>
  <si>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</si>
  <si>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</si>
  <si>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</si>
  <si>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</si>
  <si>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</si>
  <si>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</si>
  <si>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</si>
  <si>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</si>
  <si>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</si>
  <si>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</si>
  <si>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</si>
  <si>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</si>
  <si>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</si>
  <si>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</si>
  <si>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</si>
  <si>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</si>
  <si>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</si>
  <si>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</si>
  <si>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</si>
  <si>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</si>
  <si>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</si>
  <si>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</si>
  <si>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</si>
  <si>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</si>
  <si>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</si>
  <si>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</si>
  <si>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</si>
  <si>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</si>
  <si>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</si>
  <si>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</si>
  <si>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</si>
  <si>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</si>
  <si>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</si>
  <si>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</si>
  <si>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</si>
  <si>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</si>
  <si>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</si>
  <si>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</si>
  <si>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</si>
  <si>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</si>
  <si>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</si>
  <si>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</si>
  <si>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</si>
  <si>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</si>
  <si>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</si>
  <si>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</si>
  <si>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</si>
  <si>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</si>
  <si>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</si>
  <si>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</si>
  <si>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</si>
  <si>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</si>
  <si>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</si>
  <si>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</si>
  <si>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</si>
  <si>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</si>
  <si>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</si>
  <si>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</si>
  <si>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</si>
  <si>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</si>
  <si>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</si>
  <si>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</si>
  <si>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</si>
  <si>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</si>
  <si>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</si>
  <si>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</si>
  <si>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</si>
  <si>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</si>
  <si>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</si>
  <si>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</si>
  <si>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</si>
  <si>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</si>
  <si>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</si>
  <si>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</si>
  <si>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</si>
  <si>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</si>
  <si>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</si>
  <si>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</si>
  <si>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</si>
  <si>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</si>
  <si>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</si>
  <si>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</si>
  <si>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</si>
  <si>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</si>
  <si>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</si>
  <si>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</si>
  <si>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</si>
  <si>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</si>
  <si>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</si>
  <si>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</si>
  <si>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</si>
  <si>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</si>
  <si>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</si>
  <si>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</si>
  <si>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</si>
  <si>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</si>
  <si>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</si>
  <si>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</si>
  <si>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</si>
  <si>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</si>
  <si>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</si>
  <si>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</si>
  <si>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</si>
  <si>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</si>
  <si>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</si>
  <si>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</si>
  <si>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</si>
  <si>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</si>
  <si>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</si>
  <si>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</si>
  <si>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</si>
  <si>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</si>
  <si>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</si>
  <si>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</si>
  <si>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</si>
  <si>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</si>
  <si>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</si>
  <si>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</si>
  <si>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</si>
  <si>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</si>
  <si>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</si>
  <si>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</si>
  <si>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</si>
  <si>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</si>
  <si>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</si>
  <si>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</si>
  <si>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</si>
  <si>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</si>
  <si>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</si>
  <si>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</si>
  <si>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</si>
  <si>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</si>
  <si>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</si>
  <si>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</si>
  <si>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</si>
  <si>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</si>
  <si>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</si>
  <si>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</si>
  <si>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</si>
  <si>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</si>
  <si>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</si>
  <si>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</si>
  <si>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</si>
  <si>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</si>
  <si>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</si>
  <si>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</si>
  <si>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</si>
  <si>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</si>
  <si>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</si>
  <si>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</si>
  <si>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</si>
  <si>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</si>
  <si>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</si>
  <si>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</si>
  <si>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</si>
  <si>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</si>
  <si>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</si>
  <si>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</si>
  <si>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</si>
  <si>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</si>
  <si>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</si>
  <si>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</si>
  <si>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</si>
  <si>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</si>
  <si>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</si>
  <si>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</si>
  <si>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</si>
  <si>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</si>
  <si>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</si>
  <si>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</si>
  <si>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</si>
  <si>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</si>
  <si>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</si>
  <si>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</si>
  <si>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</si>
  <si>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</si>
  <si>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</si>
  <si>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</si>
  <si>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</si>
  <si>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</si>
  <si>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</si>
  <si>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</si>
  <si>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</si>
  <si>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</si>
  <si>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</si>
  <si>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</si>
  <si>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</si>
  <si>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</si>
  <si>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</si>
  <si>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</si>
  <si>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</si>
  <si>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</si>
  <si>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</si>
  <si>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</si>
  <si>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</si>
  <si>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</si>
  <si>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</si>
  <si>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</si>
  <si>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</si>
  <si>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</si>
  <si>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</si>
  <si>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</si>
  <si>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</si>
  <si>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</si>
  <si>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</si>
  <si>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</si>
  <si>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</si>
  <si>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</si>
  <si>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</si>
  <si>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</si>
  <si>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</si>
  <si>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</si>
  <si>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</si>
  <si>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</si>
  <si>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</si>
  <si>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</si>
  <si>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</si>
  <si>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</si>
  <si>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</si>
  <si>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</si>
  <si>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</si>
  <si>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</si>
  <si>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</si>
  <si>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</si>
  <si>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</si>
  <si>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</si>
  <si>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</si>
  <si>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</si>
  <si>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</si>
  <si>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</si>
  <si>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</si>
  <si>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</si>
  <si>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</si>
  <si>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</si>
  <si>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</si>
  <si>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</si>
  <si>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</si>
  <si>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</si>
  <si>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</si>
  <si>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</si>
  <si>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</si>
  <si>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</si>
  <si>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</si>
  <si>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</si>
  <si>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</si>
  <si>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</si>
  <si>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</si>
  <si>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</si>
  <si>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</si>
  <si>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</si>
  <si>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</si>
  <si>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</si>
  <si>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</si>
  <si>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</si>
  <si>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</si>
  <si>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</si>
  <si>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</si>
  <si>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</si>
  <si>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</si>
  <si>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</si>
  <si>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</si>
  <si>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</si>
  <si>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</si>
  <si>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</si>
  <si>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</si>
  <si>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</si>
  <si>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</si>
  <si>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</si>
  <si>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</si>
  <si>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</si>
  <si>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</si>
  <si>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</si>
  <si>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</si>
  <si>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</si>
  <si>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</si>
  <si>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</si>
  <si>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</si>
  <si>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</si>
  <si>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</si>
  <si>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</si>
  <si>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</si>
  <si>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</si>
  <si>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</si>
  <si>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</si>
  <si>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</si>
  <si>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</si>
  <si>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</si>
  <si>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</si>
  <si>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</si>
  <si>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</si>
  <si>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</si>
  <si>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</si>
  <si>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</si>
  <si>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</si>
  <si>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</si>
  <si>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</si>
  <si>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</si>
  <si>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</si>
  <si>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</si>
  <si>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</si>
  <si>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</si>
  <si>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</si>
  <si>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</si>
  <si>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</si>
  <si>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</si>
  <si>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</si>
  <si>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</si>
  <si>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</si>
  <si>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</si>
  <si>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</si>
  <si>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</si>
  <si>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</si>
  <si>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</si>
  <si>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</si>
  <si>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</si>
  <si>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</si>
  <si>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</si>
  <si>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</si>
  <si>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</si>
  <si>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</si>
  <si>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</si>
  <si>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</si>
  <si>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</si>
  <si>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</si>
  <si>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</si>
  <si>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</si>
  <si>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</si>
  <si>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</si>
  <si>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</si>
  <si>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</si>
  <si>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</si>
  <si>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</si>
  <si>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</si>
  <si>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</si>
  <si>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</si>
  <si>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</si>
  <si>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</si>
  <si>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</si>
  <si>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</si>
  <si>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</si>
  <si>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</si>
  <si>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</si>
  <si>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</si>
  <si>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</si>
  <si>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</si>
  <si>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</si>
  <si>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</si>
  <si>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</si>
  <si>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</si>
  <si>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</si>
  <si>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</si>
  <si>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</si>
  <si>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</si>
  <si>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</si>
  <si>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</si>
  <si>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</si>
  <si>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</si>
  <si>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</si>
  <si>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</si>
  <si>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</si>
  <si>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</si>
  <si>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</si>
  <si>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</si>
  <si>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</si>
  <si>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</si>
  <si>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</si>
  <si>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</si>
  <si>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</si>
  <si>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</si>
  <si>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</si>
  <si>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</si>
  <si>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</si>
  <si>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</si>
  <si>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</si>
  <si>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</si>
  <si>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</si>
  <si>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</si>
  <si>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</si>
  <si>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</si>
  <si>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</si>
  <si>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</si>
  <si>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</si>
  <si>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</si>
  <si>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</si>
  <si>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</si>
  <si>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</si>
  <si>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</si>
  <si>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</si>
  <si>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</si>
  <si>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</si>
  <si>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</si>
  <si>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</si>
  <si>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</si>
  <si>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</si>
  <si>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</si>
  <si>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</si>
  <si>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</si>
  <si>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</si>
  <si>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</si>
  <si>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</si>
  <si>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</si>
  <si>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</si>
  <si>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</si>
  <si>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</si>
  <si>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</si>
  <si>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</si>
  <si>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</si>
  <si>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</si>
  <si>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</si>
  <si>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</si>
  <si>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</si>
  <si>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</si>
  <si>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</si>
  <si>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</si>
  <si>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</si>
  <si>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</si>
  <si>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</si>
  <si>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</si>
  <si>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</si>
  <si>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</si>
  <si>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</si>
  <si>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</si>
  <si>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</si>
  <si>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</si>
  <si>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</si>
  <si>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</si>
  <si>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</si>
  <si>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</si>
  <si>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</si>
  <si>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</si>
  <si>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</si>
  <si>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</si>
  <si>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</si>
  <si>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地上</t>
  </si>
  <si>
    <t>商业</t>
    <phoneticPr fontId="7" type="noConversion"/>
  </si>
  <si>
    <t>是</t>
  </si>
  <si>
    <t>成新度</t>
  </si>
  <si>
    <t>收益法 (元)</t>
  </si>
  <si>
    <t>押一</t>
  </si>
  <si>
    <t>非生产用房</t>
  </si>
  <si>
    <t>否</t>
  </si>
  <si>
    <t>单套模式</t>
  </si>
  <si>
    <t>售价</t>
  </si>
  <si>
    <t>比较法-商业</t>
  </si>
  <si>
    <t>情况4</t>
  </si>
  <si>
    <t>正常</t>
  </si>
  <si>
    <t>转让取得</t>
  </si>
  <si>
    <t>楼面单价</t>
  </si>
  <si>
    <t>非个人房产</t>
  </si>
  <si>
    <t>购房发票</t>
  </si>
  <si>
    <t>2016年5月1日前购买</t>
  </si>
  <si>
    <t>房地产抵押价值</t>
  </si>
  <si>
    <t>抵押</t>
  </si>
  <si>
    <t>北京市</t>
  </si>
  <si>
    <t>企业</t>
  </si>
  <si>
    <t>直线</t>
    <phoneticPr fontId="3" type="noConversion"/>
  </si>
  <si>
    <t>观察</t>
    <phoneticPr fontId="3" type="noConversion"/>
  </si>
  <si>
    <t>挂牌</t>
  </si>
  <si>
    <t>挂牌</t>
    <phoneticPr fontId="30" type="noConversion"/>
  </si>
  <si>
    <t>商业</t>
    <phoneticPr fontId="30" type="noConversion"/>
  </si>
  <si>
    <t>开放路</t>
    <phoneticPr fontId="3" type="noConversion"/>
  </si>
  <si>
    <t>较好</t>
  </si>
  <si>
    <t>一般</t>
  </si>
  <si>
    <t>七通</t>
  </si>
  <si>
    <t>较好</t>
    <phoneticPr fontId="30" type="noConversion"/>
  </si>
  <si>
    <t>较大</t>
  </si>
  <si>
    <t>较大</t>
    <phoneticPr fontId="30" type="noConversion"/>
  </si>
  <si>
    <t>一般</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</si>
  <si>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</si>
  <si>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</si>
  <si>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</si>
  <si>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</si>
  <si>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</si>
  <si>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</si>
  <si>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</si>
  <si>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1-2层</t>
  </si>
  <si>
    <t>1层</t>
  </si>
  <si>
    <t>商业街</t>
    <phoneticPr fontId="30" type="noConversion"/>
  </si>
  <si>
    <t>配套商业</t>
  </si>
  <si>
    <t>配套商业</t>
    <phoneticPr fontId="30" type="noConversion"/>
  </si>
  <si>
    <t>住宅底商</t>
  </si>
  <si>
    <t>住宅底商</t>
    <phoneticPr fontId="30" type="noConversion"/>
  </si>
  <si>
    <t>混合</t>
  </si>
  <si>
    <t>混合</t>
    <phoneticPr fontId="30" type="noConversion"/>
  </si>
  <si>
    <t>金台园</t>
    <phoneticPr fontId="3" type="noConversion"/>
  </si>
  <si>
    <t>可餐饮</t>
  </si>
  <si>
    <t>可餐饮</t>
    <phoneticPr fontId="30" type="noConversion"/>
  </si>
  <si>
    <t>不可餐饮</t>
  </si>
  <si>
    <t>不可餐饮</t>
    <phoneticPr fontId="30" type="noConversion"/>
  </si>
  <si>
    <t>普装</t>
    <phoneticPr fontId="30" type="noConversion"/>
  </si>
  <si>
    <t>简装</t>
  </si>
  <si>
    <t>简装</t>
    <phoneticPr fontId="30" type="noConversion"/>
  </si>
  <si>
    <t>砖混</t>
  </si>
  <si>
    <t>租期</t>
    <phoneticPr fontId="134" type="noConversion"/>
  </si>
  <si>
    <t>起</t>
    <phoneticPr fontId="134" type="noConversion"/>
  </si>
  <si>
    <t>止</t>
    <phoneticPr fontId="134" type="noConversion"/>
  </si>
  <si>
    <t>第一年</t>
    <phoneticPr fontId="134" type="noConversion"/>
  </si>
  <si>
    <t>第二年</t>
    <phoneticPr fontId="134" type="noConversion"/>
  </si>
  <si>
    <t>第三年</t>
    <phoneticPr fontId="134" type="noConversion"/>
  </si>
  <si>
    <t>第四年</t>
    <phoneticPr fontId="134" type="noConversion"/>
  </si>
  <si>
    <t>第五年</t>
    <phoneticPr fontId="134" type="noConversion"/>
  </si>
  <si>
    <t>第六年</t>
    <phoneticPr fontId="134" type="noConversion"/>
  </si>
  <si>
    <t>第七年</t>
    <phoneticPr fontId="134" type="noConversion"/>
  </si>
  <si>
    <t>第八年</t>
    <phoneticPr fontId="134" type="noConversion"/>
  </si>
  <si>
    <t>第九年</t>
    <phoneticPr fontId="134" type="noConversion"/>
  </si>
  <si>
    <t>第十年</t>
    <phoneticPr fontId="134" type="noConversion"/>
  </si>
  <si>
    <t>租金</t>
  </si>
  <si>
    <t>租金</t>
    <phoneticPr fontId="134" type="noConversion"/>
  </si>
  <si>
    <t>面积</t>
    <phoneticPr fontId="134" type="noConversion"/>
  </si>
  <si>
    <t>剩余租期</t>
    <phoneticPr fontId="134" type="noConversion"/>
  </si>
  <si>
    <t>富乐小区</t>
    <phoneticPr fontId="134" type="noConversion"/>
  </si>
  <si>
    <t>租金单价</t>
    <phoneticPr fontId="134" type="noConversion"/>
  </si>
  <si>
    <t>3元</t>
    <phoneticPr fontId="134" type="noConversion"/>
  </si>
  <si>
    <t>临支路</t>
    <phoneticPr fontId="134" type="noConversion"/>
  </si>
  <si>
    <t>单价</t>
    <phoneticPr fontId="134" type="noConversion"/>
  </si>
  <si>
    <t>于家园二区</t>
    <phoneticPr fontId="3" type="noConversion"/>
  </si>
  <si>
    <t>莲馨苑</t>
    <phoneticPr fontId="3" type="noConversion"/>
  </si>
  <si>
    <t>富乐小区</t>
    <phoneticPr fontId="3" type="noConversion"/>
  </si>
  <si>
    <t>单面临街</t>
  </si>
  <si>
    <t>单面临街</t>
    <phoneticPr fontId="134" type="noConversion"/>
  </si>
  <si>
    <t>育龙铭居</t>
    <phoneticPr fontId="3" type="noConversion"/>
  </si>
  <si>
    <t>临主街</t>
  </si>
  <si>
    <t>临主街</t>
    <phoneticPr fontId="30" type="noConversion"/>
  </si>
  <si>
    <t>临支路</t>
  </si>
  <si>
    <t>临支路</t>
    <phoneticPr fontId="30" type="noConversion"/>
  </si>
  <si>
    <t>现房</t>
  </si>
  <si>
    <t>商业项目</t>
  </si>
  <si>
    <r>
      <rPr>
        <sz val="10"/>
        <color indexed="8"/>
        <rFont val="宋体"/>
        <family val="3"/>
        <charset val="134"/>
      </rPr>
      <t>需求：净值</t>
    </r>
    <r>
      <rPr>
        <sz val="10"/>
        <color indexed="8"/>
        <rFont val="Arial"/>
        <family val="2"/>
      </rPr>
      <t>20600</t>
    </r>
    <phoneticPr fontId="8" type="noConversion"/>
  </si>
  <si>
    <t>剩余4年平均租金</t>
    <phoneticPr fontId="134" type="noConversion"/>
  </si>
  <si>
    <t>Ⅷ-怀1</t>
  </si>
  <si>
    <t>不临65条商业街</t>
  </si>
  <si>
    <t>中心城区以外</t>
  </si>
  <si>
    <t>与级别开发程度不一致</t>
  </si>
  <si>
    <t>通路</t>
  </si>
  <si>
    <t>通电</t>
  </si>
  <si>
    <t>通讯</t>
  </si>
  <si>
    <t>通上水</t>
  </si>
  <si>
    <t>通下水</t>
  </si>
  <si>
    <t>通热</t>
  </si>
  <si>
    <t>平整</t>
  </si>
  <si>
    <t>自定义容积率</t>
  </si>
  <si>
    <t>未包含在土地购买价格中</t>
  </si>
  <si>
    <t>已包含在土地取得成本中</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</si>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</sst>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10" fontId="47" fillId="16" borderId="61"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44" fillId="18" borderId="3" xfId="0" applyFont="1" applyFill="1" applyBorder="1" applyAlignment="1" applyProtection="1">
      <alignment vertical="center"/>
      <protection locked="0"/>
    </xf>
    <xf numFmtId="0" fontId="52" fillId="18" borderId="1" xfId="0" applyFont="1" applyFill="1" applyBorder="1" applyAlignment="1" applyProtection="1">
      <alignment horizontal="center" vertical="center"/>
      <protection locked="0"/>
    </xf>
    <xf numFmtId="0" fontId="52" fillId="18" borderId="1" xfId="0" applyFont="1" applyFill="1" applyBorder="1" applyAlignment="1" applyProtection="1">
      <alignment horizontal="center" vertical="center"/>
    </xf>
    <xf numFmtId="181" fontId="52" fillId="18" borderId="61" xfId="0"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186" fontId="54" fillId="6" borderId="2" xfId="0" applyNumberFormat="1" applyFont="1" applyFill="1" applyBorder="1" applyAlignment="1" applyProtection="1">
      <alignment horizontal="left" vertical="center" wrapText="1"/>
    </xf>
    <xf numFmtId="196" fontId="52" fillId="6" borderId="32" xfId="0" applyNumberFormat="1" applyFont="1" applyFill="1" applyBorder="1" applyAlignment="1" applyProtection="1">
      <alignment horizontal="left" vertical="center" wrapText="1"/>
    </xf>
    <xf numFmtId="180" fontId="54"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97" fontId="53" fillId="6" borderId="1" xfId="0" applyNumberFormat="1" applyFont="1" applyFill="1" applyBorder="1" applyAlignment="1" applyProtection="1">
      <alignment horizontal="left" vertical="center" wrapText="1"/>
    </xf>
    <xf numFmtId="196" fontId="47" fillId="6" borderId="5" xfId="0" applyNumberFormat="1" applyFont="1" applyFill="1" applyBorder="1" applyAlignment="1" applyProtection="1">
      <alignment horizontal="left" vertical="center"/>
    </xf>
    <xf numFmtId="196" fontId="53"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257176</xdr:colOff>
      <xdr:row>0</xdr:row>
      <xdr:rowOff>152400</xdr:rowOff>
    </xdr:from>
    <xdr:to>
      <xdr:col>14</xdr:col>
      <xdr:colOff>295276</xdr:colOff>
      <xdr:row>27</xdr:row>
      <xdr:rowOff>11273</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6" y="152400"/>
          <a:ext cx="9639300" cy="4488023"/>
        </a:xfrm>
        <a:prstGeom prst="rect">
          <a:avLst/>
        </a:prstGeom>
      </xdr:spPr>
    </xdr:pic>
    <xdr:clientData/>
  </xdr:twoCellAnchor>
  <xdr:twoCellAnchor editAs="oneCell">
    <xdr:from>
      <xdr:col>14</xdr:col>
      <xdr:colOff>314325</xdr:colOff>
      <xdr:row>4</xdr:row>
      <xdr:rowOff>57150</xdr:rowOff>
    </xdr:from>
    <xdr:to>
      <xdr:col>25</xdr:col>
      <xdr:colOff>151477</xdr:colOff>
      <xdr:row>19</xdr:row>
      <xdr:rowOff>104448</xdr:rowOff>
    </xdr:to>
    <xdr:pic>
      <xdr:nvPicPr>
        <xdr:cNvPr id="3" name="图片 2"/>
        <xdr:cNvPicPr>
          <a:picLocks noChangeAspect="1"/>
        </xdr:cNvPicPr>
      </xdr:nvPicPr>
      <xdr:blipFill>
        <a:blip xmlns:r="http://schemas.openxmlformats.org/officeDocument/2006/relationships" r:embed="rId2"/>
        <a:stretch>
          <a:fillRect/>
        </a:stretch>
      </xdr:blipFill>
      <xdr:spPr>
        <a:xfrm>
          <a:off x="9915525" y="742950"/>
          <a:ext cx="7380952" cy="2619048"/>
        </a:xfrm>
        <a:prstGeom prst="rect">
          <a:avLst/>
        </a:prstGeom>
      </xdr:spPr>
    </xdr:pic>
    <xdr:clientData/>
  </xdr:twoCellAnchor>
  <xdr:twoCellAnchor editAs="oneCell">
    <xdr:from>
      <xdr:col>1</xdr:col>
      <xdr:colOff>1</xdr:colOff>
      <xdr:row>28</xdr:row>
      <xdr:rowOff>0</xdr:rowOff>
    </xdr:from>
    <xdr:to>
      <xdr:col>14</xdr:col>
      <xdr:colOff>114300</xdr:colOff>
      <xdr:row>51</xdr:row>
      <xdr:rowOff>116985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1" y="4800600"/>
          <a:ext cx="9029699" cy="4060335"/>
        </a:xfrm>
        <a:prstGeom prst="rect">
          <a:avLst/>
        </a:prstGeom>
      </xdr:spPr>
    </xdr:pic>
    <xdr:clientData/>
  </xdr:twoCellAnchor>
  <xdr:twoCellAnchor editAs="oneCell">
    <xdr:from>
      <xdr:col>1</xdr:col>
      <xdr:colOff>0</xdr:colOff>
      <xdr:row>52</xdr:row>
      <xdr:rowOff>1</xdr:rowOff>
    </xdr:from>
    <xdr:to>
      <xdr:col>14</xdr:col>
      <xdr:colOff>47625</xdr:colOff>
      <xdr:row>75</xdr:row>
      <xdr:rowOff>79191</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8915401"/>
          <a:ext cx="8963025" cy="4022540"/>
        </a:xfrm>
        <a:prstGeom prst="rect">
          <a:avLst/>
        </a:prstGeom>
      </xdr:spPr>
    </xdr:pic>
    <xdr:clientData/>
  </xdr:twoCellAnchor>
  <xdr:twoCellAnchor editAs="oneCell">
    <xdr:from>
      <xdr:col>14</xdr:col>
      <xdr:colOff>28575</xdr:colOff>
      <xdr:row>54</xdr:row>
      <xdr:rowOff>142875</xdr:rowOff>
    </xdr:from>
    <xdr:to>
      <xdr:col>24</xdr:col>
      <xdr:colOff>627718</xdr:colOff>
      <xdr:row>68</xdr:row>
      <xdr:rowOff>152099</xdr:rowOff>
    </xdr:to>
    <xdr:pic>
      <xdr:nvPicPr>
        <xdr:cNvPr id="6" name="图片 5"/>
        <xdr:cNvPicPr>
          <a:picLocks noChangeAspect="1"/>
        </xdr:cNvPicPr>
      </xdr:nvPicPr>
      <xdr:blipFill>
        <a:blip xmlns:r="http://schemas.openxmlformats.org/officeDocument/2006/relationships" r:embed="rId5"/>
        <a:stretch>
          <a:fillRect/>
        </a:stretch>
      </xdr:blipFill>
      <xdr:spPr>
        <a:xfrm>
          <a:off x="9629775" y="9401175"/>
          <a:ext cx="7457143" cy="2409524"/>
        </a:xfrm>
        <a:prstGeom prst="rect">
          <a:avLst/>
        </a:prstGeom>
      </xdr:spPr>
    </xdr:pic>
    <xdr:clientData/>
  </xdr:twoCellAnchor>
  <xdr:twoCellAnchor editAs="oneCell">
    <xdr:from>
      <xdr:col>14</xdr:col>
      <xdr:colOff>38100</xdr:colOff>
      <xdr:row>32</xdr:row>
      <xdr:rowOff>161925</xdr:rowOff>
    </xdr:from>
    <xdr:to>
      <xdr:col>24</xdr:col>
      <xdr:colOff>322957</xdr:colOff>
      <xdr:row>46</xdr:row>
      <xdr:rowOff>152101</xdr:rowOff>
    </xdr:to>
    <xdr:pic>
      <xdr:nvPicPr>
        <xdr:cNvPr id="7" name="图片 6"/>
        <xdr:cNvPicPr>
          <a:picLocks noChangeAspect="1"/>
        </xdr:cNvPicPr>
      </xdr:nvPicPr>
      <xdr:blipFill>
        <a:blip xmlns:r="http://schemas.openxmlformats.org/officeDocument/2006/relationships" r:embed="rId6"/>
        <a:stretch>
          <a:fillRect/>
        </a:stretch>
      </xdr:blipFill>
      <xdr:spPr>
        <a:xfrm>
          <a:off x="9639300" y="5648325"/>
          <a:ext cx="7142857" cy="2390476"/>
        </a:xfrm>
        <a:prstGeom prst="rect">
          <a:avLst/>
        </a:prstGeom>
      </xdr:spPr>
    </xdr:pic>
    <xdr:clientData/>
  </xdr:twoCellAnchor>
  <xdr:twoCellAnchor editAs="oneCell">
    <xdr:from>
      <xdr:col>1</xdr:col>
      <xdr:colOff>266700</xdr:colOff>
      <xdr:row>78</xdr:row>
      <xdr:rowOff>19051</xdr:rowOff>
    </xdr:from>
    <xdr:to>
      <xdr:col>15</xdr:col>
      <xdr:colOff>542925</xdr:colOff>
      <xdr:row>105</xdr:row>
      <xdr:rowOff>91587</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00" y="13392151"/>
          <a:ext cx="9877425" cy="4701686"/>
        </a:xfrm>
        <a:prstGeom prst="rect">
          <a:avLst/>
        </a:prstGeom>
      </xdr:spPr>
    </xdr:pic>
    <xdr:clientData/>
  </xdr:twoCellAnchor>
  <xdr:twoCellAnchor editAs="oneCell">
    <xdr:from>
      <xdr:col>1</xdr:col>
      <xdr:colOff>352425</xdr:colOff>
      <xdr:row>106</xdr:row>
      <xdr:rowOff>28575</xdr:rowOff>
    </xdr:from>
    <xdr:to>
      <xdr:col>15</xdr:col>
      <xdr:colOff>647700</xdr:colOff>
      <xdr:row>134</xdr:row>
      <xdr:rowOff>74106</xdr:rowOff>
    </xdr:to>
    <xdr:pic>
      <xdr:nvPicPr>
        <xdr:cNvPr id="9" name="图片 8"/>
        <xdr:cNvPicPr>
          <a:picLocks noChangeAspect="1"/>
        </xdr:cNvPicPr>
      </xdr:nvPicPr>
      <xdr:blipFill>
        <a:blip xmlns:r="http://schemas.openxmlformats.org/officeDocument/2006/relationships" r:embed="rId8"/>
        <a:stretch>
          <a:fillRect/>
        </a:stretch>
      </xdr:blipFill>
      <xdr:spPr>
        <a:xfrm>
          <a:off x="1038225" y="18202275"/>
          <a:ext cx="9896475" cy="4846131"/>
        </a:xfrm>
        <a:prstGeom prst="rect">
          <a:avLst/>
        </a:prstGeom>
      </xdr:spPr>
    </xdr:pic>
    <xdr:clientData/>
  </xdr:twoCellAnchor>
  <xdr:twoCellAnchor editAs="oneCell">
    <xdr:from>
      <xdr:col>1</xdr:col>
      <xdr:colOff>495301</xdr:colOff>
      <xdr:row>134</xdr:row>
      <xdr:rowOff>38100</xdr:rowOff>
    </xdr:from>
    <xdr:to>
      <xdr:col>16</xdr:col>
      <xdr:colOff>114301</xdr:colOff>
      <xdr:row>161</xdr:row>
      <xdr:rowOff>134821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1101" y="23012400"/>
          <a:ext cx="9906000" cy="4725871"/>
        </a:xfrm>
        <a:prstGeom prst="rect">
          <a:avLst/>
        </a:prstGeom>
      </xdr:spPr>
    </xdr:pic>
    <xdr:clientData/>
  </xdr:twoCellAnchor>
  <xdr:twoCellAnchor editAs="oneCell">
    <xdr:from>
      <xdr:col>2</xdr:col>
      <xdr:colOff>0</xdr:colOff>
      <xdr:row>162</xdr:row>
      <xdr:rowOff>0</xdr:rowOff>
    </xdr:from>
    <xdr:to>
      <xdr:col>16</xdr:col>
      <xdr:colOff>180975</xdr:colOff>
      <xdr:row>188</xdr:row>
      <xdr:rowOff>48171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71600" y="27774900"/>
          <a:ext cx="9782175" cy="45058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17</xdr:col>
      <xdr:colOff>579329</xdr:colOff>
      <xdr:row>21</xdr:row>
      <xdr:rowOff>61235</xdr:rowOff>
    </xdr:to>
    <xdr:pic>
      <xdr:nvPicPr>
        <xdr:cNvPr id="2" name="图片 1"/>
        <xdr:cNvPicPr>
          <a:picLocks noChangeAspect="1"/>
        </xdr:cNvPicPr>
      </xdr:nvPicPr>
      <xdr:blipFill>
        <a:blip xmlns:r="http://schemas.openxmlformats.org/officeDocument/2006/relationships" r:embed="rId1"/>
        <a:stretch>
          <a:fillRect/>
        </a:stretch>
      </xdr:blipFill>
      <xdr:spPr>
        <a:xfrm>
          <a:off x="9273540" y="731520"/>
          <a:ext cx="2408129" cy="31701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估价对象为北京市房地产，为所有。根据《国有土地使用证》[]，估价对象（分摊）出让国有建设用地使用权面积为0平方米，建筑面积为207.28平方米。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估价对象为北京市房地产,属开发建设的商业项目，该项目尚在开发建设中。根据《国有土地使用证》[]，估价对象（分摊）出让国有建设用地使用权面积为0平方米，规划建筑面积为207.28平方米。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2024年8月6日（评估专业人员实地查勘之日）</v>
      </c>
    </row>
    <row r="13" spans="1:2" s="1202" customFormat="1">
      <c r="A13" s="1200" t="s">
        <v>529</v>
      </c>
      <c r="B13" s="1201" t="str">
        <f>'预评函-1'!A18</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449.34160000000003</v>
      </c>
    </row>
    <row r="21" spans="1:2" s="1202" customFormat="1">
      <c r="A21" s="1200" t="s">
        <v>537</v>
      </c>
      <c r="B21" s="1201">
        <f ca="1">'预评函-2'!D7</f>
        <v>21678</v>
      </c>
    </row>
    <row r="22" spans="1:2" s="1202" customFormat="1">
      <c r="A22" s="1200" t="s">
        <v>538</v>
      </c>
      <c r="B22" s="1201" t="str">
        <f ca="1">'预评函-2'!D6</f>
        <v>肆佰肆拾玖万叁仟肆佰壹拾陆元整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449.34160000000003</v>
      </c>
    </row>
    <row r="31" spans="1:2" s="1202" customFormat="1">
      <c r="A31" s="1200" t="s">
        <v>576</v>
      </c>
      <c r="B31" s="1201">
        <f ca="1">'预评函-2'!D15</f>
        <v>21678</v>
      </c>
    </row>
    <row r="32" spans="1:2" s="1202" customFormat="1">
      <c r="A32" s="1200" t="s">
        <v>543</v>
      </c>
      <c r="B32" s="1201" t="str">
        <f ca="1">'预评函-2'!D14</f>
        <v>肆佰肆拾玖万叁仟肆佰壹拾陆元整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427.61760000000004</v>
      </c>
    </row>
    <row r="39" spans="1:2" s="1202" customFormat="1">
      <c r="A39" s="1200" t="s">
        <v>545</v>
      </c>
      <c r="B39" s="1201">
        <f ca="1">'预评函-2'!D21</f>
        <v>20630</v>
      </c>
    </row>
    <row r="40" spans="1:2" s="1202" customFormat="1">
      <c r="A40" s="1200" t="s">
        <v>546</v>
      </c>
      <c r="B40" s="1201" t="str">
        <f ca="1">'预评函-2'!D20</f>
        <v>肆佰贰拾柒万陆仟壹佰柒拾陆元整</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207.28</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53" t="s">
        <v>385</v>
      </c>
      <c r="C54" s="1550" t="s">
        <v>583</v>
      </c>
    </row>
    <row r="55" spans="1:4">
      <c r="A55" s="3534"/>
      <c r="B55" s="1553" t="s">
        <v>386</v>
      </c>
      <c r="C55" s="1550" t="s">
        <v>584</v>
      </c>
    </row>
    <row r="56" spans="1:4">
      <c r="A56" s="3534"/>
      <c r="B56" s="1553" t="s">
        <v>387</v>
      </c>
      <c r="C56" s="1550" t="s">
        <v>588</v>
      </c>
    </row>
    <row r="57" spans="1:4">
      <c r="A57" s="353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35" t="s">
        <v>2584</v>
      </c>
      <c r="J2" s="3535"/>
      <c r="K2" s="3535"/>
      <c r="L2" s="3535"/>
      <c r="M2" s="3535"/>
      <c r="N2" s="3535"/>
      <c r="O2" s="3535"/>
      <c r="P2" s="3535"/>
      <c r="Q2" s="3535"/>
      <c r="R2" s="3535"/>
    </row>
    <row r="3" spans="1:18">
      <c r="A3" s="3019" t="s">
        <v>2505</v>
      </c>
      <c r="B3" s="3020">
        <f>项目基本情况!D3</f>
        <v>45510</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2.36</v>
      </c>
      <c r="D5" s="3024">
        <f>IF(ISERROR(ROUND(POWER(1+E5,A5-C5)*(POWER(1+E5,C5)-1)/(POWER(1+E5,A5)-1),3)),0,ROUND(POWER(1+E5,A5-C5)*(POWER(1+E5,C5)-1)/(POWER(1+E5,A5)-1),4))</f>
        <v>0.11169999999999999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12.37</v>
      </c>
      <c r="D6" s="3024">
        <f>IF(ISERROR(ROUND(POWER(1+E6,A6-C6)*(POWER(1+E6,C6)-1)/(POWER(1+E6,A6)-1),3)),0,ROUND(POWER(1+E6,A6-C6)*(POWER(1+E6,C6)-1)/(POWER(1+E6,A6)-1),4))</f>
        <v>0.44729999999999998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32.39</v>
      </c>
      <c r="D7" s="3024">
        <f>IF(ISERROR(ROUND(POWER(1+E7,A7-C7)*(POWER(1+E7,C7)-1)/(POWER(1+E7,A7)-1),3)),0,ROUND(POWER(1+E7,A7-C7)*(POWER(1+E7,C7)-1)/(POWER(1+E7,A7)-1),4))</f>
        <v>0.76859999999999995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5" thickBot="1">
      <c r="A18" s="3030" t="s">
        <v>2520</v>
      </c>
      <c r="B18" s="3031">
        <f>ROUND(B17*F11/F12,2)</f>
        <v>5541.87</v>
      </c>
      <c r="C18" s="3031">
        <f>ROUND(F11/F12,4)</f>
        <v>1.1521999999999999</v>
      </c>
      <c r="D18" s="3032"/>
      <c r="E18" s="3032"/>
      <c r="F18" s="3033"/>
    </row>
    <row r="19" spans="1:13" ht="15" thickBot="1"/>
    <row r="20" spans="1:13" s="3068" customFormat="1" ht="1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36" t="str">
        <f>IF(B10="北京市","北京市",C10)&amp;F10&amp;IF(结果表!G1="在建","出让国有建设用地使用权及在建建筑物",IF(结果表!G1="土地","出让国有建设用地使用权",))&amp;B9&amp;"预评估"</f>
        <v>北京市房地产抵押价值预评估</v>
      </c>
      <c r="C1" s="3537"/>
      <c r="D1" s="3537"/>
      <c r="E1" s="3537"/>
      <c r="F1" s="3537"/>
      <c r="G1" s="3537"/>
      <c r="H1" s="3537"/>
      <c r="I1" s="353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45510</v>
      </c>
      <c r="C3" s="2373" t="s">
        <v>2171</v>
      </c>
      <c r="D3" s="2372">
        <f>B3</f>
        <v>45510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3402</v>
      </c>
      <c r="C8" s="2389"/>
      <c r="D8" s="3539" t="s">
        <v>2177</v>
      </c>
      <c r="E8" s="2390" t="s">
        <v>3401</v>
      </c>
      <c r="F8" s="2391"/>
      <c r="G8" s="2662"/>
      <c r="H8" s="2662"/>
      <c r="I8" s="2662"/>
      <c r="J8" s="2438"/>
      <c r="K8" s="2613"/>
      <c r="L8" s="2612"/>
      <c r="M8" s="2612"/>
      <c r="N8" s="2438"/>
      <c r="O8" s="2449"/>
      <c r="P8" s="2438"/>
      <c r="Q8" s="2438"/>
      <c r="R8" s="2438"/>
    </row>
    <row r="9" spans="1:30" ht="13.8" thickBot="1">
      <c r="A9" s="2392" t="s">
        <v>2178</v>
      </c>
      <c r="B9" s="2393" t="s">
        <v>3401</v>
      </c>
      <c r="C9" s="2394"/>
      <c r="D9" s="3540"/>
      <c r="E9" s="2393" t="s">
        <v>587</v>
      </c>
      <c r="F9" s="2395"/>
      <c r="G9" s="2664"/>
      <c r="H9" s="2664"/>
      <c r="I9" s="2664"/>
      <c r="J9" s="2438"/>
      <c r="K9" s="2615"/>
      <c r="L9" s="2612"/>
      <c r="M9" s="2612"/>
      <c r="N9" s="2438"/>
      <c r="O9" s="2449"/>
      <c r="P9" s="2438"/>
      <c r="Q9" s="2438"/>
      <c r="R9" s="2438"/>
    </row>
    <row r="10" spans="1:30" ht="13.8" thickTop="1">
      <c r="A10" s="2396" t="s">
        <v>2179</v>
      </c>
      <c r="B10" s="2397" t="s">
        <v>3403</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3335</v>
      </c>
      <c r="B13" s="2406" t="s">
        <v>2190</v>
      </c>
      <c r="C13" s="856"/>
      <c r="D13" s="856">
        <v>51769</v>
      </c>
      <c r="E13" s="856"/>
      <c r="F13" s="856"/>
      <c r="G13" s="856"/>
      <c r="H13" s="856"/>
      <c r="I13" s="856">
        <v>46934</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17.14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3.9</v>
      </c>
      <c r="J15" s="3063"/>
      <c r="K15" s="2450"/>
      <c r="L15" s="2450"/>
      <c r="M15" s="2508"/>
      <c r="N15" s="2450"/>
      <c r="O15" s="2508"/>
      <c r="P15" s="2438"/>
      <c r="Q15" s="2438"/>
      <c r="AD15" s="1744"/>
    </row>
    <row r="16" spans="1:30">
      <c r="A16" s="2399" t="s">
        <v>2193</v>
      </c>
      <c r="B16" s="3546"/>
      <c r="C16" s="3547"/>
      <c r="D16" s="3548"/>
      <c r="E16" s="2412" t="s">
        <v>2194</v>
      </c>
      <c r="F16" s="3549"/>
      <c r="G16" s="3550"/>
      <c r="H16" s="3550"/>
      <c r="I16" s="3551"/>
      <c r="J16" s="2438"/>
      <c r="K16" s="2616"/>
      <c r="L16" s="2450"/>
      <c r="M16" s="2450"/>
      <c r="N16" s="2508"/>
      <c r="O16" s="2450"/>
      <c r="P16" s="2508"/>
      <c r="Q16" s="2438"/>
      <c r="R16" s="2438"/>
    </row>
    <row r="17" spans="1:28">
      <c r="A17" s="313" t="s">
        <v>2195</v>
      </c>
      <c r="B17" s="302" t="s">
        <v>2196</v>
      </c>
      <c r="C17" s="8">
        <f>'数据-汇总表'!E3</f>
        <v>207.28</v>
      </c>
      <c r="D17" s="2321" t="s">
        <v>2197</v>
      </c>
      <c r="E17" s="3552" t="s">
        <v>2198</v>
      </c>
      <c r="F17" s="3553"/>
      <c r="G17" s="3553"/>
      <c r="H17" s="3553"/>
      <c r="I17" s="3554"/>
      <c r="J17" s="2438"/>
      <c r="K17" s="2617"/>
      <c r="L17" s="2450"/>
      <c r="M17" s="2450"/>
      <c r="N17" s="2508"/>
      <c r="O17" s="2450"/>
      <c r="P17" s="2508"/>
      <c r="Q17" s="2438"/>
      <c r="R17" s="2438"/>
      <c r="S17" s="2438"/>
      <c r="T17" s="2438"/>
      <c r="U17" s="2438"/>
      <c r="V17" s="2438"/>
    </row>
    <row r="18" spans="1:28" ht="24.6" thickBot="1">
      <c r="A18" s="2413" t="s">
        <v>2199</v>
      </c>
      <c r="B18" s="1089" t="s">
        <v>2200</v>
      </c>
      <c r="C18" s="2414">
        <f>'数据-汇总表'!D3</f>
        <v>0</v>
      </c>
      <c r="D18" s="1091" t="s">
        <v>2201</v>
      </c>
      <c r="E18" s="3555" t="s">
        <v>2202</v>
      </c>
      <c r="F18" s="3556"/>
      <c r="G18" s="3556"/>
      <c r="H18" s="3556"/>
      <c r="I18" s="3557"/>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2" t="s">
        <v>3385</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2" t="s">
        <v>2206</v>
      </c>
      <c r="C20" s="3543"/>
      <c r="D20" s="3544" t="s">
        <v>2207</v>
      </c>
      <c r="E20" s="3545"/>
      <c r="F20" s="2646" t="s">
        <v>1056</v>
      </c>
      <c r="G20" s="2663"/>
      <c r="H20" s="2663"/>
      <c r="I20" s="2663"/>
      <c r="J20" s="2438"/>
      <c r="K20" s="354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2209</v>
      </c>
      <c r="C21" s="2633" t="s">
        <v>1057</v>
      </c>
      <c r="D21" s="1567" t="s">
        <v>2210</v>
      </c>
      <c r="E21" s="2634" t="s">
        <v>1057</v>
      </c>
      <c r="F21" s="2647"/>
      <c r="G21" s="2663"/>
      <c r="H21" s="2663"/>
      <c r="I21" s="2663"/>
      <c r="J21" s="2438"/>
      <c r="K21" s="354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2211</v>
      </c>
      <c r="C22" s="2633" t="s">
        <v>1058</v>
      </c>
      <c r="D22" s="2662"/>
      <c r="E22" s="2662"/>
      <c r="F22" s="2662"/>
      <c r="G22" s="2663"/>
      <c r="H22" s="2663"/>
      <c r="I22" s="2663"/>
      <c r="J22" s="2438"/>
      <c r="K22" s="354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59" t="s">
        <v>2214</v>
      </c>
      <c r="B27" s="320" t="s">
        <v>2215</v>
      </c>
      <c r="C27" s="2415" t="s">
        <v>3476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0"/>
      <c r="B30" s="302" t="s">
        <v>2218</v>
      </c>
      <c r="C30" s="3561"/>
      <c r="D30" s="3562"/>
      <c r="E30" s="2663"/>
      <c r="F30" s="2663"/>
      <c r="G30" s="2663"/>
      <c r="H30" s="2663"/>
      <c r="I30" s="2663"/>
      <c r="J30" s="2438"/>
      <c r="K30" s="2615"/>
      <c r="L30" s="2612"/>
      <c r="M30" s="2612"/>
      <c r="N30" s="2438"/>
      <c r="O30" s="2449"/>
      <c r="P30" s="2438"/>
      <c r="Q30" s="2438"/>
      <c r="R30" s="2438"/>
      <c r="S30" s="2438"/>
      <c r="T30" s="2438"/>
      <c r="U30" s="2438"/>
      <c r="V30" s="2438"/>
    </row>
    <row r="31" spans="1:28">
      <c r="A31" s="3563" t="s">
        <v>2219</v>
      </c>
      <c r="B31" s="2421" t="s">
        <v>3475</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58" t="s">
        <v>2228</v>
      </c>
      <c r="T34" s="2427" t="str">
        <f>NUMBERSTRING(7-K34,1)&amp;"通"</f>
        <v>七通</v>
      </c>
      <c r="U34" s="2438"/>
      <c r="V34" s="2438"/>
    </row>
    <row r="35" spans="1:30">
      <c r="A35" s="2428"/>
      <c r="B35" s="3565" t="s">
        <v>2229</v>
      </c>
      <c r="C35" s="3565"/>
      <c r="D35" s="3565"/>
      <c r="E35" s="356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3479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207.28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207.28</v>
      </c>
      <c r="H5" s="13">
        <f t="shared" ref="H5:AT5" si="0">SUM(H13:H656)</f>
        <v>207.28</v>
      </c>
      <c r="I5" s="13">
        <f t="shared" si="0"/>
        <v>207.28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207.28</v>
      </c>
      <c r="BA5" s="15">
        <f t="shared" si="1"/>
        <v>207.28</v>
      </c>
      <c r="BB5" s="15">
        <f t="shared" si="1"/>
        <v>207.28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3385</v>
      </c>
      <c r="E13" s="13">
        <f>IF($C$3="是",ROUND($A$3*G13/$B$3,2),ROUND($A$3*(G13-AT13)/$B$3,2))</f>
        <v>0</v>
      </c>
      <c r="F13" s="29"/>
      <c r="G13" s="30">
        <f>H13+AC13+AT13</f>
        <v>207.28</v>
      </c>
      <c r="H13" s="17">
        <f>SUMIF(I$12:AB$12,"总值",I13:AB13)</f>
        <v>207.28</v>
      </c>
      <c r="I13" s="1625">
        <v>207.28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207.28</v>
      </c>
      <c r="BA13" s="13">
        <f>SUM(BB13:BK13)</f>
        <v>207.28</v>
      </c>
      <c r="BB13" s="13">
        <f>IF($D13="是",I13-J13,0)</f>
        <v>207.28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75" t="s">
        <v>1131</v>
      </c>
      <c r="B2" s="3575"/>
      <c r="C2" s="3575"/>
      <c r="D2" s="796" t="s">
        <v>1107</v>
      </c>
      <c r="E2" s="1638" t="s">
        <v>1108</v>
      </c>
      <c r="F2" s="2658"/>
      <c r="G2" s="2649"/>
      <c r="H2" s="2650"/>
      <c r="I2" s="2324" t="s">
        <v>1132</v>
      </c>
      <c r="J2" s="2658"/>
      <c r="K2" s="2658"/>
      <c r="L2" s="2658"/>
      <c r="M2" s="2658"/>
      <c r="N2" s="2660"/>
      <c r="O2" s="2658"/>
      <c r="P2" s="2658"/>
    </row>
    <row r="3" spans="1:16" ht="15" thickBot="1">
      <c r="A3" s="3576" t="s">
        <v>1105</v>
      </c>
      <c r="B3" s="3576"/>
      <c r="C3" s="3576"/>
      <c r="D3" s="43">
        <f>'数据-基础表'!AY6</f>
        <v>0</v>
      </c>
      <c r="E3" s="43">
        <f>'数据-基础表'!AZ5</f>
        <v>207.28</v>
      </c>
      <c r="F3" s="2658"/>
      <c r="G3" s="1144"/>
      <c r="H3" s="1026" t="s">
        <v>1106</v>
      </c>
      <c r="I3" s="855" t="e">
        <f>ROUND('数据-基础表'!B3/'数据-基础表'!A3,2)</f>
        <v>#DIV/0!</v>
      </c>
      <c r="J3" s="2658"/>
      <c r="K3" s="2658"/>
      <c r="L3" s="2658"/>
      <c r="M3" s="2658"/>
      <c r="N3" s="2660"/>
      <c r="O3" s="2658"/>
      <c r="P3" s="2658"/>
    </row>
    <row r="4" spans="1:16" ht="14.4">
      <c r="A4" s="3577"/>
      <c r="B4" s="3578"/>
      <c r="C4" s="3579"/>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80" t="s">
        <v>1110</v>
      </c>
      <c r="C5" s="3580"/>
      <c r="D5" s="45">
        <f>ROUND($D$3*E5/$E$3,2)</f>
        <v>0</v>
      </c>
      <c r="E5" s="46">
        <f>SUMIF('数据-基础表'!$11:$11,"住宅",'数据-基础表'!$5:$5)</f>
        <v>0</v>
      </c>
      <c r="F5" s="2658"/>
      <c r="G5" s="1144"/>
      <c r="H5" s="1026" t="s">
        <v>1106</v>
      </c>
      <c r="I5" s="855" t="e">
        <f>ROUND(E31/D31,2)</f>
        <v>#DIV/0!</v>
      </c>
      <c r="J5" s="2658"/>
      <c r="K5" s="2658"/>
      <c r="L5" s="2658"/>
      <c r="M5" s="2658"/>
      <c r="N5" s="2658"/>
      <c r="O5" s="2658"/>
      <c r="P5" s="2658"/>
    </row>
    <row r="6" spans="1:16" ht="15" thickBot="1">
      <c r="A6" s="1643"/>
      <c r="B6" s="3580" t="s">
        <v>1111</v>
      </c>
      <c r="C6" s="3580"/>
      <c r="D6" s="45">
        <f>ROUND($D$3*E6/$E$3,2)</f>
        <v>0</v>
      </c>
      <c r="E6" s="46">
        <f>E3-E5</f>
        <v>207.28</v>
      </c>
      <c r="F6" s="2658"/>
      <c r="G6" s="2652" t="s">
        <v>1112</v>
      </c>
      <c r="H6" s="1145" t="s">
        <v>1113</v>
      </c>
      <c r="I6" s="2653" t="e">
        <f>ROUND(F31/D31,2)</f>
        <v>#DIV/0!</v>
      </c>
      <c r="J6" s="2658"/>
      <c r="K6" s="2658"/>
      <c r="L6" s="2658"/>
      <c r="M6" s="2658"/>
      <c r="N6" s="2658"/>
      <c r="O6" s="2658"/>
      <c r="P6" s="2658"/>
    </row>
    <row r="7" spans="1:16" ht="15" thickBot="1">
      <c r="A7" s="3572"/>
      <c r="B7" s="3573"/>
      <c r="C7" s="3574"/>
      <c r="D7" s="1640" t="s">
        <v>1107</v>
      </c>
      <c r="E7" s="1644" t="s">
        <v>1114</v>
      </c>
      <c r="F7" s="2658"/>
      <c r="G7" s="2654" t="s">
        <v>1115</v>
      </c>
      <c r="H7" s="2655"/>
      <c r="I7" s="2656">
        <v>1</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207.28</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0</v>
      </c>
      <c r="E16" s="50">
        <f>SUM(E8:E15)</f>
        <v>207.28</v>
      </c>
      <c r="F16" s="2658"/>
      <c r="G16" s="2659"/>
      <c r="H16" s="1647" t="s">
        <v>1135</v>
      </c>
      <c r="I16" s="1648"/>
      <c r="J16" s="1138"/>
      <c r="K16" s="3569" t="s">
        <v>1135</v>
      </c>
      <c r="L16" s="3570"/>
      <c r="M16" s="3570"/>
      <c r="N16" s="3570"/>
      <c r="O16" s="3570"/>
      <c r="P16" s="3571"/>
    </row>
    <row r="17" spans="1:19" ht="14.4">
      <c r="A17" s="1649" t="s">
        <v>1136</v>
      </c>
      <c r="B17" s="1650" t="s">
        <v>1137</v>
      </c>
      <c r="C17" s="1651" t="s">
        <v>1138</v>
      </c>
      <c r="D17" s="1652" t="s">
        <v>1126</v>
      </c>
      <c r="E17" s="1653" t="s">
        <v>1127</v>
      </c>
      <c r="F17" s="1654"/>
      <c r="G17" s="1655"/>
      <c r="H17" s="1656" t="s">
        <v>1139</v>
      </c>
      <c r="I17" s="1657" t="s">
        <v>1124</v>
      </c>
      <c r="J17" s="1138"/>
      <c r="K17" s="3566" t="s">
        <v>1140</v>
      </c>
      <c r="L17" s="3567"/>
      <c r="M17" s="3568"/>
      <c r="N17" s="3566" t="s">
        <v>1141</v>
      </c>
      <c r="O17" s="3567"/>
      <c r="P17" s="3568"/>
      <c r="R17" s="1639" t="s">
        <v>1142</v>
      </c>
      <c r="S17" s="56"/>
    </row>
    <row r="18" spans="1:19" ht="14.4">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ht="14.4">
      <c r="A19" s="1666"/>
      <c r="B19" s="47" t="s">
        <v>1125</v>
      </c>
      <c r="C19" s="3416" t="s">
        <v>3384</v>
      </c>
      <c r="D19" s="45">
        <f>ROUND($D$3*E19/$E$3,2)</f>
        <v>0</v>
      </c>
      <c r="E19" s="53">
        <f t="shared" ref="E19:E26" si="1">SUM(F19:G19)</f>
        <v>207.28</v>
      </c>
      <c r="F19" s="2794">
        <f>'数据-基础表'!I13</f>
        <v>207.28</v>
      </c>
      <c r="G19" s="2795"/>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0</v>
      </c>
      <c r="S19" s="1027">
        <f t="shared" si="5"/>
        <v>207.28</v>
      </c>
    </row>
    <row r="20" spans="1:19" ht="14.4">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ht="14.4">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ht="14.4">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ht="14.4">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ht="14.4">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 thickBot="1">
      <c r="A27" s="1669"/>
      <c r="B27" s="45"/>
      <c r="C27" s="1672" t="s">
        <v>1154</v>
      </c>
      <c r="D27" s="1139">
        <f>SUM(D19:D26)</f>
        <v>0</v>
      </c>
      <c r="E27" s="1140">
        <f>IF(SUM(E19:E26)='数据-基础表'!BA5,SUM(E19:E26),IF(F27="地上面积有误","面积有误","地下面积有误"))</f>
        <v>207.28</v>
      </c>
      <c r="F27" s="1139">
        <f>IF(SUM(F19:F26)=E8,SUM(F19:F26),"地上面积有误")</f>
        <v>207.28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0</v>
      </c>
      <c r="S27" s="1026">
        <f>IF(SUM(S19:S26)=$E$3,SUM(S19:S26),SUM(S19:S26)&amp;"误差"&amp;ROUND(SUM(S19:S26)-E3,2))</f>
        <v>207.28</v>
      </c>
    </row>
    <row r="28" spans="1:19" ht="14.4">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5" t="s">
        <v>1158</v>
      </c>
      <c r="D31" s="676">
        <f>D27+D30</f>
        <v>0</v>
      </c>
      <c r="E31" s="676">
        <f>E27+E30</f>
        <v>207.28</v>
      </c>
      <c r="F31" s="677">
        <f>F27+F30</f>
        <v>207.28</v>
      </c>
      <c r="G31" s="678">
        <f>G27+G30</f>
        <v>0</v>
      </c>
      <c r="H31" s="2658"/>
      <c r="I31" s="2658"/>
      <c r="J31" s="2658"/>
      <c r="K31" s="2658"/>
      <c r="L31" s="2658"/>
      <c r="M31" s="2658"/>
      <c r="N31" s="2658"/>
      <c r="O31" s="2658"/>
      <c r="P31" s="2658"/>
    </row>
    <row r="32" spans="1:19" ht="14.4">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Z6" sqref="Z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5">
        <f>项目基本情况!D3</f>
        <v>45510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商业</v>
      </c>
      <c r="B6" s="1712" t="str">
        <f>IF(A6=0,"","经营性")</f>
        <v>经营性</v>
      </c>
      <c r="C6" s="1713" t="s">
        <v>673</v>
      </c>
      <c r="D6" s="858">
        <f>SUMIF(项目基本情况!C$12:I$12,C6,项目基本情况!C$14:I$14)</f>
        <v>40</v>
      </c>
      <c r="E6" s="857">
        <f>IF(B6="","",SUMIF(项目基本情况!C$12:I$12,C6,项目基本情况!C$13:I$13))</f>
        <v>51769</v>
      </c>
      <c r="F6" s="64">
        <f>SUMIF(项目基本情况!C$12:I$12,C6,项目基本情况!C$15:I$15)</f>
        <v>17.14</v>
      </c>
      <c r="G6" s="65">
        <f>IF(ISERROR(ROUND(POWER(1+H6,D6-F6)*(POWER(1+H6,F6)-1)/(POWER(1+H6,D6)-1),3)),0,ROUND(POWER(1+H6,D6-F6)*(POWER(1+H6,F6)-1)/(POWER(1+H6,D6)-1),3))</f>
        <v>0.66</v>
      </c>
      <c r="H6" s="732">
        <v>0.05</v>
      </c>
      <c r="I6" s="732">
        <v>5.5E-2</v>
      </c>
      <c r="J6" s="66">
        <v>7.0000000000000007E-2</v>
      </c>
      <c r="K6" s="1030">
        <f>SUMIF('数据-汇总表'!C$19:C$33,A6,'数据-汇总表'!E$19:E$33)</f>
        <v>207.28</v>
      </c>
      <c r="L6" s="733">
        <v>3000</v>
      </c>
      <c r="M6" s="67">
        <f t="shared" ref="M6:M14" si="0">ROUND(K6*L6/10000,0)</f>
        <v>62</v>
      </c>
      <c r="N6" s="3485">
        <f>N20</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租赁情况!I14</f>
        <v>2.73</v>
      </c>
      <c r="V6" s="70">
        <v>0</v>
      </c>
      <c r="W6" s="70">
        <v>0</v>
      </c>
      <c r="X6" s="1040"/>
      <c r="Y6" s="71">
        <f>N6</f>
        <v>0.73</v>
      </c>
      <c r="Z6" s="3481">
        <f>ROUND('比较法-商业(租金)'!C49*(1+AA6)^AF6,2)</f>
        <v>3.02</v>
      </c>
      <c r="AA6" s="66">
        <v>0.02</v>
      </c>
      <c r="AB6" s="66">
        <v>0.1</v>
      </c>
      <c r="AC6" s="1040"/>
      <c r="AD6" s="73">
        <v>0.7</v>
      </c>
      <c r="AE6" s="1041">
        <f ca="1">IF(AN6="",0,SUMIF(INDIRECT("'"&amp;AN6&amp;"'"&amp;"!E:E"),$AE$5,INDIRECT("'"&amp;AN6&amp;"'"&amp;"!F:F")))</f>
        <v>17.14</v>
      </c>
      <c r="AF6" s="1347">
        <f>租赁情况!I9</f>
        <v>3.9</v>
      </c>
      <c r="AG6" s="138">
        <f ca="1">IF(AF6="",0,AE6-AF6)</f>
        <v>13.24</v>
      </c>
      <c r="AH6" s="74"/>
      <c r="AI6" s="76">
        <v>365</v>
      </c>
      <c r="AJ6" s="77"/>
      <c r="AK6" s="78">
        <v>5.0000000000000001E-3</v>
      </c>
      <c r="AL6" s="79">
        <v>1E-3</v>
      </c>
      <c r="AM6" s="80">
        <v>5.0000000000000001E-3</v>
      </c>
      <c r="AN6" s="1714" t="s">
        <v>3387</v>
      </c>
      <c r="AO6" s="52">
        <f ca="1">SUMIF(INDIRECT("'"&amp;AN6&amp;"'"&amp;"!A:A"),"总价",INDIRECT("'"&amp;AN6&amp;"'"&amp;"!B:B"))</f>
        <v>205.59299999999999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0.66</v>
      </c>
      <c r="H16" s="90">
        <f>ROUND(SUMPRODUCT(H6:H13,K6:K13)/SUMPRODUCT((H6:H13&gt;0)*(K6:K13)),3)</f>
        <v>0.05</v>
      </c>
      <c r="I16" s="91"/>
      <c r="J16" s="91"/>
      <c r="K16" s="92">
        <f>SUM(K6:K15)</f>
        <v>207.28</v>
      </c>
      <c r="L16" s="93">
        <f>ROUND(M16*10000/SUM(K6:K14),0)</f>
        <v>2991</v>
      </c>
      <c r="M16" s="93">
        <f>SUM(M6:M14)</f>
        <v>62</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73" t="s">
        <v>3405</v>
      </c>
      <c r="N18" s="2670">
        <f>ROUND(1-(1-2%)*(2024-2002)/50,2)</f>
        <v>0.56999999999999995</v>
      </c>
      <c r="O18" s="2670">
        <v>0.3</v>
      </c>
      <c r="P18" s="2670"/>
      <c r="Q18" s="2670"/>
      <c r="R18" s="2670"/>
      <c r="S18" s="2670"/>
      <c r="T18" s="2670"/>
      <c r="U18" s="2670"/>
      <c r="V18" s="2670"/>
      <c r="W18" s="2670"/>
      <c r="X18" s="2670"/>
      <c r="Y18" s="2670">
        <f>ROUND(1-(1-2%)*(2027-2002)/50,2)</f>
        <v>0.51</v>
      </c>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2305</v>
      </c>
      <c r="D19" s="2675"/>
      <c r="E19" s="2672"/>
      <c r="F19" s="2672"/>
      <c r="G19" s="2672"/>
      <c r="H19" s="2672"/>
      <c r="I19" s="2672"/>
      <c r="J19" s="2672"/>
      <c r="K19" s="2671"/>
      <c r="L19" s="2671"/>
      <c r="M19" s="3473" t="s">
        <v>3406</v>
      </c>
      <c r="N19" s="2670">
        <v>0.8</v>
      </c>
      <c r="O19" s="2670">
        <f>1-O18</f>
        <v>0.7</v>
      </c>
      <c r="P19" s="2670"/>
      <c r="Q19" s="2670"/>
      <c r="R19" s="2670"/>
      <c r="S19" s="2670"/>
      <c r="T19" s="2670"/>
      <c r="U19" s="2670"/>
      <c r="V19" s="2670"/>
      <c r="W19" s="2670"/>
      <c r="X19" s="2670"/>
      <c r="Y19" s="2670">
        <v>0.8</v>
      </c>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2303</v>
      </c>
      <c r="D20" s="2675"/>
      <c r="E20" s="2672"/>
      <c r="F20" s="2672"/>
      <c r="G20" s="2672"/>
      <c r="H20" s="2672"/>
      <c r="I20" s="2672"/>
      <c r="J20" s="2672"/>
      <c r="K20" s="2671"/>
      <c r="L20" s="2671"/>
      <c r="M20" s="2670"/>
      <c r="N20" s="2670">
        <f>ROUND(N18*O18+N19*O19,2)</f>
        <v>0.73</v>
      </c>
      <c r="O20" s="2670"/>
      <c r="P20" s="2670"/>
      <c r="Q20" s="2670"/>
      <c r="R20" s="2670"/>
      <c r="S20" s="2670"/>
      <c r="T20" s="2670"/>
      <c r="U20" s="2670"/>
      <c r="V20" s="2670"/>
      <c r="W20" s="2670"/>
      <c r="X20" s="2670"/>
      <c r="Y20" s="2670">
        <f>ROUND((Y18+Y19)/2,2)</f>
        <v>0.66</v>
      </c>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v>120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160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2314</v>
      </c>
      <c r="B40" s="3472">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5"/>
  </cols>
  <sheetData>
    <row r="1" spans="1:29" s="2456" customFormat="1" ht="18" thickBot="1">
      <c r="A1" s="3581" t="s">
        <v>2286</v>
      </c>
      <c r="B1" s="3582"/>
      <c r="C1" s="3582"/>
      <c r="D1" s="3582"/>
      <c r="E1" s="3582"/>
      <c r="F1" s="3582"/>
      <c r="G1" s="358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2"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207.28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45510</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449.34160000000003</v>
      </c>
      <c r="C5" s="2511">
        <f ca="1">IF(B5=D14,结果表!H102,ROUND(B5*10000/$B$1,0))</f>
        <v>21678</v>
      </c>
      <c r="D5" s="2511" t="e">
        <f ca="1">ROUND(B5*10000/$B$2,0)</f>
        <v>#DIV/0!</v>
      </c>
      <c r="E5" s="2685"/>
      <c r="F5" s="2686"/>
      <c r="G5" s="2686"/>
      <c r="H5" s="2687"/>
      <c r="I5" s="2687"/>
      <c r="J5" s="2687"/>
      <c r="K5" s="2687"/>
    </row>
    <row r="6" spans="1:11" ht="15.6">
      <c r="A6" s="2511" t="s">
        <v>656</v>
      </c>
      <c r="B6" s="2511">
        <f>SUM(G14:G23)</f>
        <v>0</v>
      </c>
      <c r="C6" s="2511">
        <f ca="1">IF(B6=G14,结果表!H108,ROUND(B6*10000/$B$1,0))</f>
        <v>21678</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 ca="1">SUM(I14:I23)</f>
        <v>427.61760000000004</v>
      </c>
      <c r="C8" s="2511">
        <f ca="1">IF(B8=I14,结果表!H112,ROUND(B8*10000/$B$1,0))</f>
        <v>20630</v>
      </c>
      <c r="D8" s="2511" t="e">
        <f ca="1">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207.28</v>
      </c>
      <c r="C14" s="2517"/>
      <c r="D14" s="2517">
        <f ca="1">结果表!H101</f>
        <v>449.34160000000003</v>
      </c>
      <c r="E14" s="2517">
        <f ca="1">结果表!H102</f>
        <v>21678</v>
      </c>
      <c r="F14" s="2517" t="e">
        <f ca="1">ROUND(D14*10000/C14,0)</f>
        <v>#DIV/0!</v>
      </c>
      <c r="G14" s="2517"/>
      <c r="H14" s="2517"/>
      <c r="I14" s="2517">
        <f ca="1">结果表!D126</f>
        <v>427.61760000000004</v>
      </c>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I43" zoomScaleNormal="100" zoomScaleSheetLayoutView="100" zoomScalePageLayoutView="80" workbookViewId="0">
      <selection activeCell="D55" sqref="D55"/>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673</v>
      </c>
      <c r="D1" s="1746"/>
      <c r="E1" s="1746"/>
      <c r="F1" s="1748" t="s">
        <v>1263</v>
      </c>
      <c r="G1" s="1560" t="s">
        <v>3475</v>
      </c>
      <c r="H1" s="1749" t="str">
        <f>IF(G1="现房","——","估价对象范围")</f>
        <v>——</v>
      </c>
      <c r="I1" s="1750"/>
    </row>
    <row r="2" spans="1:12" ht="21.75" customHeight="1" thickBot="1">
      <c r="A2" s="3650" t="str">
        <f>项目基本情况!S2</f>
        <v>北京市房地产</v>
      </c>
      <c r="B2" s="3651"/>
      <c r="C2" s="3651"/>
      <c r="D2" s="3651"/>
      <c r="E2" s="3651"/>
      <c r="F2" s="3651"/>
      <c r="G2" s="3651"/>
      <c r="H2" s="3651"/>
      <c r="I2" s="3652"/>
    </row>
    <row r="3" spans="1:12" ht="13.2">
      <c r="A3" s="3654" t="s">
        <v>1264</v>
      </c>
      <c r="B3" s="3655"/>
      <c r="C3" s="3655"/>
      <c r="D3" s="3655"/>
      <c r="E3" s="3655"/>
      <c r="F3" s="3655"/>
      <c r="G3" s="3655"/>
      <c r="H3" s="3655"/>
      <c r="I3" s="3655"/>
    </row>
    <row r="4" spans="1:12" ht="14.4">
      <c r="A4" s="1753" t="s">
        <v>1265</v>
      </c>
      <c r="B4" s="1754" t="s">
        <v>1266</v>
      </c>
      <c r="C4" s="1755" t="s">
        <v>3393</v>
      </c>
      <c r="D4" s="1755" t="s">
        <v>3387</v>
      </c>
      <c r="E4" s="3659" t="s">
        <v>1267</v>
      </c>
      <c r="F4" s="3660"/>
      <c r="G4" s="3660"/>
      <c r="H4" s="3660"/>
      <c r="I4" s="366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8" t="s">
        <v>1268</v>
      </c>
      <c r="B5" s="3653">
        <v>25</v>
      </c>
      <c r="C5" s="3656"/>
      <c r="D5" s="3644"/>
      <c r="E5" s="131" t="s">
        <v>1269</v>
      </c>
      <c r="F5" s="1756"/>
      <c r="G5" s="1756"/>
      <c r="H5" s="1756"/>
      <c r="I5" s="1372"/>
    </row>
    <row r="6" spans="1:12" ht="13.2">
      <c r="A6" s="3598"/>
      <c r="B6" s="3653"/>
      <c r="C6" s="3658"/>
      <c r="D6" s="3644"/>
      <c r="E6" s="131" t="s">
        <v>1270</v>
      </c>
      <c r="F6" s="1756"/>
      <c r="G6" s="1756"/>
      <c r="H6" s="1756"/>
      <c r="I6" s="1372"/>
    </row>
    <row r="7" spans="1:12" ht="13.2">
      <c r="A7" s="3598"/>
      <c r="B7" s="3653"/>
      <c r="C7" s="3657"/>
      <c r="D7" s="3644"/>
      <c r="E7" s="131" t="s">
        <v>1271</v>
      </c>
      <c r="F7" s="1756"/>
      <c r="G7" s="1756"/>
      <c r="H7" s="1756"/>
      <c r="I7" s="1372"/>
    </row>
    <row r="8" spans="1:12" ht="13.2">
      <c r="A8" s="3598" t="s">
        <v>1272</v>
      </c>
      <c r="B8" s="3653">
        <v>15</v>
      </c>
      <c r="C8" s="3656"/>
      <c r="D8" s="3644"/>
      <c r="E8" s="131" t="s">
        <v>1273</v>
      </c>
      <c r="F8" s="1756"/>
      <c r="G8" s="1756"/>
      <c r="H8" s="1756"/>
      <c r="I8" s="1372"/>
    </row>
    <row r="9" spans="1:12" ht="13.2">
      <c r="A9" s="3598"/>
      <c r="B9" s="3653"/>
      <c r="C9" s="3657"/>
      <c r="D9" s="3644"/>
      <c r="E9" s="131" t="s">
        <v>1274</v>
      </c>
      <c r="F9" s="1756"/>
      <c r="G9" s="1756"/>
      <c r="H9" s="1756"/>
      <c r="I9" s="1372"/>
    </row>
    <row r="10" spans="1:12" ht="13.2">
      <c r="A10" s="3598" t="s">
        <v>1275</v>
      </c>
      <c r="B10" s="3653">
        <v>15</v>
      </c>
      <c r="C10" s="3656"/>
      <c r="D10" s="3644"/>
      <c r="E10" s="131" t="s">
        <v>1276</v>
      </c>
      <c r="F10" s="1756"/>
      <c r="G10" s="1756"/>
      <c r="H10" s="1756"/>
      <c r="I10" s="1372"/>
    </row>
    <row r="11" spans="1:12" ht="13.2">
      <c r="A11" s="3598"/>
      <c r="B11" s="3653"/>
      <c r="C11" s="3657"/>
      <c r="D11" s="3644"/>
      <c r="E11" s="131" t="s">
        <v>1277</v>
      </c>
      <c r="F11" s="1756"/>
      <c r="G11" s="1756"/>
      <c r="H11" s="1756"/>
      <c r="I11" s="1372"/>
    </row>
    <row r="12" spans="1:12" ht="13.2">
      <c r="A12" s="3598" t="s">
        <v>1278</v>
      </c>
      <c r="B12" s="3653">
        <v>15</v>
      </c>
      <c r="C12" s="3656"/>
      <c r="D12" s="3644"/>
      <c r="E12" s="131" t="s">
        <v>1279</v>
      </c>
      <c r="F12" s="1756"/>
      <c r="G12" s="1756"/>
      <c r="H12" s="1756"/>
      <c r="I12" s="1372"/>
    </row>
    <row r="13" spans="1:12" ht="13.2">
      <c r="A13" s="3598"/>
      <c r="B13" s="3653"/>
      <c r="C13" s="3657"/>
      <c r="D13" s="3644"/>
      <c r="E13" s="131" t="s">
        <v>1280</v>
      </c>
      <c r="F13" s="1756"/>
      <c r="G13" s="1756"/>
      <c r="H13" s="1756"/>
      <c r="I13" s="1372"/>
    </row>
    <row r="14" spans="1:12" ht="13.2">
      <c r="A14" s="3598" t="s">
        <v>1281</v>
      </c>
      <c r="B14" s="3653">
        <v>30</v>
      </c>
      <c r="C14" s="3656">
        <v>65</v>
      </c>
      <c r="D14" s="3644">
        <v>35</v>
      </c>
      <c r="E14" s="131" t="s">
        <v>1282</v>
      </c>
      <c r="F14" s="1756"/>
      <c r="G14" s="1756"/>
      <c r="H14" s="1756"/>
      <c r="I14" s="1372"/>
    </row>
    <row r="15" spans="1:12" ht="13.2">
      <c r="A15" s="3598"/>
      <c r="B15" s="3653"/>
      <c r="C15" s="3658"/>
      <c r="D15" s="3644"/>
      <c r="E15" s="131" t="s">
        <v>1283</v>
      </c>
      <c r="F15" s="1756"/>
      <c r="G15" s="1756"/>
      <c r="H15" s="1756"/>
      <c r="I15" s="1372"/>
    </row>
    <row r="16" spans="1:12" ht="13.2">
      <c r="A16" s="3598"/>
      <c r="B16" s="3653"/>
      <c r="C16" s="3657"/>
      <c r="D16" s="3644"/>
      <c r="E16" s="131" t="s">
        <v>1284</v>
      </c>
      <c r="F16" s="1756"/>
      <c r="G16" s="1756"/>
      <c r="H16" s="1756"/>
      <c r="I16" s="1372"/>
    </row>
    <row r="17" spans="1:36" ht="14.4">
      <c r="A17" s="1757" t="s">
        <v>1285</v>
      </c>
      <c r="B17" s="56"/>
      <c r="C17" s="132">
        <f>SUM(C5:C16)</f>
        <v>65</v>
      </c>
      <c r="D17" s="132">
        <f>SUM(D5:D16)</f>
        <v>35</v>
      </c>
      <c r="E17" s="129"/>
      <c r="F17" s="129"/>
      <c r="G17" s="129"/>
      <c r="H17" s="129"/>
      <c r="I17" s="129"/>
      <c r="K17" s="302"/>
      <c r="L17" s="302" t="s">
        <v>1286</v>
      </c>
      <c r="M17" s="302" t="s">
        <v>1287</v>
      </c>
    </row>
    <row r="18" spans="1:36" ht="31.95" customHeight="1" thickBot="1">
      <c r="A18" s="1758" t="s">
        <v>1288</v>
      </c>
      <c r="B18" s="1759"/>
      <c r="C18" s="133">
        <f>ROUND(C17/SUM(C17:D17),2)</f>
        <v>0.65</v>
      </c>
      <c r="D18" s="133">
        <f>1-C18</f>
        <v>0.35</v>
      </c>
      <c r="E18" s="3675" t="s">
        <v>2131</v>
      </c>
      <c r="F18" s="3676"/>
      <c r="G18" s="3676"/>
      <c r="H18" s="3676"/>
      <c r="I18" s="3676"/>
      <c r="K18" s="302" t="s">
        <v>1289</v>
      </c>
      <c r="L18" s="302">
        <f>IF(C1="",'数据-汇总表'!E3,SUMIF(项目类型,C1,'数据-汇总表'!E17:E26)+SUMIF(项目类型,C1,'数据-汇总表'!I17:I26))</f>
        <v>207.28</v>
      </c>
      <c r="M18" s="302">
        <f>IF(C1="",'数据-汇总表'!E3,SUMIF(项目类型,C1,'数据-汇总表'!E17:E26))</f>
        <v>207.28</v>
      </c>
    </row>
    <row r="19" spans="1:36" ht="14.4">
      <c r="A19" s="1760" t="s">
        <v>1290</v>
      </c>
      <c r="B19" s="1761" t="s">
        <v>1291</v>
      </c>
      <c r="C19" s="134">
        <f ca="1">SUMIF(INDIRECT("'"&amp;C4&amp;"'"&amp;"!A:A"),结果表!B19,INDIRECT("'"&amp;C4&amp;"'"&amp;"!B:B"))</f>
        <v>580.57060000000001</v>
      </c>
      <c r="D19" s="135">
        <f ca="1">SUMIF(INDIRECT("'"&amp;D4&amp;"'"&amp;"!A:A"),结果表!B19,INDIRECT("'"&amp;D4&amp;"'"&amp;"!B:B"))</f>
        <v>205.59299999999999</v>
      </c>
      <c r="E19" s="1760" t="s">
        <v>1292</v>
      </c>
      <c r="F19" s="1761" t="s">
        <v>1291</v>
      </c>
      <c r="G19" s="136">
        <f ca="1">ROUND(C19*$C$18+D19*$D$18,0)</f>
        <v>449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28009</v>
      </c>
      <c r="D20" s="138">
        <f ca="1">SUMIF(INDIRECT("'"&amp;D4&amp;"'"&amp;"!A:A"),结果表!B20,INDIRECT("'"&amp;D4&amp;"'"&amp;"!B:B"))</f>
        <v>9919</v>
      </c>
      <c r="E20" s="1763"/>
      <c r="F20" s="1026" t="s">
        <v>1295</v>
      </c>
      <c r="G20" s="139">
        <f ca="1">ROUND(C20*$C$18+D20*$D$18,0)</f>
        <v>21678</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1.8238831088607106</v>
      </c>
      <c r="E22" s="129"/>
      <c r="F22" s="129"/>
      <c r="G22" s="129"/>
      <c r="H22" s="129"/>
      <c r="I22" s="129"/>
      <c r="K22" s="725" t="s">
        <v>3477</v>
      </c>
    </row>
    <row r="23" spans="1:36" ht="13.8" thickBot="1">
      <c r="A23" s="1746"/>
      <c r="B23" s="1746"/>
      <c r="C23" s="1746"/>
      <c r="D23" s="1746"/>
      <c r="E23" s="129"/>
      <c r="F23" s="129"/>
      <c r="G23" s="129"/>
      <c r="H23" s="129"/>
      <c r="I23" s="129"/>
    </row>
    <row r="24" spans="1:36" ht="14.4">
      <c r="A24" s="3668" t="s">
        <v>1299</v>
      </c>
      <c r="B24" s="1761" t="s">
        <v>1291</v>
      </c>
      <c r="C24" s="136">
        <f>IF(B30=0,0,D30)</f>
        <v>0</v>
      </c>
      <c r="D24" s="1768"/>
      <c r="E24" s="129"/>
      <c r="F24" s="129"/>
      <c r="G24" s="129"/>
      <c r="H24" s="129"/>
      <c r="I24" s="129"/>
    </row>
    <row r="25" spans="1:36" ht="14.4">
      <c r="A25" s="366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21678</v>
      </c>
      <c r="D32" s="1774" t="s">
        <v>3397</v>
      </c>
      <c r="E32" s="129"/>
      <c r="F32" s="129"/>
      <c r="G32" s="129"/>
      <c r="H32" s="129"/>
      <c r="I32" s="129"/>
    </row>
    <row r="33" spans="1:15" ht="14.4">
      <c r="A33" s="786" t="s">
        <v>1306</v>
      </c>
      <c r="B33" s="1775"/>
      <c r="C33" s="1776"/>
      <c r="D33" s="1777"/>
      <c r="E33" s="1778" t="s">
        <v>1307</v>
      </c>
      <c r="F33" s="1779" t="str">
        <f>IF(D32="楼面单价","取值（单价）","取值（总价）")</f>
        <v>取值（单价）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45" t="s">
        <v>1312</v>
      </c>
      <c r="B36" s="1786" t="s">
        <v>1313</v>
      </c>
      <c r="C36" s="145"/>
      <c r="D36" s="1787"/>
      <c r="E36" s="1788"/>
      <c r="F36" s="1789"/>
      <c r="G36" s="129"/>
      <c r="H36" s="129"/>
      <c r="I36" s="129"/>
    </row>
    <row r="37" spans="1:15" ht="15" thickBot="1">
      <c r="A37" s="3646"/>
      <c r="B37" s="1673" t="s">
        <v>1314</v>
      </c>
      <c r="C37" s="147"/>
      <c r="D37" s="1138"/>
      <c r="E37" s="1138"/>
      <c r="F37" s="1789"/>
      <c r="G37" s="129"/>
      <c r="H37" s="129"/>
      <c r="I37" s="129"/>
    </row>
    <row r="38" spans="1:15" ht="15" thickBot="1">
      <c r="A38" s="3647"/>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5" t="s">
        <v>1326</v>
      </c>
      <c r="B45" s="3666"/>
      <c r="C45" s="3667"/>
      <c r="D45" s="155">
        <f ca="1">ROUND(H101*F45,4)</f>
        <v>449.34160000000003</v>
      </c>
      <c r="E45" s="156" t="s">
        <v>1327</v>
      </c>
      <c r="F45" s="157">
        <v>1</v>
      </c>
      <c r="G45" s="158" t="s">
        <v>1328</v>
      </c>
      <c r="H45" s="129"/>
      <c r="I45" s="129"/>
      <c r="J45" s="3585" t="s">
        <v>1329</v>
      </c>
      <c r="K45" s="3585"/>
      <c r="L45" s="3585"/>
      <c r="M45" s="3585"/>
      <c r="N45" s="3585"/>
      <c r="O45" s="3585"/>
    </row>
    <row r="46" spans="1:15" ht="14.25" customHeight="1">
      <c r="A46" s="3662" t="s">
        <v>1330</v>
      </c>
      <c r="B46" s="3663"/>
      <c r="C46" s="3663"/>
      <c r="D46" s="3663"/>
      <c r="E46" s="3663"/>
      <c r="F46" s="3663"/>
      <c r="G46" s="3664"/>
      <c r="H46" s="1805"/>
      <c r="I46" s="159"/>
      <c r="J46" s="2522">
        <v>1</v>
      </c>
      <c r="K46" s="3586" t="s">
        <v>1331</v>
      </c>
      <c r="L46" s="3586"/>
      <c r="M46" s="3587"/>
      <c r="N46" s="3587"/>
      <c r="O46" s="3587"/>
    </row>
    <row r="47" spans="1:15" ht="12" customHeight="1">
      <c r="A47" s="160" t="s">
        <v>1332</v>
      </c>
      <c r="B47" s="161"/>
      <c r="C47" s="162"/>
      <c r="D47" s="1086" t="s">
        <v>1333</v>
      </c>
      <c r="E47" s="302" t="s">
        <v>1334</v>
      </c>
      <c r="F47" s="163" t="s">
        <v>1335</v>
      </c>
      <c r="G47" s="2545" t="s">
        <v>1336</v>
      </c>
      <c r="H47" s="2546"/>
      <c r="I47" s="159"/>
      <c r="J47" s="2522">
        <v>2</v>
      </c>
      <c r="K47" s="3586" t="s">
        <v>1337</v>
      </c>
      <c r="L47" s="3586"/>
      <c r="M47" s="3588">
        <f>'数据-取费表'!B2</f>
        <v>45510</v>
      </c>
      <c r="N47" s="3588"/>
      <c r="O47" s="3588"/>
    </row>
    <row r="48" spans="1:15" ht="39.6">
      <c r="A48" s="3648" t="s">
        <v>1338</v>
      </c>
      <c r="B48" s="3649"/>
      <c r="C48" s="3649"/>
      <c r="D48" s="2323">
        <f ca="1">IF(H48="情况1",0,IF(H48="情况2",D52,IF(H48="情况3",D53,IF(H48="情况4",D54))))</f>
        <v>9.2369000000000003</v>
      </c>
      <c r="E48" s="2333" t="str">
        <f>IF(H48="情况4","(销售额-原购置价)×税（费）率","销售额×税（费）率")</f>
        <v>(销售额-原购置价)×税（费）率</v>
      </c>
      <c r="F48" s="2547">
        <f>IF(H48="情况1","免征",'数据-取费表'!B41)</f>
        <v>5.5000000000000007E-2</v>
      </c>
      <c r="G48" s="2548" t="s">
        <v>1339</v>
      </c>
      <c r="H48" s="2549" t="s">
        <v>3394</v>
      </c>
      <c r="I48" s="1805"/>
      <c r="J48" s="2522">
        <v>3</v>
      </c>
      <c r="K48" s="3586" t="s">
        <v>1340</v>
      </c>
      <c r="L48" s="3586"/>
      <c r="M48" s="3589">
        <f ca="1">H101</f>
        <v>449.34160000000003</v>
      </c>
      <c r="N48" s="3589"/>
      <c r="O48" s="3589"/>
    </row>
    <row r="49" spans="1:35" ht="25.5" customHeight="1">
      <c r="A49" s="2332" t="s">
        <v>1341</v>
      </c>
      <c r="B49" s="3634" t="s">
        <v>1342</v>
      </c>
      <c r="C49" s="3634"/>
      <c r="D49" s="1589">
        <v>0</v>
      </c>
      <c r="E49" s="324" t="s">
        <v>1343</v>
      </c>
      <c r="F49" s="2423" t="s">
        <v>28</v>
      </c>
      <c r="G49" s="3617"/>
      <c r="H49" s="2309" t="s">
        <v>2134</v>
      </c>
      <c r="I49" s="2310"/>
      <c r="J49" s="2522">
        <v>4</v>
      </c>
      <c r="K49" s="3586" t="str">
        <f>IF(项目基本情况!E8="房地产抵押价值","房地产抵押价值","抵押担保权已注销时的房地产抵押价值")</f>
        <v>房地产抵押价值</v>
      </c>
      <c r="L49" s="3586"/>
      <c r="M49" s="3589">
        <f ca="1">IF(项目基本情况!E8="房地产抵押价值",H107,H109)</f>
        <v>449.34160000000003</v>
      </c>
      <c r="N49" s="3589"/>
      <c r="O49" s="3589"/>
    </row>
    <row r="50" spans="1:35" ht="25.5" customHeight="1">
      <c r="A50" s="2550"/>
      <c r="B50" s="3634" t="s">
        <v>1344</v>
      </c>
      <c r="C50" s="3634"/>
      <c r="D50" s="2551"/>
      <c r="E50" s="332"/>
      <c r="F50" s="2423"/>
      <c r="G50" s="3618"/>
      <c r="H50" s="2311" t="s">
        <v>2135</v>
      </c>
      <c r="I50" s="2310"/>
      <c r="J50" s="3585" t="s">
        <v>1345</v>
      </c>
      <c r="K50" s="3585"/>
      <c r="L50" s="3585"/>
      <c r="M50" s="3585"/>
      <c r="N50" s="3585"/>
      <c r="O50" s="3585"/>
    </row>
    <row r="51" spans="1:35" ht="20.399999999999999" customHeight="1">
      <c r="A51" s="2552"/>
      <c r="B51" s="3634" t="s">
        <v>1346</v>
      </c>
      <c r="C51" s="3634"/>
      <c r="D51" s="1086"/>
      <c r="E51" s="327"/>
      <c r="F51" s="2423"/>
      <c r="G51" s="3619"/>
      <c r="H51" s="2311" t="s">
        <v>2136</v>
      </c>
      <c r="I51" s="2310"/>
      <c r="J51" s="2523" t="s">
        <v>1347</v>
      </c>
      <c r="K51" s="3586" t="s">
        <v>1348</v>
      </c>
      <c r="L51" s="3586"/>
      <c r="M51" s="2523" t="s">
        <v>1349</v>
      </c>
      <c r="N51" s="2523" t="s">
        <v>1350</v>
      </c>
      <c r="O51" s="2523" t="s">
        <v>1351</v>
      </c>
    </row>
    <row r="52" spans="1:35" ht="24" customHeight="1">
      <c r="A52" s="2334" t="s">
        <v>1352</v>
      </c>
      <c r="B52" s="3634" t="s">
        <v>1353</v>
      </c>
      <c r="C52" s="3634"/>
      <c r="D52" s="1086">
        <f ca="1">ROUND(D45*'数据-取费表'!B41/(1+'数据-取费表'!C42),0)</f>
        <v>24</v>
      </c>
      <c r="E52" s="2333" t="s">
        <v>1354</v>
      </c>
      <c r="F52" s="2553">
        <f>'数据-取费表'!B41</f>
        <v>5.5000000000000007E-2</v>
      </c>
      <c r="G52" s="2554"/>
      <c r="H52" s="2543"/>
      <c r="I52" s="1806"/>
      <c r="J52" s="2522">
        <v>1</v>
      </c>
      <c r="K52" s="3611" t="s">
        <v>1355</v>
      </c>
      <c r="L52" s="3611"/>
      <c r="M52" s="2524">
        <f ca="1">D48</f>
        <v>9.2369000000000003</v>
      </c>
      <c r="N52" s="2522" t="str">
        <f>E48</f>
        <v>(销售额-原购置价)×税（费）率</v>
      </c>
      <c r="O52" s="2525">
        <f>F48</f>
        <v>5.5000000000000007E-2</v>
      </c>
    </row>
    <row r="53" spans="1:35" ht="12" customHeight="1">
      <c r="A53" s="2334" t="s">
        <v>1356</v>
      </c>
      <c r="B53" s="3635" t="s">
        <v>2291</v>
      </c>
      <c r="C53" s="3636"/>
      <c r="D53" s="1086">
        <f ca="1">ROUND(D45*'数据-取费表'!B41/(1+'数据-取费表'!C42),0)</f>
        <v>24</v>
      </c>
      <c r="E53" s="2333" t="s">
        <v>1354</v>
      </c>
      <c r="F53" s="2553">
        <f>'数据-取费表'!B41</f>
        <v>5.5000000000000007E-2</v>
      </c>
      <c r="G53" s="2554"/>
      <c r="H53" s="2543"/>
      <c r="I53" s="1806"/>
      <c r="J53" s="2522">
        <v>2</v>
      </c>
      <c r="K53" s="3611" t="s">
        <v>1357</v>
      </c>
      <c r="L53" s="3611"/>
      <c r="M53" s="2524">
        <f t="shared" ref="M53:O54" ca="1" si="0">D55</f>
        <v>0.22470000000000001</v>
      </c>
      <c r="N53" s="2522" t="str">
        <f t="shared" si="0"/>
        <v>销售额×税（费）率</v>
      </c>
      <c r="O53" s="2525">
        <f t="shared" si="0"/>
        <v>5.0000000000000001E-4</v>
      </c>
    </row>
    <row r="54" spans="1:35" ht="12" customHeight="1">
      <c r="A54" s="2334" t="s">
        <v>1358</v>
      </c>
      <c r="B54" s="3635" t="s">
        <v>2292</v>
      </c>
      <c r="C54" s="3636"/>
      <c r="D54" s="1086">
        <f ca="1">C68</f>
        <v>9.2369000000000003</v>
      </c>
      <c r="E54" s="327" t="s">
        <v>1359</v>
      </c>
      <c r="F54" s="2553">
        <f>'数据-取费表'!B41</f>
        <v>5.5000000000000007E-2</v>
      </c>
      <c r="G54" s="2554"/>
      <c r="H54" s="2555"/>
      <c r="I54" s="1806"/>
      <c r="J54" s="2522">
        <v>3</v>
      </c>
      <c r="K54" s="3611" t="s">
        <v>1360</v>
      </c>
      <c r="L54" s="3611"/>
      <c r="M54" s="2524">
        <f t="shared" ca="1" si="0"/>
        <v>12.2624</v>
      </c>
      <c r="N54" s="2522" t="str">
        <f t="shared" si="0"/>
        <v>增值额×税（费）率</v>
      </c>
      <c r="O54" s="2526" t="str">
        <f t="shared" si="0"/>
        <v>——</v>
      </c>
    </row>
    <row r="55" spans="1:35" ht="24" customHeight="1">
      <c r="A55" s="3671" t="s">
        <v>1361</v>
      </c>
      <c r="B55" s="3649"/>
      <c r="C55" s="3649"/>
      <c r="D55" s="2323">
        <f ca="1">IF(H55="个人住宅",0,ROUND(D45*I55,4))</f>
        <v>0.22470000000000001</v>
      </c>
      <c r="E55" s="2333" t="s">
        <v>1362</v>
      </c>
      <c r="F55" s="2553">
        <f>IF(H55="正常",I55,"免征")</f>
        <v>5.0000000000000001E-4</v>
      </c>
      <c r="G55" s="2554"/>
      <c r="H55" s="2549" t="s">
        <v>3395</v>
      </c>
      <c r="I55" s="165">
        <f>'数据-取费表'!B49</f>
        <v>5.0000000000000001E-4</v>
      </c>
      <c r="J55" s="2522" t="str">
        <f>IF(H59="非个人房产","",4)</f>
        <v/>
      </c>
      <c r="K55" s="3611" t="str">
        <f>IF(H59="非个人房产","——","个人所得税")</f>
        <v>——</v>
      </c>
      <c r="L55" s="3611"/>
      <c r="M55" s="2527" t="str">
        <f>D59</f>
        <v>——</v>
      </c>
      <c r="N55" s="2039" t="str">
        <f>E59</f>
        <v>——</v>
      </c>
      <c r="O55" s="2528" t="str">
        <f>F59</f>
        <v>——</v>
      </c>
    </row>
    <row r="56" spans="1:35" ht="25.2">
      <c r="A56" s="3671" t="s">
        <v>1363</v>
      </c>
      <c r="B56" s="3649"/>
      <c r="C56" s="3649"/>
      <c r="D56" s="3491">
        <f ca="1">IF(H56="个人住宅",D57,D58)</f>
        <v>12.2624</v>
      </c>
      <c r="E56" s="2333" t="s">
        <v>1364</v>
      </c>
      <c r="F56" s="2553" t="str">
        <f>IF(H56="正常",F58,"免征")</f>
        <v>——</v>
      </c>
      <c r="G56" s="2556" t="s">
        <v>1365</v>
      </c>
      <c r="H56" s="2557" t="s">
        <v>3395</v>
      </c>
      <c r="I56" s="1807"/>
      <c r="J56" s="2522" t="str">
        <f>IF(项目基本情况!K6="上海银行",IF(J55="",4,J55+1),"")</f>
        <v/>
      </c>
      <c r="K56" s="3592" t="str">
        <f>IF(项目基本情况!K6="上海银行","其他处置费用","")</f>
        <v/>
      </c>
      <c r="L56" s="3593"/>
      <c r="M56" s="2524" t="str">
        <f>IF(项目基本情况!K6="上海银行",M69,"")</f>
        <v/>
      </c>
      <c r="N56" s="3592" t="str">
        <f>IF(项目基本情况!K6="上海银行","包含处置中涉及的律师、诉讼、拍卖、评估等费用","")</f>
        <v/>
      </c>
      <c r="O56" s="3595"/>
    </row>
    <row r="57" spans="1:35" ht="13.2">
      <c r="A57" s="2334" t="s">
        <v>1341</v>
      </c>
      <c r="B57" s="3635" t="s">
        <v>1366</v>
      </c>
      <c r="C57" s="3636"/>
      <c r="D57" s="1589">
        <v>0</v>
      </c>
      <c r="E57" s="324" t="s">
        <v>1343</v>
      </c>
      <c r="F57" s="302"/>
      <c r="G57" s="2554"/>
      <c r="H57" s="2558"/>
      <c r="I57" s="1807"/>
      <c r="J57" s="3611">
        <f>IF(AND(J55="",J56=""),4,IF(项目基本情况!K6="上海银行",结果表!J56+1,结果表!J55+1))</f>
        <v>4</v>
      </c>
      <c r="K57" s="3611" t="s">
        <v>1367</v>
      </c>
      <c r="L57" s="2529" t="s">
        <v>1368</v>
      </c>
      <c r="M57" s="2530"/>
      <c r="N57" s="2531">
        <f ca="1">SUMIF(M52:M56,"&lt;9e307")</f>
        <v>21.724</v>
      </c>
      <c r="O57" s="2532"/>
      <c r="P57" s="2689">
        <f ca="1">N57/M49</f>
        <v>4.8346291551906166E-2</v>
      </c>
    </row>
    <row r="58" spans="1:35" ht="25.2">
      <c r="A58" s="2334" t="s">
        <v>1352</v>
      </c>
      <c r="B58" s="3635" t="s">
        <v>1369</v>
      </c>
      <c r="C58" s="3634"/>
      <c r="D58" s="3491">
        <f ca="1">IF(H58="转让取得",C81,C97)</f>
        <v>12.2624</v>
      </c>
      <c r="E58" s="2333" t="s">
        <v>1364</v>
      </c>
      <c r="F58" s="302" t="s">
        <v>28</v>
      </c>
      <c r="G58" s="2554"/>
      <c r="H58" s="2557" t="s">
        <v>3396</v>
      </c>
      <c r="I58" s="1807"/>
      <c r="J58" s="3611"/>
      <c r="K58" s="3611"/>
      <c r="L58" s="2529" t="s">
        <v>1370</v>
      </c>
      <c r="M58" s="2533"/>
      <c r="N58" s="2534" t="str">
        <f ca="1">NUMBERSTRING(INT(N57*10000),2)&amp;"元整"</f>
        <v>贰拾壹万柒仟贰佰肆拾元整</v>
      </c>
      <c r="O58" s="2535"/>
    </row>
    <row r="59" spans="1:35" ht="24.6" thickBot="1">
      <c r="A59" s="3615" t="s">
        <v>1371</v>
      </c>
      <c r="B59" s="3616"/>
      <c r="C59" s="361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3398</v>
      </c>
      <c r="I59" s="2312" t="s">
        <v>2137</v>
      </c>
      <c r="J59" s="3613">
        <f>J57+1</f>
        <v>5</v>
      </c>
      <c r="K59" s="3611" t="s">
        <v>1372</v>
      </c>
      <c r="L59" s="2522" t="s">
        <v>1368</v>
      </c>
      <c r="M59" s="2536"/>
      <c r="N59" s="2537">
        <f ca="1">M49-N57</f>
        <v>427.61760000000004</v>
      </c>
      <c r="O59" s="2538"/>
    </row>
    <row r="60" spans="1:35" ht="12" customHeight="1">
      <c r="A60" s="1808"/>
      <c r="B60" s="1746"/>
      <c r="C60" s="1746"/>
      <c r="D60" s="1746"/>
      <c r="E60" s="1577"/>
      <c r="F60" s="1807"/>
      <c r="G60" s="1807"/>
      <c r="H60" s="1809"/>
      <c r="I60" s="129"/>
      <c r="J60" s="3614"/>
      <c r="K60" s="3611"/>
      <c r="L60" s="2529" t="s">
        <v>1370</v>
      </c>
      <c r="M60" s="2533"/>
      <c r="N60" s="2534" t="str">
        <f ca="1">NUMBERSTRING(INT(N59*10000),2)&amp;"元整"</f>
        <v>肆佰贰拾柒万陆仟壹佰柒拾陆元整</v>
      </c>
      <c r="O60" s="2535"/>
    </row>
    <row r="61" spans="1:35" ht="13.8" thickBot="1">
      <c r="A61" s="3670" t="s">
        <v>1373</v>
      </c>
      <c r="B61" s="3670"/>
      <c r="C61" s="3670"/>
      <c r="D61" s="3670"/>
      <c r="E61" s="3670"/>
      <c r="F61" s="1807"/>
      <c r="G61" s="1807"/>
      <c r="H61" s="1809"/>
      <c r="I61" s="129"/>
      <c r="J61" s="2522">
        <f>J59+1</f>
        <v>6</v>
      </c>
      <c r="K61" s="3611" t="s">
        <v>1374</v>
      </c>
      <c r="L61" s="3611"/>
      <c r="M61" s="2539"/>
      <c r="N61" s="2540">
        <f ca="1">ROUND(N59*10000/'数据-汇总表'!E3,0)</f>
        <v>20630</v>
      </c>
      <c r="O61" s="2541"/>
    </row>
    <row r="62" spans="1:35" ht="13.2">
      <c r="A62" s="3630" t="s">
        <v>1375</v>
      </c>
      <c r="B62" s="3631"/>
      <c r="C62" s="2020"/>
      <c r="D62" s="2020" t="s">
        <v>1376</v>
      </c>
      <c r="E62" s="166" t="s">
        <v>1377</v>
      </c>
      <c r="F62" s="1807"/>
      <c r="G62" s="1807"/>
      <c r="H62" s="1809"/>
      <c r="I62" s="129"/>
    </row>
    <row r="63" spans="1:35" ht="13.2">
      <c r="A63" s="173" t="s">
        <v>330</v>
      </c>
      <c r="B63" s="167" t="s">
        <v>1378</v>
      </c>
      <c r="C63" s="3486">
        <f ca="1">ROUND((C64+C65)/(1+'数据-取费表'!C42),4)</f>
        <v>427.94439999999997</v>
      </c>
      <c r="D63" s="167"/>
      <c r="E63" s="168"/>
      <c r="F63" s="1807"/>
      <c r="G63" s="1807"/>
      <c r="H63" s="1809"/>
      <c r="I63" s="129"/>
      <c r="J63" s="3594" t="s">
        <v>1379</v>
      </c>
      <c r="K63" s="1331" t="s">
        <v>1380</v>
      </c>
      <c r="L63" s="1331">
        <f ca="1">IF(M49&gt;10000,M49*0.5%,IF(AND(M49&gt;1000,M49&lt;=10000),M49*1%,IF(AND(M49&gt;100,M49&lt;=1000),M49*3%,IF(AND(M49&gt;10,M49&lt;=100),M49*5%,M49*8%))))</f>
        <v>13.480248</v>
      </c>
      <c r="M63" s="302">
        <f ca="1">ROUND(L63,1)</f>
        <v>13.5</v>
      </c>
      <c r="N63" s="2542"/>
      <c r="Z63" s="1751"/>
      <c r="AI63" s="1752"/>
    </row>
    <row r="64" spans="1:35" ht="14.25" customHeight="1">
      <c r="A64" s="169" t="s">
        <v>325</v>
      </c>
      <c r="B64" s="170" t="s">
        <v>1381</v>
      </c>
      <c r="C64" s="3493">
        <f ca="1">D45</f>
        <v>449.34160000000003</v>
      </c>
      <c r="D64" s="170" t="s">
        <v>26</v>
      </c>
      <c r="E64" s="172"/>
      <c r="F64" s="1807"/>
      <c r="G64" s="1807"/>
      <c r="H64" s="1809"/>
      <c r="I64" s="129"/>
      <c r="J64" s="3594"/>
      <c r="K64" s="1331" t="s">
        <v>1382</v>
      </c>
      <c r="L64" s="1331">
        <f ca="1">IF(M49&gt;2000,M49*0.5%,IF(AND(M49&gt;1000,M49&lt;=2000),M49*0.6%,IF(AND(M49&gt;500,M49&lt;=1000),M49*0.7%,IF(AND(M49&gt;200,M49&lt;=500),M49*0.8%,IF(AND(M49&gt;100,M49&lt;=200),M49*0.9%,IF(AND(M49&gt;50,M49&lt;=100),M49*1%,IF(AND(M49&gt;20,M49&lt;=50),M49*1.5%,IF(AND(M49&gt;10,M49&lt;=20),M49*2%,IF(AND(M49&gt;1,M49&lt;=10),M49*2.5%)))))))))</f>
        <v>3.5947328000000005</v>
      </c>
      <c r="M64" s="302">
        <f t="shared" ref="M64:M65" ca="1" si="1">ROUND(L64,1)</f>
        <v>3.6</v>
      </c>
      <c r="N64" s="2543" t="s">
        <v>1383</v>
      </c>
      <c r="Z64" s="1751"/>
      <c r="AI64" s="1752"/>
    </row>
    <row r="65" spans="1:35" ht="14.25" customHeight="1">
      <c r="A65" s="169" t="s">
        <v>326</v>
      </c>
      <c r="B65" s="170" t="s">
        <v>1384</v>
      </c>
      <c r="C65" s="2565"/>
      <c r="D65" s="170"/>
      <c r="E65" s="172"/>
      <c r="F65" s="1807"/>
      <c r="G65" s="1807"/>
      <c r="H65" s="1809"/>
      <c r="I65" s="129"/>
      <c r="J65" s="3594"/>
      <c r="K65" s="1331" t="s">
        <v>1385</v>
      </c>
      <c r="L65" s="1331">
        <f ca="1">IF(M49&gt;1000,M49*0.1%,IF(AND(M49&gt;500,M49&lt;=1000),M49*0.5%,IF(AND(M49&gt;50,M49&lt;=500),M49*1%,IF(AND(M49&gt;1,M49&lt;=50),M49*1.5%))))</f>
        <v>4.4934160000000007</v>
      </c>
      <c r="M65" s="302">
        <f t="shared" ca="1" si="1"/>
        <v>4.5</v>
      </c>
      <c r="N65" s="2543" t="s">
        <v>1383</v>
      </c>
      <c r="Z65" s="1751"/>
      <c r="AI65" s="1752"/>
    </row>
    <row r="66" spans="1:35" ht="14.25" customHeight="1">
      <c r="A66" s="173" t="s">
        <v>327</v>
      </c>
      <c r="B66" s="174" t="s">
        <v>1386</v>
      </c>
      <c r="C66" s="2566">
        <f>C75</f>
        <v>260</v>
      </c>
      <c r="D66" s="174" t="s">
        <v>26</v>
      </c>
      <c r="E66" s="1337" t="s">
        <v>671</v>
      </c>
      <c r="F66" s="1807"/>
      <c r="G66" s="1807"/>
      <c r="H66" s="1809"/>
      <c r="I66" s="129"/>
      <c r="J66" s="3594"/>
      <c r="K66" s="1331" t="s">
        <v>1387</v>
      </c>
      <c r="L66" s="1331">
        <f ca="1">M49*0.5%</f>
        <v>2.2467080000000004</v>
      </c>
      <c r="M66" s="302">
        <f ca="1">IF(L66&gt;0.5,0.5,ROUND(L66,0))</f>
        <v>0.5</v>
      </c>
      <c r="N66" s="2543" t="s">
        <v>1388</v>
      </c>
      <c r="Z66" s="1751"/>
      <c r="AI66" s="1752"/>
    </row>
    <row r="67" spans="1:35" ht="14.25" customHeight="1">
      <c r="A67" s="173" t="s">
        <v>328</v>
      </c>
      <c r="B67" s="174" t="s">
        <v>1389</v>
      </c>
      <c r="C67" s="2567">
        <f ca="1">C63-C66</f>
        <v>167.94439999999997</v>
      </c>
      <c r="D67" s="170" t="s">
        <v>26</v>
      </c>
      <c r="E67" s="172"/>
      <c r="F67" s="1807"/>
      <c r="G67" s="1807"/>
      <c r="H67" s="1809"/>
      <c r="I67" s="129"/>
      <c r="J67" s="3594"/>
      <c r="K67" s="1331" t="s">
        <v>1390</v>
      </c>
      <c r="L67" s="1331">
        <f ca="1">IF(M49&gt;=10000,(8.25+(M49-10000)*0.01%),IF(AND(M49&gt;=8000,M49&lt;10000),(7.85+(M49-8000)*0.02%),IF(AND(M49&gt;=5000,M49&lt;8000),(6.65+(M49-5000)*0.04%),IF(AND(M49&gt;=2000,M49&lt;5000),(4.25+(PM49-2000)*0.08%),IF(AND(M49&gt;=1000,M49&lt;2000),(2.75+(M49-1000)*0.15%),IF(AND(M49&gt;=100,M49&lt;1000),(0.5+(M49-100)*0.25%),IF(AND(M49&gt;0,M49&lt;100),M49*0.5%)))))))</f>
        <v>1.373354</v>
      </c>
      <c r="M67" s="302">
        <f ca="1">ROUND(L67*0.9,1)</f>
        <v>1.2</v>
      </c>
      <c r="N67" s="2542"/>
      <c r="Z67" s="1751"/>
      <c r="AI67" s="1752"/>
    </row>
    <row r="68" spans="1:35" ht="14.25" customHeight="1" thickBot="1">
      <c r="A68" s="176" t="s">
        <v>329</v>
      </c>
      <c r="B68" s="177" t="s">
        <v>1391</v>
      </c>
      <c r="C68" s="2568">
        <f ca="1">IF(C67&lt;=0,0,ROUND(C67*D68,4))</f>
        <v>9.2369000000000003</v>
      </c>
      <c r="D68" s="2569">
        <f>'数据-取费表'!B41</f>
        <v>5.5000000000000007E-2</v>
      </c>
      <c r="E68" s="178"/>
      <c r="F68" s="1807"/>
      <c r="G68" s="1807"/>
      <c r="H68" s="1809"/>
      <c r="I68" s="129"/>
      <c r="J68" s="3594"/>
      <c r="K68" s="1331" t="s">
        <v>1392</v>
      </c>
      <c r="L68" s="1331">
        <f ca="1">IF(M49&gt;10000,M49*0.5%,IF(AND(M49&gt;5000,M49&lt;=10000),M49*1%,IF(AND(M49&gt;1000,M49&lt;=5000),M49*2%,IF(AND(M49&gt;200,M49&lt;=1000),M49*3%,M49*5%))))</f>
        <v>13.480248</v>
      </c>
      <c r="M68" s="302">
        <f ca="1">ROUND(L68,1)</f>
        <v>13.5</v>
      </c>
      <c r="N68" s="2542"/>
      <c r="Z68" s="1751"/>
      <c r="AI68" s="1752"/>
    </row>
    <row r="69" spans="1:35" s="1771" customFormat="1" ht="16.5" customHeight="1">
      <c r="A69" s="1810"/>
      <c r="B69" s="1811"/>
      <c r="C69" s="1812"/>
      <c r="D69" s="1813"/>
      <c r="E69" s="1814"/>
      <c r="F69" s="1577"/>
      <c r="G69" s="1577"/>
      <c r="H69" s="1576"/>
      <c r="I69" s="1746"/>
      <c r="J69" s="3594"/>
      <c r="K69" s="1331" t="s">
        <v>1393</v>
      </c>
      <c r="L69" s="1331"/>
      <c r="M69" s="302">
        <f ca="1">ROUND(SUM(M63:M68),0)</f>
        <v>37</v>
      </c>
      <c r="N69" s="2544">
        <f ca="1">M69/M49</f>
        <v>8.2342698739667097E-2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38" t="s">
        <v>1394</v>
      </c>
      <c r="B70" s="3639"/>
      <c r="C70" s="3639"/>
      <c r="D70" s="3639"/>
      <c r="E70" s="3639"/>
      <c r="F70" s="3639"/>
      <c r="G70" s="3639"/>
      <c r="H70" s="363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30" t="s">
        <v>1375</v>
      </c>
      <c r="B71" s="363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3489">
        <f ca="1">ROUND(D45/(1+'数据-取费表'!C42),4)</f>
        <v>427.94439999999997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 ca="1">C74+C78</f>
        <v>387.06970000000001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3492">
        <f>ROUND(IF(G77="2016年5月1日后购买",C75/(1+'数据-取费表'!C42)+C76+C77,C75+C76+C77),4)</f>
        <v>384.93</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v>260</v>
      </c>
      <c r="D75" s="170" t="s">
        <v>26</v>
      </c>
      <c r="E75" s="184" t="s">
        <v>1399</v>
      </c>
      <c r="F75" s="2571" t="s">
        <v>3399</v>
      </c>
      <c r="G75" s="184" t="s">
        <v>1400</v>
      </c>
      <c r="H75" s="2572">
        <v>9</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3492">
        <f>IF(F75="购房发票",ROUND(C75*H75*D76,4),0)</f>
        <v>117</v>
      </c>
      <c r="D76" s="2573">
        <v>0.05</v>
      </c>
      <c r="E76" s="3635" t="s">
        <v>1402</v>
      </c>
      <c r="F76" s="3634"/>
      <c r="G76" s="3634"/>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3492">
        <f>ROUND(IF(G77="个人住宅",0,IF(G77="2016年5月1日前购买",C75*D77,C75*D77/(1+'数据-取费表'!C42))),4)</f>
        <v>7.93</v>
      </c>
      <c r="D77" s="2574">
        <f>'数据-取费表'!B48+'数据-取费表'!B49</f>
        <v>3.0499999999999999E-2</v>
      </c>
      <c r="E77" s="2323" t="s">
        <v>1404</v>
      </c>
      <c r="F77" s="186"/>
      <c r="G77" s="1821" t="s">
        <v>3400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ROUND(D45*D78/(1+'数据-取费表'!C42),4)</f>
        <v>2.1396999999999999</v>
      </c>
      <c r="D78" s="2576">
        <f>'数据-取费表'!B43</f>
        <v>5.000000000000001E-3</v>
      </c>
      <c r="E78" s="3627" t="s">
        <v>1406</v>
      </c>
      <c r="F78" s="3628"/>
      <c r="G78" s="3628"/>
      <c r="H78" s="362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3488">
        <f ca="1">C72-C73</f>
        <v>40.874699999999962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0.10560036086523941</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3487">
        <f ca="1">ROUND(IF(C79&lt;=0,0,IF(C80&gt;=200%,C79*60%-C73*35%,IF(C80&gt;=100%,C79*50%-C73*15%,IF(C80&gt;=50%,C79*40%-C73*5%,IF(C80&lt;50%,C79*30%,0))))),4)</f>
        <v>12.2624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38" t="s">
        <v>1410</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30" t="s">
        <v>1375</v>
      </c>
      <c r="B84" s="363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3489">
        <f ca="1">ROUND(D45/(1+'数据-取费表'!C42),4)</f>
        <v>427.94439999999997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3489">
        <f ca="1">IF(H88="仅含出让金",C87+C90+C91+C92+C93+C94,C87+C91+C92+C93+C94)</f>
        <v>2.1396999999999999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596" t="s">
        <v>2129</v>
      </c>
      <c r="H90" s="359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7" t="s">
        <v>1419</v>
      </c>
      <c r="F91" s="3628"/>
      <c r="G91" s="362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7" t="s">
        <v>1422</v>
      </c>
      <c r="F92" s="3628"/>
      <c r="G92" s="3628"/>
      <c r="H92" s="362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3490">
        <f ca="1">ROUND(D45*D93/(1+'数据-取费表'!C42),4)</f>
        <v>2.1396999999999999</v>
      </c>
      <c r="D93" s="2576">
        <f>'数据-取费表'!B43</f>
        <v>5.000000000000001E-3</v>
      </c>
      <c r="E93" s="3627" t="s">
        <v>1406</v>
      </c>
      <c r="F93" s="3628"/>
      <c r="G93" s="3628"/>
      <c r="H93" s="362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2" t="s">
        <v>1426</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3489">
        <f ca="1">ROUND(C85-C86,4)</f>
        <v>425.80470000000003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199.00205636304156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3487">
        <f ca="1">ROUND(IF(C95&lt;=0,0,IF(C96&gt;=200%,C95*60%-C86*35%,IF(C96&gt;=100%,C95*50%-C86*15%,IF(C96&gt;=50%,C95*40%-C86*5%,IF(C96&lt;50%,C95*30%,0))))),4)</f>
        <v>254.73390000000001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7" t="s">
        <v>1428</v>
      </c>
      <c r="B100" s="3578"/>
      <c r="C100" s="3578"/>
      <c r="D100" s="3612"/>
      <c r="E100" s="3578" t="s">
        <v>1429</v>
      </c>
      <c r="F100" s="3578"/>
      <c r="G100" s="3578"/>
      <c r="H100" s="3612"/>
      <c r="I100" s="129"/>
    </row>
    <row r="101" spans="1:35" ht="18.75" customHeight="1">
      <c r="A101" s="3620" t="s">
        <v>1430</v>
      </c>
      <c r="B101" s="3621"/>
      <c r="C101" s="2584" t="str">
        <f>C4</f>
        <v>比较法-商业</v>
      </c>
      <c r="D101" s="2585" t="str">
        <f>D4</f>
        <v>收益法 (元)</v>
      </c>
      <c r="E101" s="3590" t="s">
        <v>1431</v>
      </c>
      <c r="F101" s="3591"/>
      <c r="G101" s="1826" t="s">
        <v>1432</v>
      </c>
      <c r="H101" s="2594">
        <f ca="1">H118</f>
        <v>449.34160000000003</v>
      </c>
      <c r="I101" s="129"/>
    </row>
    <row r="102" spans="1:35" ht="18.75" customHeight="1">
      <c r="A102" s="3622" t="s">
        <v>1433</v>
      </c>
      <c r="B102" s="2583" t="s">
        <v>1432</v>
      </c>
      <c r="C102" s="2584">
        <f ca="1">IF(D32="楼面单价",ROUND(C19,0),C19)</f>
        <v>581</v>
      </c>
      <c r="D102" s="2585">
        <f ca="1">IF(D32="楼面单价",ROUND(D19,0),D19)</f>
        <v>206</v>
      </c>
      <c r="E102" s="3590"/>
      <c r="F102" s="3591"/>
      <c r="G102" s="1826" t="s">
        <v>1434</v>
      </c>
      <c r="H102" s="2554">
        <f ca="1">I118</f>
        <v>21678</v>
      </c>
      <c r="I102" s="129"/>
    </row>
    <row r="103" spans="1:35" ht="42.75" customHeight="1">
      <c r="A103" s="3622"/>
      <c r="B103" s="2583" t="s">
        <v>1434</v>
      </c>
      <c r="C103" s="2586">
        <f ca="1">C20</f>
        <v>28009</v>
      </c>
      <c r="D103" s="2587">
        <f ca="1">D20</f>
        <v>9919</v>
      </c>
      <c r="E103" s="3583" t="s">
        <v>1435</v>
      </c>
      <c r="F103" s="3584"/>
      <c r="G103" s="1827" t="s">
        <v>1436</v>
      </c>
      <c r="H103" s="2594">
        <f>IF(D36="正常操作",H104+H105+H106,H105+H106)</f>
        <v>0</v>
      </c>
      <c r="I103" s="129"/>
    </row>
    <row r="104" spans="1:35" ht="18.75" customHeight="1">
      <c r="A104" s="3622" t="s">
        <v>1437</v>
      </c>
      <c r="B104" s="2588" t="s">
        <v>1432</v>
      </c>
      <c r="C104" s="2589">
        <f ca="1">H118</f>
        <v>449.34160000000003</v>
      </c>
      <c r="D104" s="2590"/>
      <c r="E104" s="1673" t="s">
        <v>1438</v>
      </c>
      <c r="F104" s="1665"/>
      <c r="G104" s="1827" t="s">
        <v>1436</v>
      </c>
      <c r="H104" s="2595">
        <f>IF(D36="同一抵押权人同一抵押物续贷",C36&amp;"（续贷，未扣减，详见特别提示）",C36)</f>
        <v>0</v>
      </c>
      <c r="I104" s="129"/>
    </row>
    <row r="105" spans="1:35" ht="18.75" customHeight="1" thickBot="1">
      <c r="A105" s="3632"/>
      <c r="B105" s="2591" t="s">
        <v>1434</v>
      </c>
      <c r="C105" s="2592">
        <f ca="1">I118</f>
        <v>21678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3" t="str">
        <f>IF(项目基本情况!E8="已注销","——","3.房地产抵押价值")</f>
        <v>3.房地产抵押价值</v>
      </c>
      <c r="F107" s="3591"/>
      <c r="G107" s="1826" t="s">
        <v>1432</v>
      </c>
      <c r="H107" s="2594">
        <f ca="1">IF(E107="——","——",H101-H103)</f>
        <v>449.34160000000003</v>
      </c>
      <c r="I107" s="129"/>
    </row>
    <row r="108" spans="1:35" ht="18.75" customHeight="1">
      <c r="A108" s="129"/>
      <c r="B108" s="129"/>
      <c r="C108" s="129"/>
      <c r="D108" s="129"/>
      <c r="E108" s="3623"/>
      <c r="F108" s="3591"/>
      <c r="G108" s="1826" t="s">
        <v>1434</v>
      </c>
      <c r="H108" s="2554">
        <f ca="1">IF(H107=H101,H102,ROUND(H107*10000/'数据-汇总表'!E3,0))</f>
        <v>21678</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6" t="s">
        <v>1432</v>
      </c>
      <c r="H109" s="2597" t="str">
        <f>IF(E109="——","——",H101-H105-H106)</f>
        <v>——</v>
      </c>
      <c r="I109" s="129"/>
    </row>
    <row r="110" spans="1:35" ht="18.75" customHeight="1">
      <c r="A110" s="129"/>
      <c r="B110" s="129"/>
      <c r="C110" s="129"/>
      <c r="D110" s="129"/>
      <c r="E110" s="3623"/>
      <c r="F110" s="3591"/>
      <c r="G110" s="1826" t="s">
        <v>1434</v>
      </c>
      <c r="H110" s="2554"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6" t="s">
        <v>1432</v>
      </c>
      <c r="H111" s="2594">
        <f ca="1">IF(E111="——","——",N59)</f>
        <v>427.61760000000004</v>
      </c>
      <c r="I111" s="129"/>
    </row>
    <row r="112" spans="1:35" ht="18.75" customHeight="1" thickBot="1">
      <c r="A112" s="129"/>
      <c r="B112" s="129"/>
      <c r="C112" s="129"/>
      <c r="D112" s="129"/>
      <c r="E112" s="3625"/>
      <c r="F112" s="3626"/>
      <c r="G112" s="1829" t="s">
        <v>1434</v>
      </c>
      <c r="H112" s="2598">
        <f ca="1">IF(E111="——","——",N61)</f>
        <v>20630</v>
      </c>
      <c r="I112" s="129"/>
    </row>
    <row r="113" spans="1:27" ht="18.75" customHeight="1">
      <c r="A113" s="129"/>
      <c r="B113" s="129"/>
      <c r="C113" s="129"/>
      <c r="D113" s="129"/>
      <c r="E113" s="3633" t="s">
        <v>1440</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1" t="s">
        <v>1442</v>
      </c>
      <c r="B115" s="3642"/>
      <c r="C115" s="3642"/>
      <c r="D115" s="3642"/>
      <c r="E115" s="3642"/>
      <c r="F115" s="3642"/>
      <c r="G115" s="3642"/>
      <c r="H115" s="3642"/>
      <c r="I115" s="3643"/>
    </row>
    <row r="116" spans="1:27" ht="27" customHeight="1">
      <c r="A116" s="3598" t="s">
        <v>1443</v>
      </c>
      <c r="B116" s="3602" t="s">
        <v>1444</v>
      </c>
      <c r="C116" s="3602" t="s">
        <v>1445</v>
      </c>
      <c r="D116" s="3608" t="s">
        <v>1446</v>
      </c>
      <c r="E116" s="3609"/>
      <c r="F116" s="3640" t="s">
        <v>1447</v>
      </c>
      <c r="G116" s="3640"/>
      <c r="H116" s="3598" t="s">
        <v>1448</v>
      </c>
      <c r="I116" s="3598"/>
    </row>
    <row r="117" spans="1:27" ht="18.75" customHeight="1">
      <c r="A117" s="3598"/>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207.28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ROUND(IF(D32="总价",C32,I118*B118/10000),4)</f>
        <v>449.34160000000003</v>
      </c>
      <c r="I118" s="2328">
        <f ca="1">ROUND(IF(D32="楼面单价",C32,H118*10000/B118),0)</f>
        <v>21678</v>
      </c>
    </row>
    <row r="119" spans="1:27" ht="18.75" customHeight="1">
      <c r="A119" s="3598" t="s">
        <v>1452</v>
      </c>
      <c r="B119" s="3598"/>
      <c r="C119" s="3598"/>
      <c r="D119" s="3604" t="e">
        <f ca="1">NUMBERSTRING(INT(D118*10000),2)&amp;"元整"</f>
        <v>#REF!</v>
      </c>
      <c r="E119" s="3605"/>
      <c r="F119" s="3604" t="e">
        <f ca="1">NUMBERSTRING(INT(F118*10000),2)&amp;"元整"</f>
        <v>#REF!</v>
      </c>
      <c r="G119" s="3605"/>
      <c r="H119" s="3604" t="str">
        <f ca="1">NUMBERSTRING(INT(H118*10000),2)&amp;"元整"</f>
        <v>肆佰肆拾玖万叁仟肆佰壹拾陆元整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房地产抵押价值</v>
      </c>
      <c r="B122" s="3610"/>
      <c r="C122" s="3610"/>
      <c r="D122" s="3599">
        <f ca="1">H107</f>
        <v>449.34160000000003</v>
      </c>
      <c r="E122" s="3600"/>
      <c r="F122" s="3600"/>
      <c r="G122" s="3600"/>
      <c r="H122" s="3600"/>
      <c r="I122" s="3601"/>
      <c r="AA122" s="725"/>
    </row>
    <row r="123" spans="1:27" ht="18.75" customHeight="1">
      <c r="A123" s="3598" t="s">
        <v>1452</v>
      </c>
      <c r="B123" s="3598"/>
      <c r="C123" s="3598"/>
      <c r="D123" s="3604" t="str">
        <f ca="1">NUMBERSTRING(INT(D122*10000),2)&amp;"元整"</f>
        <v>肆佰肆拾玖万叁仟肆佰壹拾陆元整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1452</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抵押净值</v>
      </c>
      <c r="B126" s="3610"/>
      <c r="C126" s="3610"/>
      <c r="D126" s="3599">
        <f ca="1">H111</f>
        <v>427.61760000000004</v>
      </c>
      <c r="E126" s="3600"/>
      <c r="F126" s="3600"/>
      <c r="G126" s="3600"/>
      <c r="H126" s="3600"/>
      <c r="I126" s="3601"/>
      <c r="AA126" s="725"/>
    </row>
    <row r="127" spans="1:27" ht="18.75" customHeight="1">
      <c r="A127" s="3598" t="s">
        <v>1452</v>
      </c>
      <c r="B127" s="3598"/>
      <c r="C127" s="3598"/>
      <c r="D127" s="3604" t="str">
        <f ca="1">NUMBERSTRING(INT(D126*10000),2)&amp;"元整"</f>
        <v>肆佰贰拾柒万陆仟壹佰柒拾陆元整</v>
      </c>
      <c r="E127" s="3606"/>
      <c r="F127" s="3606"/>
      <c r="G127" s="3606"/>
      <c r="H127" s="3606"/>
      <c r="I127" s="3605"/>
      <c r="AA127" s="725"/>
    </row>
    <row r="128" spans="1:27" ht="21.75" customHeight="1">
      <c r="A128" s="3607" t="s">
        <v>1453</v>
      </c>
      <c r="B128" s="3607"/>
      <c r="C128" s="3607"/>
      <c r="D128" s="3607"/>
      <c r="E128" s="3607"/>
      <c r="F128" s="3607"/>
      <c r="G128" s="3607"/>
      <c r="H128" s="3607"/>
      <c r="I128" s="360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3425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120</v>
      </c>
      <c r="F9" s="221"/>
      <c r="G9" s="1856"/>
      <c r="H9" s="1136"/>
      <c r="I9" s="1857"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207.28</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207.28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C26</f>
        <v>6.9999999999999999E-4</v>
      </c>
      <c r="E22" s="236" t="s">
        <v>1498</v>
      </c>
      <c r="F22" s="237">
        <f>'数据-取费表'!B40</f>
        <v>3.3500000000000002E-2</v>
      </c>
      <c r="G22" s="234" t="str">
        <f>IF('数据-取费表'!B22&lt;=1,"单利计息","复利计息")</f>
        <v>复利计息</v>
      </c>
    </row>
    <row r="23" spans="1:7" s="214" customFormat="1" ht="13.5" customHeight="1">
      <c r="A23" s="780" t="s">
        <v>1502</v>
      </c>
      <c r="B23" s="215" t="s">
        <v>1503</v>
      </c>
      <c r="C23" s="1104">
        <f>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207.28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C44</f>
        <v>6.9999999999999999E-4</v>
      </c>
      <c r="E41" s="236" t="s">
        <v>1539</v>
      </c>
      <c r="F41" s="237">
        <f>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7" t="s">
        <v>1544</v>
      </c>
    </row>
    <row r="43" spans="1:7" ht="13.5" customHeight="1">
      <c r="A43" s="780" t="s">
        <v>347</v>
      </c>
      <c r="B43" s="215" t="s">
        <v>1545</v>
      </c>
      <c r="C43" s="238">
        <f ca="1">ROUND(IF('数据-取费表'!B22&lt;=1,C39*F22*'数据-取费表'!B21/2,C39*(POWER((1+F22),'数据-取费表'!B21/2)-1)),0)</f>
        <v>0</v>
      </c>
      <c r="D43" s="238"/>
      <c r="E43" s="238"/>
      <c r="F43" s="239"/>
      <c r="G43" s="3678"/>
    </row>
    <row r="44" spans="1:7" ht="13.5" customHeight="1">
      <c r="A44" s="780" t="s">
        <v>348</v>
      </c>
      <c r="B44" s="215" t="s">
        <v>1546</v>
      </c>
      <c r="C44" s="238">
        <f>ROUND(IF('数据-取费表'!B22&lt;=1,C40*F22*'数据-取费表'!B21/2,C40*(POWER((1+F22),'数据-取费表'!B21/2)-1)),4)</f>
        <v>6.9999999999999999E-4</v>
      </c>
      <c r="D44" s="238"/>
      <c r="E44" s="238"/>
      <c r="F44" s="239"/>
      <c r="G44" s="3679"/>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66</v>
      </c>
      <c r="D51" s="232"/>
      <c r="E51" s="232"/>
      <c r="F51" s="264"/>
      <c r="G51" s="234" t="s">
        <v>1560</v>
      </c>
    </row>
    <row r="52" spans="1:7" s="208" customFormat="1" ht="16.8" thickBot="1">
      <c r="A52" s="265" t="s">
        <v>1561</v>
      </c>
      <c r="B52" s="266"/>
      <c r="C52" s="267">
        <f ca="1">C31+C51</f>
        <v>71</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4" t="str">
        <f>项目基本情况!B1</f>
        <v>北京市房地产抵押价值预评估</v>
      </c>
      <c r="C37" s="3494"/>
      <c r="D37" s="3494"/>
      <c r="E37" s="3494"/>
      <c r="F37" s="3494"/>
      <c r="G37" s="3494"/>
      <c r="H37" s="3494"/>
      <c r="I37" s="349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673</v>
      </c>
      <c r="C1" s="1858" t="s">
        <v>1563</v>
      </c>
      <c r="D1" s="198"/>
      <c r="E1" s="198"/>
      <c r="F1" s="198"/>
      <c r="G1" s="1125">
        <f>MATCH(B1,'数据-取费表'!A6:A16,0)+5</f>
        <v>6</v>
      </c>
      <c r="H1" s="1061" t="str">
        <f>IF(ISERROR(FIND("住宅",B1)),"非住宅","住宅")</f>
        <v>非住宅</v>
      </c>
    </row>
    <row r="2" spans="1:8" s="200" customFormat="1" ht="18" customHeight="1">
      <c r="A2" s="201" t="s">
        <v>1462</v>
      </c>
      <c r="B2" s="3423">
        <f ca="1">ROUND(IF(D2="——",C52/10000,C52/10000-E2),4)</f>
        <v>275.79219999999998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13305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1559138</v>
      </c>
      <c r="D5" s="211" t="s">
        <v>1469</v>
      </c>
      <c r="E5" s="212" t="s">
        <v>1470</v>
      </c>
      <c r="F5" s="212" t="s">
        <v>1471</v>
      </c>
      <c r="G5" s="213"/>
    </row>
    <row r="6" spans="1:8" s="214" customFormat="1" ht="13.5" customHeight="1">
      <c r="A6" s="778" t="s">
        <v>1472</v>
      </c>
      <c r="B6" s="215" t="s">
        <v>1473</v>
      </c>
      <c r="C6" s="216">
        <f>ROUND(基准地价修正!D33*基准地价修正!C33,0)</f>
        <v>1480808</v>
      </c>
      <c r="D6" s="217"/>
      <c r="E6" s="218"/>
      <c r="F6" s="218"/>
      <c r="G6" s="219"/>
    </row>
    <row r="7" spans="1:8" s="214" customFormat="1" ht="13.5" customHeight="1">
      <c r="A7" s="778" t="s">
        <v>1474</v>
      </c>
      <c r="B7" s="215" t="s">
        <v>1475</v>
      </c>
      <c r="C7" s="220">
        <f>ROUND(C6*F7,0)</f>
        <v>45165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33165</v>
      </c>
      <c r="D8" s="222"/>
      <c r="E8" s="220"/>
      <c r="F8" s="221"/>
      <c r="G8" s="1855" t="s">
        <v>3491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120</v>
      </c>
      <c r="F9" s="221"/>
      <c r="G9" s="226"/>
    </row>
    <row r="10" spans="1:8" s="214" customFormat="1" ht="13.5" customHeight="1">
      <c r="A10" s="779" t="s">
        <v>356</v>
      </c>
      <c r="B10" s="224" t="s">
        <v>1480</v>
      </c>
      <c r="C10" s="225">
        <f ca="1">ROUND(D10*E10,0)</f>
        <v>33165</v>
      </c>
      <c r="D10" s="845">
        <f ca="1">IF(B1="",'数据-汇总表'!E6,IF(INDIRECT("'数据-取费表'!c"&amp;$G$1)="住宅",INDIRECT("'数据-取费表'!s"&amp;$G$1),INDIRECT("'数据-取费表'!k"&amp;$G$1)+INDIRECT("'数据-取费表'!s"&amp;$G$1)))</f>
        <v>207.28</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207.28</v>
      </c>
      <c r="E19" s="211">
        <f>'数据-取费表'!B31</f>
        <v>200</v>
      </c>
      <c r="F19" s="231"/>
      <c r="G19" s="1855" t="s">
        <v>3492</v>
      </c>
    </row>
    <row r="20" spans="1:7" s="214" customFormat="1" ht="13.5" customHeight="1">
      <c r="A20" s="255" t="s">
        <v>1574</v>
      </c>
      <c r="B20" s="210" t="s">
        <v>1575</v>
      </c>
      <c r="C20" s="232">
        <f ca="1">ROUND((C5+C19)*F20,0)</f>
        <v>31183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107257</v>
      </c>
      <c r="D22" s="235">
        <f>C26</f>
        <v>6.9999999999999999E-4</v>
      </c>
      <c r="E22" s="236" t="s">
        <v>1579</v>
      </c>
      <c r="F22" s="237">
        <f>'数据-取费表'!B40</f>
        <v>3.3500000000000002E-2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106212</v>
      </c>
      <c r="D23" s="238"/>
      <c r="E23" s="238"/>
      <c r="F23" s="239"/>
      <c r="G23" s="240" t="s">
        <v>1584</v>
      </c>
    </row>
    <row r="24" spans="1:7" s="214" customFormat="1" ht="13.5" customHeight="1">
      <c r="A24" s="780" t="s">
        <v>1474</v>
      </c>
      <c r="B24" s="215" t="s">
        <v>1585</v>
      </c>
      <c r="C24" s="1127">
        <f>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1045</v>
      </c>
      <c r="D25" s="238"/>
      <c r="E25" s="241"/>
      <c r="F25" s="239"/>
      <c r="G25" s="242" t="s">
        <v>1588</v>
      </c>
    </row>
    <row r="26" spans="1:7" s="214" customFormat="1">
      <c r="A26" s="780" t="s">
        <v>350</v>
      </c>
      <c r="B26" s="215" t="s">
        <v>1511</v>
      </c>
      <c r="C26" s="238">
        <f>ROUND(IF('数据-取费表'!B22&lt;=1,F21*F22*'数据-取费表'!B22/2,F21*(POWER((1+F22),'数据-取费表'!B22/2)-1)),4)</f>
        <v>6.9999999999999999E-4</v>
      </c>
      <c r="D26" s="238"/>
      <c r="E26" s="241"/>
      <c r="F26" s="239"/>
      <c r="G26" s="243"/>
    </row>
    <row r="27" spans="1:7" s="214" customFormat="1" ht="26.4">
      <c r="A27" s="255" t="s">
        <v>1512</v>
      </c>
      <c r="B27" s="244" t="s">
        <v>1513</v>
      </c>
      <c r="C27" s="245">
        <f ca="1">C28</f>
        <v>238548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238548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2095601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694388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621840</v>
      </c>
      <c r="D34" s="217"/>
      <c r="E34" s="220"/>
      <c r="F34" s="257"/>
      <c r="G34" s="219"/>
    </row>
    <row r="35" spans="1:7" ht="13.5" customHeight="1">
      <c r="A35" s="780" t="s">
        <v>351</v>
      </c>
      <c r="B35" s="215" t="s">
        <v>1527</v>
      </c>
      <c r="C35" s="220">
        <f ca="1">ROUND(C34*F35,0)</f>
        <v>18655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41456</v>
      </c>
      <c r="D37" s="217">
        <f ca="1">D19</f>
        <v>207.28</v>
      </c>
      <c r="E37" s="249">
        <f>'数据-取费表'!B35</f>
        <v>200</v>
      </c>
      <c r="F37" s="259"/>
      <c r="G37" s="261"/>
    </row>
    <row r="38" spans="1:7" ht="13.5" customHeight="1">
      <c r="A38" s="780" t="s">
        <v>354</v>
      </c>
      <c r="B38" s="215" t="s">
        <v>1533</v>
      </c>
      <c r="C38" s="220">
        <f ca="1">ROUND(C34*F38,0)</f>
        <v>12437</v>
      </c>
      <c r="D38" s="220"/>
      <c r="E38" s="220"/>
      <c r="F38" s="259">
        <f>'数据-取费表'!B36</f>
        <v>0.02</v>
      </c>
      <c r="G38" s="219" t="s">
        <v>1528</v>
      </c>
    </row>
    <row r="39" spans="1:7" s="214" customFormat="1" ht="13.5" customHeight="1">
      <c r="A39" s="255" t="s">
        <v>1534</v>
      </c>
      <c r="B39" s="210" t="s">
        <v>1535</v>
      </c>
      <c r="C39" s="232">
        <f ca="1">ROUND(C33*F20,0)</f>
        <v>13888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23727</v>
      </c>
      <c r="D41" s="235">
        <f>C44</f>
        <v>6.9999999999999999E-4</v>
      </c>
      <c r="E41" s="236" t="s">
        <v>1539</v>
      </c>
      <c r="F41" s="237">
        <f>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23262</v>
      </c>
      <c r="D42" s="238"/>
      <c r="E42" s="238"/>
      <c r="F42" s="239"/>
      <c r="G42" s="3677" t="s">
        <v>1591</v>
      </c>
    </row>
    <row r="43" spans="1:7" ht="13.5" customHeight="1">
      <c r="A43" s="780" t="s">
        <v>347</v>
      </c>
      <c r="B43" s="215" t="s">
        <v>1545</v>
      </c>
      <c r="C43" s="238">
        <f ca="1">ROUND(IF('数据-取费表'!B22&lt;=1,C39*F22*'数据-取费表'!B20/2,C39*(POWER((1+F22),'数据-取费表'!B20/2)-1)),0)</f>
        <v>465</v>
      </c>
      <c r="D43" s="238"/>
      <c r="E43" s="238"/>
      <c r="F43" s="239"/>
      <c r="G43" s="3678"/>
    </row>
    <row r="44" spans="1:7" ht="13.5" customHeight="1">
      <c r="A44" s="780" t="s">
        <v>348</v>
      </c>
      <c r="B44" s="215" t="s">
        <v>1546</v>
      </c>
      <c r="C44" s="238">
        <f>ROUND(IF('数据-取费表'!B22&lt;=1,C40*F22*'数据-取费表'!B20/2,C40*(POWER((1+F22),'数据-取费表'!B20/2)-1)),4)</f>
        <v>6.9999999999999999E-4</v>
      </c>
      <c r="D44" s="238"/>
      <c r="E44" s="238"/>
      <c r="F44" s="239"/>
      <c r="G44" s="3679"/>
    </row>
    <row r="45" spans="1:7" s="214" customFormat="1" ht="13.5" customHeight="1">
      <c r="A45" s="255" t="s">
        <v>1547</v>
      </c>
      <c r="B45" s="244" t="s">
        <v>1513</v>
      </c>
      <c r="C45" s="245">
        <f ca="1">C46</f>
        <v>106241</v>
      </c>
      <c r="D45" s="235">
        <f ca="1">C47</f>
        <v>3.0000000000000001E-3</v>
      </c>
      <c r="E45" s="236" t="s">
        <v>1539</v>
      </c>
      <c r="F45" s="246">
        <f ca="1">F27</f>
        <v>0.15</v>
      </c>
      <c r="G45" s="247" t="s">
        <v>1548</v>
      </c>
    </row>
    <row r="46" spans="1:7" s="214" customFormat="1" ht="13.5" customHeight="1">
      <c r="A46" s="780" t="s">
        <v>346</v>
      </c>
      <c r="B46" s="248" t="s">
        <v>1549</v>
      </c>
      <c r="C46" s="249">
        <f ca="1">ROUND((C33+C39)*F27,0)</f>
        <v>106241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907289</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662321</v>
      </c>
      <c r="D51" s="232"/>
      <c r="E51" s="232"/>
      <c r="F51" s="264"/>
      <c r="G51" s="234" t="s">
        <v>1560</v>
      </c>
    </row>
    <row r="52" spans="1:7" s="208" customFormat="1" ht="16.8" thickBot="1">
      <c r="A52" s="265" t="s">
        <v>1561</v>
      </c>
      <c r="B52" s="266"/>
      <c r="C52" s="267">
        <f ca="1">C31+C51</f>
        <v>2757922</v>
      </c>
      <c r="D52" s="266"/>
      <c r="E52" s="266"/>
      <c r="F52" s="266"/>
      <c r="G52" s="268"/>
    </row>
    <row r="55" spans="1:7" ht="15">
      <c r="B55" s="270" t="s">
        <v>1562</v>
      </c>
      <c r="C55" s="271"/>
    </row>
    <row r="56" spans="1:7">
      <c r="B56" s="273" t="s">
        <v>802</v>
      </c>
      <c r="C56" s="275">
        <f ca="1">1-C57</f>
        <v>0.76</v>
      </c>
    </row>
    <row r="57" spans="1:7">
      <c r="B57" s="273" t="s">
        <v>803</v>
      </c>
      <c r="C57" s="274">
        <f ca="1">ROUND(C51/C52,3)</f>
        <v>0.24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5"/>
      <c r="F1" s="2805"/>
      <c r="G1" s="2670"/>
      <c r="H1" s="2805"/>
      <c r="I1" s="2805"/>
      <c r="J1" s="2805"/>
      <c r="K1" s="2806">
        <f>MATCH(C1,'数据-取费表'!A6:A16,0)+5</f>
        <v>7</v>
      </c>
    </row>
    <row r="2" spans="1:33" ht="18" customHeight="1">
      <c r="A2" s="201" t="s">
        <v>1462</v>
      </c>
      <c r="B2" s="204">
        <f ca="1">C32</f>
        <v>-3</v>
      </c>
      <c r="C2" s="276" t="s">
        <v>1595</v>
      </c>
      <c r="D2" s="276"/>
      <c r="E2" s="2805"/>
      <c r="F2" s="2805"/>
      <c r="G2" s="2805"/>
      <c r="H2" s="2805"/>
      <c r="I2" s="2805"/>
      <c r="J2" s="2805"/>
      <c r="K2" s="2805"/>
    </row>
    <row r="3" spans="1:33" ht="18" customHeight="1" thickBot="1">
      <c r="A3" s="203" t="s">
        <v>1464</v>
      </c>
      <c r="B3" s="204">
        <f ca="1">ROUND(B2*10000/IF(C1="",'数据-汇总表'!E3,INDIRECT("'数据-取费表'!K"&amp;$K$1)),0)</f>
        <v>-145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207.28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120</v>
      </c>
      <c r="F19" s="804"/>
      <c r="G19" s="12"/>
      <c r="H19" s="1188"/>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207.28</v>
      </c>
      <c r="E20" s="21">
        <f>'数据-取费表'!B28</f>
        <v>160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2" t="s">
        <v>694</v>
      </c>
      <c r="C6" s="1074">
        <f ca="1">ROUND(F6*F8*F7*(1-F9)/10000,0)</f>
        <v>0</v>
      </c>
      <c r="D6" s="155" t="s">
        <v>2109</v>
      </c>
      <c r="E6" s="302" t="s">
        <v>696</v>
      </c>
      <c r="F6" s="303">
        <f ca="1">INDIRECT("'数据-取费表'!u"&amp;$G$1)</f>
        <v>0</v>
      </c>
      <c r="G6" s="1383"/>
      <c r="H6" s="1069" t="s">
        <v>398</v>
      </c>
      <c r="I6" s="3682" t="s">
        <v>694</v>
      </c>
      <c r="J6" s="301">
        <f ca="1">ROUND(M6*M8*M7*(1-M9)/10000,0)</f>
        <v>0</v>
      </c>
      <c r="K6" s="155" t="s">
        <v>2108</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0</v>
      </c>
      <c r="G7" s="1383"/>
      <c r="H7" s="304"/>
      <c r="I7" s="3683"/>
      <c r="J7" s="306"/>
      <c r="K7" s="307"/>
      <c r="L7" s="302" t="s">
        <v>697</v>
      </c>
      <c r="M7" s="303">
        <f ca="1">F7</f>
        <v>0</v>
      </c>
    </row>
    <row r="8" spans="1:37" ht="18" customHeight="1">
      <c r="A8" s="304"/>
      <c r="B8" s="3683"/>
      <c r="C8" s="306"/>
      <c r="D8" s="307"/>
      <c r="E8" s="302" t="s">
        <v>698</v>
      </c>
      <c r="F8" s="303">
        <f ca="1">INDIRECT("'数据-取费表'!ai"&amp;$G$1)</f>
        <v>0</v>
      </c>
      <c r="G8" s="1383"/>
      <c r="H8" s="304"/>
      <c r="I8" s="3683"/>
      <c r="J8" s="306"/>
      <c r="K8" s="307"/>
      <c r="L8" s="302" t="s">
        <v>698</v>
      </c>
      <c r="M8" s="303">
        <f ca="1">INDIRECT("'数据-取费表'!ai"&amp;$G$1)</f>
        <v>0</v>
      </c>
    </row>
    <row r="9" spans="1:37" ht="18" customHeight="1">
      <c r="A9" s="304"/>
      <c r="B9" s="3684"/>
      <c r="C9" s="306"/>
      <c r="D9" s="307"/>
      <c r="E9" s="302" t="s">
        <v>699</v>
      </c>
      <c r="F9" s="312">
        <f ca="1">INDIRECT("'数据-取费表'!w"&amp;$G$1)</f>
        <v>0</v>
      </c>
      <c r="G9" s="1383"/>
      <c r="H9" s="304"/>
      <c r="I9" s="368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5"/>
      <c r="G10" s="1383"/>
      <c r="H10" s="1069"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8">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6"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3">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7"/>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80" t="s">
        <v>837</v>
      </c>
      <c r="L53" s="3681"/>
      <c r="O53" s="1417" t="s">
        <v>409</v>
      </c>
      <c r="P53" s="1418" t="s">
        <v>838</v>
      </c>
      <c r="Q53" s="1419" t="e">
        <f ca="1">Q47+Q48</f>
        <v>#DIV/0!</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3" zoomScaleNormal="100" zoomScaleSheetLayoutView="100" zoomScalePageLayoutView="80" workbookViewId="0">
      <selection activeCell="K37" sqref="K37"/>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0" t="str">
        <f>项目基本情况!S2</f>
        <v>北京市房地产</v>
      </c>
      <c r="B2" s="3651"/>
      <c r="C2" s="3651"/>
      <c r="D2" s="3651"/>
      <c r="E2" s="3651"/>
      <c r="F2" s="3651"/>
      <c r="G2" s="3651"/>
      <c r="H2" s="3651"/>
      <c r="I2" s="3652"/>
    </row>
    <row r="3" spans="1:12" ht="13.2">
      <c r="A3" s="3654" t="s">
        <v>1264</v>
      </c>
      <c r="B3" s="3655"/>
      <c r="C3" s="3655"/>
      <c r="D3" s="3655"/>
      <c r="E3" s="3655"/>
      <c r="F3" s="3655"/>
      <c r="G3" s="3655"/>
      <c r="H3" s="3655"/>
      <c r="I3" s="3655"/>
    </row>
    <row r="4" spans="1:12" ht="14.4">
      <c r="A4" s="1753" t="s">
        <v>1265</v>
      </c>
      <c r="B4" s="1754" t="s">
        <v>1266</v>
      </c>
      <c r="C4" s="1755" t="s">
        <v>3393</v>
      </c>
      <c r="D4" s="1755" t="s">
        <v>3387</v>
      </c>
      <c r="E4" s="3659" t="s">
        <v>1267</v>
      </c>
      <c r="F4" s="3660"/>
      <c r="G4" s="3660"/>
      <c r="H4" s="3660"/>
      <c r="I4" s="3661"/>
      <c r="K4" s="146" t="str">
        <f>IF(ISNUMBER(FIND("比较法",'结果表 (2)'!C4)),"比较法",IF(ISNUMBER(FIND("成本法",'结果表 (2)'!C4)),"成本法",IF(ISNUMBER(FIND("假设开发法",'结果表 (2)'!C4)),"假设开发法",IF(ISNUMBER(FIND("收益法",'结果表 (2)'!C4)),"收益法","基准地价系数修正法"))))</f>
        <v>比较法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3.2">
      <c r="A5" s="3598" t="s">
        <v>1268</v>
      </c>
      <c r="B5" s="3653">
        <v>25</v>
      </c>
      <c r="C5" s="3656"/>
      <c r="D5" s="3644"/>
      <c r="E5" s="131" t="s">
        <v>1269</v>
      </c>
      <c r="F5" s="1756"/>
      <c r="G5" s="1756"/>
      <c r="H5" s="1756"/>
      <c r="I5" s="1372"/>
    </row>
    <row r="6" spans="1:12" ht="13.2">
      <c r="A6" s="3598"/>
      <c r="B6" s="3653"/>
      <c r="C6" s="3658"/>
      <c r="D6" s="3644"/>
      <c r="E6" s="131" t="s">
        <v>1270</v>
      </c>
      <c r="F6" s="1756"/>
      <c r="G6" s="1756"/>
      <c r="H6" s="1756"/>
      <c r="I6" s="1372"/>
    </row>
    <row r="7" spans="1:12" ht="13.2">
      <c r="A7" s="3598"/>
      <c r="B7" s="3653"/>
      <c r="C7" s="3657"/>
      <c r="D7" s="3644"/>
      <c r="E7" s="131" t="s">
        <v>1271</v>
      </c>
      <c r="F7" s="1756"/>
      <c r="G7" s="1756"/>
      <c r="H7" s="1756"/>
      <c r="I7" s="1372"/>
    </row>
    <row r="8" spans="1:12" ht="13.2">
      <c r="A8" s="3598" t="s">
        <v>1272</v>
      </c>
      <c r="B8" s="3653">
        <v>15</v>
      </c>
      <c r="C8" s="3656"/>
      <c r="D8" s="3644"/>
      <c r="E8" s="131" t="s">
        <v>1273</v>
      </c>
      <c r="F8" s="1756"/>
      <c r="G8" s="1756"/>
      <c r="H8" s="1756"/>
      <c r="I8" s="1372"/>
    </row>
    <row r="9" spans="1:12" ht="13.2">
      <c r="A9" s="3598"/>
      <c r="B9" s="3653"/>
      <c r="C9" s="3657"/>
      <c r="D9" s="3644"/>
      <c r="E9" s="131" t="s">
        <v>1274</v>
      </c>
      <c r="F9" s="1756"/>
      <c r="G9" s="1756"/>
      <c r="H9" s="1756"/>
      <c r="I9" s="1372"/>
    </row>
    <row r="10" spans="1:12" ht="13.2">
      <c r="A10" s="3598" t="s">
        <v>1275</v>
      </c>
      <c r="B10" s="3653">
        <v>15</v>
      </c>
      <c r="C10" s="3656"/>
      <c r="D10" s="3644"/>
      <c r="E10" s="131" t="s">
        <v>1276</v>
      </c>
      <c r="F10" s="1756"/>
      <c r="G10" s="1756"/>
      <c r="H10" s="1756"/>
      <c r="I10" s="1372"/>
    </row>
    <row r="11" spans="1:12" ht="13.2">
      <c r="A11" s="3598"/>
      <c r="B11" s="3653"/>
      <c r="C11" s="3657"/>
      <c r="D11" s="3644"/>
      <c r="E11" s="131" t="s">
        <v>1277</v>
      </c>
      <c r="F11" s="1756"/>
      <c r="G11" s="1756"/>
      <c r="H11" s="1756"/>
      <c r="I11" s="1372"/>
    </row>
    <row r="12" spans="1:12" ht="13.2">
      <c r="A12" s="3598" t="s">
        <v>1278</v>
      </c>
      <c r="B12" s="3653">
        <v>15</v>
      </c>
      <c r="C12" s="3656"/>
      <c r="D12" s="3644"/>
      <c r="E12" s="131" t="s">
        <v>1279</v>
      </c>
      <c r="F12" s="1756"/>
      <c r="G12" s="1756"/>
      <c r="H12" s="1756"/>
      <c r="I12" s="1372"/>
    </row>
    <row r="13" spans="1:12" ht="13.2">
      <c r="A13" s="3598"/>
      <c r="B13" s="3653"/>
      <c r="C13" s="3657"/>
      <c r="D13" s="3644"/>
      <c r="E13" s="131" t="s">
        <v>1280</v>
      </c>
      <c r="F13" s="1756"/>
      <c r="G13" s="1756"/>
      <c r="H13" s="1756"/>
      <c r="I13" s="1372"/>
    </row>
    <row r="14" spans="1:12" ht="13.2">
      <c r="A14" s="3598" t="s">
        <v>1281</v>
      </c>
      <c r="B14" s="3653">
        <v>30</v>
      </c>
      <c r="C14" s="3656">
        <v>6</v>
      </c>
      <c r="D14" s="3644">
        <v>4</v>
      </c>
      <c r="E14" s="131" t="s">
        <v>1282</v>
      </c>
      <c r="F14" s="1756"/>
      <c r="G14" s="1756"/>
      <c r="H14" s="1756"/>
      <c r="I14" s="1372"/>
    </row>
    <row r="15" spans="1:12" ht="13.2">
      <c r="A15" s="3598"/>
      <c r="B15" s="3653"/>
      <c r="C15" s="3658"/>
      <c r="D15" s="3644"/>
      <c r="E15" s="131" t="s">
        <v>1283</v>
      </c>
      <c r="F15" s="1756"/>
      <c r="G15" s="1756"/>
      <c r="H15" s="1756"/>
      <c r="I15" s="1372"/>
    </row>
    <row r="16" spans="1:12" ht="13.2">
      <c r="A16" s="3598"/>
      <c r="B16" s="3653"/>
      <c r="C16" s="3657"/>
      <c r="D16" s="3644"/>
      <c r="E16" s="131" t="s">
        <v>1284</v>
      </c>
      <c r="F16" s="1756"/>
      <c r="G16" s="1756"/>
      <c r="H16" s="1756"/>
      <c r="I16" s="1372"/>
    </row>
    <row r="17" spans="1:36" ht="14.4">
      <c r="A17" s="1757" t="s">
        <v>1285</v>
      </c>
      <c r="B17" s="56"/>
      <c r="C17" s="132">
        <f>SUM(C5:C16)</f>
        <v>6</v>
      </c>
      <c r="D17" s="132">
        <f>SUM(D5:D16)</f>
        <v>4</v>
      </c>
      <c r="E17" s="129"/>
      <c r="F17" s="129"/>
      <c r="G17" s="129"/>
      <c r="H17" s="129"/>
      <c r="I17" s="129"/>
      <c r="K17" s="302"/>
      <c r="L17" s="302" t="s">
        <v>1286</v>
      </c>
      <c r="M17" s="302" t="s">
        <v>1287</v>
      </c>
    </row>
    <row r="18" spans="1:36" ht="31.95" customHeight="1" thickBot="1">
      <c r="A18" s="1758" t="s">
        <v>1288</v>
      </c>
      <c r="B18" s="1759"/>
      <c r="C18" s="133">
        <f>ROUND(C17/SUM(C17:D17),2)</f>
        <v>0.6</v>
      </c>
      <c r="D18" s="133">
        <f>1-C18</f>
        <v>0.4</v>
      </c>
      <c r="E18" s="3675" t="s">
        <v>2131</v>
      </c>
      <c r="F18" s="3676"/>
      <c r="G18" s="3676"/>
      <c r="H18" s="3676"/>
      <c r="I18" s="3676"/>
      <c r="K18" s="302" t="s">
        <v>1289</v>
      </c>
      <c r="L18" s="302">
        <f>IF(C1="",'数据-汇总表'!E3,SUMIF(项目类型,C1,'数据-汇总表'!E17:E26)+SUMIF(项目类型,C1,'数据-汇总表'!I17:I26))</f>
        <v>207.28</v>
      </c>
      <c r="M18" s="302">
        <f>IF(C1="",'数据-汇总表'!E3,SUMIF(项目类型,C1,'数据-汇总表'!E17:E26))</f>
        <v>207.28</v>
      </c>
    </row>
    <row r="19" spans="1:36" ht="14.4">
      <c r="A19" s="1760" t="s">
        <v>1290</v>
      </c>
      <c r="B19" s="1761" t="s">
        <v>1291</v>
      </c>
      <c r="C19" s="134">
        <f ca="1">SUMIF(INDIRECT("'"&amp;C4&amp;"'"&amp;"!A:A"),'结果表 (2)'!B19,INDIRECT("'"&amp;C4&amp;"'"&amp;"!B:B"))</f>
        <v>580.57060000000001</v>
      </c>
      <c r="D19" s="135">
        <f ca="1">SUMIF(INDIRECT("'"&amp;D4&amp;"'"&amp;"!A:A"),'结果表 (2)'!B19,INDIRECT("'"&amp;D4&amp;"'"&amp;"!B:B"))</f>
        <v>205.59299999999999</v>
      </c>
      <c r="E19" s="1760" t="s">
        <v>1292</v>
      </c>
      <c r="F19" s="1761" t="s">
        <v>1291</v>
      </c>
      <c r="G19" s="136">
        <f ca="1">ROUND(C19*$C$18+D19*$D$18,0)</f>
        <v>431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 (2)'!B20,INDIRECT("'"&amp;C4&amp;"'"&amp;"!B:B"))</f>
        <v>28009</v>
      </c>
      <c r="D20" s="138">
        <f ca="1">SUMIF(INDIRECT("'"&amp;D4&amp;"'"&amp;"!A:A"),'结果表 (2)'!B20,INDIRECT("'"&amp;D4&amp;"'"&amp;"!B:B"))</f>
        <v>9919</v>
      </c>
      <c r="E20" s="1763"/>
      <c r="F20" s="1026" t="s">
        <v>1295</v>
      </c>
      <c r="G20" s="139">
        <f ca="1">ROUND(C20*$C$18+D20*$D$18,0)</f>
        <v>20773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1.8238831088607106</v>
      </c>
      <c r="E22" s="129"/>
      <c r="F22" s="129"/>
      <c r="G22" s="129"/>
      <c r="H22" s="129"/>
      <c r="I22" s="129"/>
    </row>
    <row r="23" spans="1:36" ht="13.8" thickBot="1">
      <c r="A23" s="1746"/>
      <c r="B23" s="1746"/>
      <c r="C23" s="1746"/>
      <c r="D23" s="1746"/>
      <c r="E23" s="129"/>
      <c r="F23" s="129"/>
      <c r="G23" s="129"/>
      <c r="H23" s="129"/>
      <c r="I23" s="129"/>
    </row>
    <row r="24" spans="1:36" ht="14.4">
      <c r="A24" s="3668" t="s">
        <v>1299</v>
      </c>
      <c r="B24" s="1761" t="s">
        <v>1291</v>
      </c>
      <c r="C24" s="136">
        <f>IF(B30=0,0,D30)</f>
        <v>0</v>
      </c>
      <c r="D24" s="1768"/>
      <c r="E24" s="129"/>
      <c r="F24" s="129"/>
      <c r="G24" s="129"/>
      <c r="H24" s="129"/>
      <c r="I24" s="129"/>
    </row>
    <row r="25" spans="1:36" ht="14.4">
      <c r="A25" s="366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20773</v>
      </c>
      <c r="D32" s="1774" t="s">
        <v>3397</v>
      </c>
      <c r="E32" s="129"/>
      <c r="F32" s="129"/>
      <c r="G32" s="129"/>
      <c r="H32" s="129"/>
      <c r="I32" s="129"/>
    </row>
    <row r="33" spans="1:15" ht="14.4">
      <c r="A33" s="786" t="s">
        <v>1306</v>
      </c>
      <c r="B33" s="1775"/>
      <c r="C33" s="1776"/>
      <c r="D33" s="1777"/>
      <c r="E33" s="1778" t="s">
        <v>1307</v>
      </c>
      <c r="F33" s="1779" t="str">
        <f>IF(D32="楼面单价","取值（单价）","取值（总价）")</f>
        <v>取值（单价）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45" t="s">
        <v>1312</v>
      </c>
      <c r="B36" s="1786" t="s">
        <v>1313</v>
      </c>
      <c r="C36" s="145"/>
      <c r="D36" s="1787"/>
      <c r="E36" s="1788"/>
      <c r="F36" s="1789"/>
      <c r="G36" s="129"/>
      <c r="H36" s="129"/>
      <c r="I36" s="129"/>
    </row>
    <row r="37" spans="1:15" ht="15" thickBot="1">
      <c r="A37" s="3646"/>
      <c r="B37" s="1673" t="s">
        <v>1314</v>
      </c>
      <c r="C37" s="147"/>
      <c r="D37" s="1138"/>
      <c r="E37" s="1138"/>
      <c r="F37" s="1789"/>
      <c r="G37" s="129"/>
      <c r="H37" s="129"/>
      <c r="I37" s="129"/>
    </row>
    <row r="38" spans="1:15" ht="15" thickBot="1">
      <c r="A38" s="3647"/>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5" t="s">
        <v>1326</v>
      </c>
      <c r="B45" s="3666"/>
      <c r="C45" s="3667"/>
      <c r="D45" s="155">
        <v>132</v>
      </c>
      <c r="E45" s="156" t="s">
        <v>1327</v>
      </c>
      <c r="F45" s="157">
        <v>1</v>
      </c>
      <c r="G45" s="158" t="s">
        <v>1328</v>
      </c>
      <c r="H45" s="129"/>
      <c r="I45" s="129"/>
      <c r="J45" s="3585" t="s">
        <v>1329</v>
      </c>
      <c r="K45" s="3585"/>
      <c r="L45" s="3585"/>
      <c r="M45" s="3585"/>
      <c r="N45" s="3585"/>
      <c r="O45" s="3585"/>
    </row>
    <row r="46" spans="1:15" ht="14.25" customHeight="1">
      <c r="A46" s="3662" t="s">
        <v>1330</v>
      </c>
      <c r="B46" s="3663"/>
      <c r="C46" s="3663"/>
      <c r="D46" s="3663"/>
      <c r="E46" s="3663"/>
      <c r="F46" s="3663"/>
      <c r="G46" s="3664"/>
      <c r="H46" s="1805"/>
      <c r="I46" s="159"/>
      <c r="J46" s="3453">
        <v>1</v>
      </c>
      <c r="K46" s="3586" t="s">
        <v>1331</v>
      </c>
      <c r="L46" s="3586"/>
      <c r="M46" s="3587"/>
      <c r="N46" s="3587"/>
      <c r="O46" s="3587"/>
    </row>
    <row r="47" spans="1:15" ht="12" customHeight="1">
      <c r="A47" s="160" t="s">
        <v>1332</v>
      </c>
      <c r="B47" s="161"/>
      <c r="C47" s="162"/>
      <c r="D47" s="1086" t="s">
        <v>1333</v>
      </c>
      <c r="E47" s="302" t="s">
        <v>1334</v>
      </c>
      <c r="F47" s="163" t="s">
        <v>1335</v>
      </c>
      <c r="G47" s="2545" t="s">
        <v>1336</v>
      </c>
      <c r="H47" s="2546"/>
      <c r="I47" s="159"/>
      <c r="J47" s="3453">
        <v>2</v>
      </c>
      <c r="K47" s="3586" t="s">
        <v>1337</v>
      </c>
      <c r="L47" s="3586"/>
      <c r="M47" s="3588">
        <f>'数据-取费表'!B2</f>
        <v>45510</v>
      </c>
      <c r="N47" s="3588"/>
      <c r="O47" s="3588"/>
    </row>
    <row r="48" spans="1:15" ht="39.6">
      <c r="A48" s="3648" t="s">
        <v>1338</v>
      </c>
      <c r="B48" s="3649"/>
      <c r="C48" s="3649"/>
      <c r="D48" s="3450">
        <f>IF(H48="情况1",0,IF(H48="情况2",D52,IF(H48="情况3",D53,IF(H48="情况4",D54))))</f>
        <v>4</v>
      </c>
      <c r="E48" s="3463" t="str">
        <f>IF(H48="情况4","(销售额-原购置价)×税（费）率","销售额×税（费）率")</f>
        <v>(销售额-原购置价)×税（费）率</v>
      </c>
      <c r="F48" s="2547">
        <f>IF(H48="情况1","免征",'数据-取费表'!B41)</f>
        <v>5.5000000000000007E-2</v>
      </c>
      <c r="G48" s="2548" t="s">
        <v>1339</v>
      </c>
      <c r="H48" s="2549" t="s">
        <v>3394</v>
      </c>
      <c r="I48" s="1805"/>
      <c r="J48" s="3453">
        <v>3</v>
      </c>
      <c r="K48" s="3586" t="s">
        <v>1340</v>
      </c>
      <c r="L48" s="3586"/>
      <c r="M48" s="3589">
        <f>D45</f>
        <v>132</v>
      </c>
      <c r="N48" s="3589"/>
      <c r="O48" s="3589"/>
    </row>
    <row r="49" spans="1:35" ht="25.5" customHeight="1">
      <c r="A49" s="3462" t="s">
        <v>1341</v>
      </c>
      <c r="B49" s="3634" t="s">
        <v>1342</v>
      </c>
      <c r="C49" s="3634"/>
      <c r="D49" s="1589">
        <v>0</v>
      </c>
      <c r="E49" s="324" t="s">
        <v>1343</v>
      </c>
      <c r="F49" s="3448" t="s">
        <v>28</v>
      </c>
      <c r="G49" s="3617"/>
      <c r="H49" s="2309" t="s">
        <v>2134</v>
      </c>
      <c r="I49" s="2310"/>
      <c r="J49" s="3453">
        <v>4</v>
      </c>
      <c r="K49" s="3586" t="str">
        <f>IF(项目基本情况!E8="房地产抵押价值","房地产抵押价值","抵押担保权已注销时的房地产抵押价值")</f>
        <v>房地产抵押价值</v>
      </c>
      <c r="L49" s="3586"/>
      <c r="M49" s="3589">
        <f>M48</f>
        <v>132</v>
      </c>
      <c r="N49" s="3589"/>
      <c r="O49" s="3589"/>
    </row>
    <row r="50" spans="1:35" ht="25.5" customHeight="1">
      <c r="A50" s="2550"/>
      <c r="B50" s="3634" t="s">
        <v>1344</v>
      </c>
      <c r="C50" s="3634"/>
      <c r="D50" s="2551"/>
      <c r="E50" s="332"/>
      <c r="F50" s="3448"/>
      <c r="G50" s="3618"/>
      <c r="H50" s="2311" t="s">
        <v>2135</v>
      </c>
      <c r="I50" s="2310"/>
      <c r="J50" s="3585" t="s">
        <v>1345</v>
      </c>
      <c r="K50" s="3585"/>
      <c r="L50" s="3585"/>
      <c r="M50" s="3585"/>
      <c r="N50" s="3585"/>
      <c r="O50" s="3585"/>
    </row>
    <row r="51" spans="1:35" ht="20.399999999999999" customHeight="1">
      <c r="A51" s="2552"/>
      <c r="B51" s="3634" t="s">
        <v>1346</v>
      </c>
      <c r="C51" s="3634"/>
      <c r="D51" s="1086"/>
      <c r="E51" s="327"/>
      <c r="F51" s="3448"/>
      <c r="G51" s="3619"/>
      <c r="H51" s="2311" t="s">
        <v>2136</v>
      </c>
      <c r="I51" s="2310"/>
      <c r="J51" s="3449" t="s">
        <v>1347</v>
      </c>
      <c r="K51" s="3586" t="s">
        <v>1348</v>
      </c>
      <c r="L51" s="3586"/>
      <c r="M51" s="3449" t="s">
        <v>1349</v>
      </c>
      <c r="N51" s="3449" t="s">
        <v>1350</v>
      </c>
      <c r="O51" s="3449" t="s">
        <v>1351</v>
      </c>
    </row>
    <row r="52" spans="1:35" ht="24" customHeight="1">
      <c r="A52" s="3464" t="s">
        <v>1352</v>
      </c>
      <c r="B52" s="3634" t="s">
        <v>1353</v>
      </c>
      <c r="C52" s="3634"/>
      <c r="D52" s="1086">
        <f>ROUND(D45*'数据-取费表'!B41/(1+'数据-取费表'!C42),0)</f>
        <v>7</v>
      </c>
      <c r="E52" s="3463" t="s">
        <v>1354</v>
      </c>
      <c r="F52" s="2553">
        <f>'数据-取费表'!B41</f>
        <v>5.5000000000000007E-2</v>
      </c>
      <c r="G52" s="2554"/>
      <c r="H52" s="2543"/>
      <c r="I52" s="1806"/>
      <c r="J52" s="3453">
        <v>1</v>
      </c>
      <c r="K52" s="3611" t="s">
        <v>1355</v>
      </c>
      <c r="L52" s="3611"/>
      <c r="M52" s="2524">
        <f>D48</f>
        <v>4</v>
      </c>
      <c r="N52" s="3453" t="str">
        <f>E48</f>
        <v>(销售额-原购置价)×税（费）率</v>
      </c>
      <c r="O52" s="2525">
        <f>F48</f>
        <v>5.5000000000000007E-2</v>
      </c>
    </row>
    <row r="53" spans="1:35" ht="12" customHeight="1">
      <c r="A53" s="3464" t="s">
        <v>1356</v>
      </c>
      <c r="B53" s="3635" t="s">
        <v>2291</v>
      </c>
      <c r="C53" s="3636"/>
      <c r="D53" s="1086">
        <f>ROUND(D45*'数据-取费表'!B41/(1+'数据-取费表'!C42),0)</f>
        <v>7</v>
      </c>
      <c r="E53" s="3463" t="s">
        <v>1354</v>
      </c>
      <c r="F53" s="2553">
        <f>'数据-取费表'!B41</f>
        <v>5.5000000000000007E-2</v>
      </c>
      <c r="G53" s="2554"/>
      <c r="H53" s="2543"/>
      <c r="I53" s="1806"/>
      <c r="J53" s="3453">
        <v>2</v>
      </c>
      <c r="K53" s="3611" t="s">
        <v>1357</v>
      </c>
      <c r="L53" s="3611"/>
      <c r="M53" s="2524">
        <f t="shared" ref="M53:O54" si="0">D55</f>
        <v>0</v>
      </c>
      <c r="N53" s="3453" t="str">
        <f t="shared" si="0"/>
        <v>销售额×税（费）率</v>
      </c>
      <c r="O53" s="2525">
        <f t="shared" si="0"/>
        <v>5.0000000000000001E-4</v>
      </c>
    </row>
    <row r="54" spans="1:35" ht="12" customHeight="1">
      <c r="A54" s="3464" t="s">
        <v>1358</v>
      </c>
      <c r="B54" s="3635" t="s">
        <v>2292</v>
      </c>
      <c r="C54" s="3636"/>
      <c r="D54" s="1086">
        <f>C68</f>
        <v>4</v>
      </c>
      <c r="E54" s="327" t="s">
        <v>1359</v>
      </c>
      <c r="F54" s="2553">
        <f>'数据-取费表'!B41</f>
        <v>5.5000000000000007E-2</v>
      </c>
      <c r="G54" s="2554"/>
      <c r="H54" s="2555"/>
      <c r="I54" s="1806"/>
      <c r="J54" s="3453">
        <v>3</v>
      </c>
      <c r="K54" s="3611" t="s">
        <v>1360</v>
      </c>
      <c r="L54" s="3611"/>
      <c r="M54" s="2524">
        <f t="shared" si="0"/>
        <v>8</v>
      </c>
      <c r="N54" s="3453" t="str">
        <f t="shared" si="0"/>
        <v>增值额×税（费）率</v>
      </c>
      <c r="O54" s="2526" t="str">
        <f t="shared" si="0"/>
        <v>——</v>
      </c>
    </row>
    <row r="55" spans="1:35" ht="24" customHeight="1">
      <c r="A55" s="3671" t="s">
        <v>1361</v>
      </c>
      <c r="B55" s="3649"/>
      <c r="C55" s="3649"/>
      <c r="D55" s="3450">
        <f>IF(H55="个人住宅",0,ROUND(D45*I55,0))</f>
        <v>0</v>
      </c>
      <c r="E55" s="3463" t="s">
        <v>1362</v>
      </c>
      <c r="F55" s="2553">
        <f>IF(H55="正常",I55,"免征")</f>
        <v>5.0000000000000001E-4</v>
      </c>
      <c r="G55" s="2554"/>
      <c r="H55" s="2549" t="s">
        <v>3395</v>
      </c>
      <c r="I55" s="165">
        <f>'数据-取费表'!B49</f>
        <v>5.0000000000000001E-4</v>
      </c>
      <c r="J55" s="3453" t="str">
        <f>IF(H59="非个人房产","",4)</f>
        <v/>
      </c>
      <c r="K55" s="3611" t="str">
        <f>IF(H59="非个人房产","——","个人所得税")</f>
        <v>——</v>
      </c>
      <c r="L55" s="3611"/>
      <c r="M55" s="2527" t="str">
        <f>D59</f>
        <v>——</v>
      </c>
      <c r="N55" s="3454" t="str">
        <f>E59</f>
        <v>——</v>
      </c>
      <c r="O55" s="2528" t="str">
        <f>F59</f>
        <v>——</v>
      </c>
    </row>
    <row r="56" spans="1:35" ht="25.2">
      <c r="A56" s="3671" t="s">
        <v>1363</v>
      </c>
      <c r="B56" s="3649"/>
      <c r="C56" s="3649"/>
      <c r="D56" s="3450">
        <f>IF(H56="个人住宅",D57,D58)</f>
        <v>8</v>
      </c>
      <c r="E56" s="3463" t="s">
        <v>1364</v>
      </c>
      <c r="F56" s="2553" t="str">
        <f>IF(H56="正常",F58,"免征")</f>
        <v>——</v>
      </c>
      <c r="G56" s="2556" t="s">
        <v>1365</v>
      </c>
      <c r="H56" s="2557" t="s">
        <v>3395</v>
      </c>
      <c r="I56" s="1807"/>
      <c r="J56" s="3453" t="str">
        <f>IF(项目基本情况!K6="上海银行",IF(J55="",4,J55+1),"")</f>
        <v/>
      </c>
      <c r="K56" s="3592" t="str">
        <f>IF(项目基本情况!K6="上海银行","其他处置费用","")</f>
        <v/>
      </c>
      <c r="L56" s="3593"/>
      <c r="M56" s="2524" t="str">
        <f>IF(项目基本情况!K6="上海银行",M69,"")</f>
        <v/>
      </c>
      <c r="N56" s="3592" t="str">
        <f>IF(项目基本情况!K6="上海银行","包含处置中涉及的律师、诉讼、拍卖、评估等费用","")</f>
        <v/>
      </c>
      <c r="O56" s="3595"/>
    </row>
    <row r="57" spans="1:35" ht="13.2">
      <c r="A57" s="3464" t="s">
        <v>1341</v>
      </c>
      <c r="B57" s="3635" t="s">
        <v>1366</v>
      </c>
      <c r="C57" s="3636"/>
      <c r="D57" s="1589">
        <v>0</v>
      </c>
      <c r="E57" s="324" t="s">
        <v>1343</v>
      </c>
      <c r="F57" s="302"/>
      <c r="G57" s="2554"/>
      <c r="H57" s="2558"/>
      <c r="I57" s="1807"/>
      <c r="J57" s="3611">
        <f>IF(AND(J55="",J56=""),4,IF(项目基本情况!K6="上海银行",'结果表 (2)'!J56+1,'结果表 (2)'!J55+1))</f>
        <v>4</v>
      </c>
      <c r="K57" s="3611" t="s">
        <v>1367</v>
      </c>
      <c r="L57" s="2529" t="s">
        <v>1368</v>
      </c>
      <c r="M57" s="2530"/>
      <c r="N57" s="2531">
        <f>SUMIF(M52:M56,"&lt;9e307")</f>
        <v>12</v>
      </c>
      <c r="O57" s="2532"/>
      <c r="P57" s="2689">
        <f>N57/M49</f>
        <v>9.0909090909090912E-2</v>
      </c>
    </row>
    <row r="58" spans="1:35" ht="25.2">
      <c r="A58" s="3464" t="s">
        <v>1352</v>
      </c>
      <c r="B58" s="3635" t="s">
        <v>1369</v>
      </c>
      <c r="C58" s="3634"/>
      <c r="D58" s="3450">
        <f>IF(H58="转让取得",C81,C97)</f>
        <v>8</v>
      </c>
      <c r="E58" s="3463" t="s">
        <v>1364</v>
      </c>
      <c r="F58" s="302" t="s">
        <v>28</v>
      </c>
      <c r="G58" s="2554"/>
      <c r="H58" s="2557" t="s">
        <v>3396</v>
      </c>
      <c r="I58" s="1807"/>
      <c r="J58" s="3611"/>
      <c r="K58" s="3611"/>
      <c r="L58" s="2529" t="s">
        <v>1370</v>
      </c>
      <c r="M58" s="2533"/>
      <c r="N58" s="2534" t="str">
        <f>NUMBERSTRING(INT(N57*10000),2)&amp;"元整"</f>
        <v>壹拾贰万元整</v>
      </c>
      <c r="O58" s="2535"/>
    </row>
    <row r="59" spans="1:35" ht="24.6" thickBot="1">
      <c r="A59" s="3615" t="s">
        <v>1371</v>
      </c>
      <c r="B59" s="3616"/>
      <c r="C59" s="361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3398</v>
      </c>
      <c r="I59" s="2312" t="s">
        <v>2137</v>
      </c>
      <c r="J59" s="3613">
        <f>J57+1</f>
        <v>5</v>
      </c>
      <c r="K59" s="3611" t="s">
        <v>1372</v>
      </c>
      <c r="L59" s="3453" t="s">
        <v>1368</v>
      </c>
      <c r="M59" s="2536"/>
      <c r="N59" s="2537">
        <f>M49-N57</f>
        <v>120</v>
      </c>
      <c r="O59" s="2538"/>
    </row>
    <row r="60" spans="1:35" ht="12" customHeight="1">
      <c r="A60" s="1808"/>
      <c r="B60" s="1746"/>
      <c r="C60" s="1746"/>
      <c r="D60" s="1746"/>
      <c r="E60" s="1577"/>
      <c r="F60" s="1807"/>
      <c r="G60" s="1807"/>
      <c r="H60" s="1809"/>
      <c r="I60" s="129"/>
      <c r="J60" s="3614"/>
      <c r="K60" s="3611"/>
      <c r="L60" s="2529" t="s">
        <v>1370</v>
      </c>
      <c r="M60" s="2533"/>
      <c r="N60" s="2534" t="str">
        <f>NUMBERSTRING(INT(N59*10000),2)&amp;"元整"</f>
        <v>壹佰贰拾万元整</v>
      </c>
      <c r="O60" s="2535"/>
    </row>
    <row r="61" spans="1:35" ht="13.8" thickBot="1">
      <c r="A61" s="3670" t="s">
        <v>1373</v>
      </c>
      <c r="B61" s="3670"/>
      <c r="C61" s="3670"/>
      <c r="D61" s="3670"/>
      <c r="E61" s="3670"/>
      <c r="F61" s="1807"/>
      <c r="G61" s="1807"/>
      <c r="H61" s="1809"/>
      <c r="I61" s="129"/>
      <c r="J61" s="3453">
        <f>J59+1</f>
        <v>6</v>
      </c>
      <c r="K61" s="3611" t="s">
        <v>1374</v>
      </c>
      <c r="L61" s="3611"/>
      <c r="M61" s="2539"/>
      <c r="N61" s="2540">
        <f>ROUND(N59*10000/73.35,0)</f>
        <v>16360</v>
      </c>
      <c r="O61" s="2541"/>
    </row>
    <row r="62" spans="1:35" ht="13.2">
      <c r="A62" s="3630" t="s">
        <v>1375</v>
      </c>
      <c r="B62" s="3631"/>
      <c r="C62" s="3458"/>
      <c r="D62" s="3458" t="s">
        <v>1376</v>
      </c>
      <c r="E62" s="166" t="s">
        <v>1377</v>
      </c>
      <c r="F62" s="1807"/>
      <c r="G62" s="1807"/>
      <c r="H62" s="1809"/>
      <c r="I62" s="129"/>
    </row>
    <row r="63" spans="1:35" ht="13.2">
      <c r="A63" s="173" t="s">
        <v>330</v>
      </c>
      <c r="B63" s="167" t="s">
        <v>1378</v>
      </c>
      <c r="C63" s="2563">
        <f>ROUND((C64+C65)/(1+'数据-取费表'!C42),0)</f>
        <v>126</v>
      </c>
      <c r="D63" s="167"/>
      <c r="E63" s="168"/>
      <c r="F63" s="1807"/>
      <c r="G63" s="1807"/>
      <c r="H63" s="1809"/>
      <c r="I63" s="129"/>
      <c r="J63" s="3594" t="s">
        <v>1379</v>
      </c>
      <c r="K63" s="3451" t="s">
        <v>1380</v>
      </c>
      <c r="L63" s="3451">
        <f>IF(M49&gt;10000,M49*0.5%,IF(AND(M49&gt;1000,M49&lt;=10000),M49*1%,IF(AND(M49&gt;100,M49&lt;=1000),M49*3%,IF(AND(M49&gt;10,M49&lt;=100),M49*5%,M49*8%))))</f>
        <v>3.96</v>
      </c>
      <c r="M63" s="302">
        <f>ROUND(L63,1)</f>
        <v>4</v>
      </c>
      <c r="N63" s="2542"/>
      <c r="Z63" s="1751"/>
      <c r="AI63" s="1752"/>
    </row>
    <row r="64" spans="1:35" ht="14.25" customHeight="1">
      <c r="A64" s="169" t="s">
        <v>325</v>
      </c>
      <c r="B64" s="170" t="s">
        <v>1381</v>
      </c>
      <c r="C64" s="2564">
        <f>D45</f>
        <v>132</v>
      </c>
      <c r="D64" s="170" t="s">
        <v>26</v>
      </c>
      <c r="E64" s="172"/>
      <c r="F64" s="1807"/>
      <c r="G64" s="1807"/>
      <c r="H64" s="1809"/>
      <c r="I64" s="129"/>
      <c r="J64" s="3594"/>
      <c r="K64" s="3451" t="s">
        <v>1382</v>
      </c>
      <c r="L64" s="3451">
        <f>IF(M49&gt;2000,M49*0.5%,IF(AND(M49&gt;1000,M49&lt;=2000),M49*0.6%,IF(AND(M49&gt;500,M49&lt;=1000),M49*0.7%,IF(AND(M49&gt;200,M49&lt;=500),M49*0.8%,IF(AND(M49&gt;100,M49&lt;=200),M49*0.9%,IF(AND(M49&gt;50,M49&lt;=100),M49*1%,IF(AND(M49&gt;20,M49&lt;=50),M49*1.5%,IF(AND(M49&gt;10,M49&lt;=20),M49*2%,IF(AND(M49&gt;1,M49&lt;=10),M49*2.5%)))))))))</f>
        <v>1.1880000000000002</v>
      </c>
      <c r="M64" s="302">
        <f t="shared" ref="M64:M65" si="1">ROUND(L64,1)</f>
        <v>1.2</v>
      </c>
      <c r="N64" s="2543" t="s">
        <v>1383</v>
      </c>
      <c r="Z64" s="1751"/>
      <c r="AI64" s="1752"/>
    </row>
    <row r="65" spans="1:35" ht="14.25" customHeight="1">
      <c r="A65" s="169" t="s">
        <v>326</v>
      </c>
      <c r="B65" s="170" t="s">
        <v>1384</v>
      </c>
      <c r="C65" s="2565"/>
      <c r="D65" s="170"/>
      <c r="E65" s="172"/>
      <c r="F65" s="1807"/>
      <c r="G65" s="1807"/>
      <c r="H65" s="1809"/>
      <c r="I65" s="129"/>
      <c r="J65" s="3594"/>
      <c r="K65" s="3451" t="s">
        <v>1385</v>
      </c>
      <c r="L65" s="3451">
        <f>IF(M49&gt;1000,M49*0.1%,IF(AND(M49&gt;500,M49&lt;=1000),M49*0.5%,IF(AND(M49&gt;50,M49&lt;=500),M49*1%,IF(AND(M49&gt;1,M49&lt;=50),M49*1.5%))))</f>
        <v>1.32</v>
      </c>
      <c r="M65" s="302">
        <f t="shared" si="1"/>
        <v>1.3</v>
      </c>
      <c r="N65" s="2543" t="s">
        <v>1383</v>
      </c>
      <c r="Z65" s="1751"/>
      <c r="AI65" s="1752"/>
    </row>
    <row r="66" spans="1:35" ht="14.25" customHeight="1">
      <c r="A66" s="173" t="s">
        <v>327</v>
      </c>
      <c r="B66" s="174" t="s">
        <v>1386</v>
      </c>
      <c r="C66" s="2566">
        <f>C75</f>
        <v>56.112749999999998</v>
      </c>
      <c r="D66" s="174" t="s">
        <v>26</v>
      </c>
      <c r="E66" s="1337" t="s">
        <v>671</v>
      </c>
      <c r="F66" s="1807"/>
      <c r="G66" s="1807"/>
      <c r="H66" s="1809"/>
      <c r="I66" s="129"/>
      <c r="J66" s="3594"/>
      <c r="K66" s="3451" t="s">
        <v>1387</v>
      </c>
      <c r="L66" s="3451">
        <f>M49*0.5%</f>
        <v>0.66</v>
      </c>
      <c r="M66" s="302">
        <f>IF(L66&gt;0.5,0.5,ROUND(L66,0))</f>
        <v>0.5</v>
      </c>
      <c r="N66" s="2543" t="s">
        <v>1388</v>
      </c>
      <c r="Z66" s="1751"/>
      <c r="AI66" s="1752"/>
    </row>
    <row r="67" spans="1:35" ht="14.25" customHeight="1">
      <c r="A67" s="173" t="s">
        <v>328</v>
      </c>
      <c r="B67" s="174" t="s">
        <v>1389</v>
      </c>
      <c r="C67" s="2567">
        <f>C63-C66</f>
        <v>69.887249999999995</v>
      </c>
      <c r="D67" s="170" t="s">
        <v>26</v>
      </c>
      <c r="E67" s="172"/>
      <c r="F67" s="1807"/>
      <c r="G67" s="1807"/>
      <c r="H67" s="1809"/>
      <c r="I67" s="129"/>
      <c r="J67" s="3594"/>
      <c r="K67" s="3451" t="s">
        <v>1390</v>
      </c>
      <c r="L67" s="3451">
        <f>IF(M49&gt;=10000,(8.25+(M49-10000)*0.01%),IF(AND(M49&gt;=8000,M49&lt;10000),(7.85+(M49-8000)*0.02%),IF(AND(M49&gt;=5000,M49&lt;8000),(6.65+(M49-5000)*0.04%),IF(AND(M49&gt;=2000,M49&lt;5000),(4.25+(PM49-2000)*0.08%),IF(AND(M49&gt;=1000,M49&lt;2000),(2.75+(M49-1000)*0.15%),IF(AND(M49&gt;=100,M49&lt;1000),(0.5+(M49-100)*0.25%),IF(AND(M49&gt;0,M49&lt;100),M49*0.5%)))))))</f>
        <v>0.57999999999999996</v>
      </c>
      <c r="M67" s="302">
        <f>ROUND(L67*0.9,1)</f>
        <v>0.5</v>
      </c>
      <c r="N67" s="2542"/>
      <c r="Z67" s="1751"/>
      <c r="AI67" s="1752"/>
    </row>
    <row r="68" spans="1:35" ht="14.25" customHeight="1" thickBot="1">
      <c r="A68" s="176" t="s">
        <v>329</v>
      </c>
      <c r="B68" s="177" t="s">
        <v>1391</v>
      </c>
      <c r="C68" s="2568">
        <f>IF(C67&lt;=0,0,ROUND(C67*D68,0))</f>
        <v>4</v>
      </c>
      <c r="D68" s="2569">
        <f>'数据-取费表'!B41</f>
        <v>5.5000000000000007E-2</v>
      </c>
      <c r="E68" s="178"/>
      <c r="F68" s="1807"/>
      <c r="G68" s="1807"/>
      <c r="H68" s="1809"/>
      <c r="I68" s="129"/>
      <c r="J68" s="3594"/>
      <c r="K68" s="3451" t="s">
        <v>1392</v>
      </c>
      <c r="L68" s="3451">
        <f>IF(M49&gt;10000,M49*0.5%,IF(AND(M49&gt;5000,M49&lt;=10000),M49*1%,IF(AND(M49&gt;1000,M49&lt;=5000),M49*2%,IF(AND(M49&gt;200,M49&lt;=1000),M49*3%,M49*5%))))</f>
        <v>6.6000000000000005</v>
      </c>
      <c r="M68" s="302">
        <f>ROUND(L68,1)</f>
        <v>6.6</v>
      </c>
      <c r="N68" s="2542"/>
      <c r="Z68" s="1751"/>
      <c r="AI68" s="1752"/>
    </row>
    <row r="69" spans="1:35" s="1771" customFormat="1" ht="16.5" customHeight="1">
      <c r="A69" s="1810"/>
      <c r="B69" s="1811"/>
      <c r="C69" s="1812"/>
      <c r="D69" s="1813"/>
      <c r="E69" s="1814"/>
      <c r="F69" s="1577"/>
      <c r="G69" s="1577"/>
      <c r="H69" s="1576"/>
      <c r="I69" s="1746"/>
      <c r="J69" s="3594"/>
      <c r="K69" s="3451" t="s">
        <v>1393</v>
      </c>
      <c r="L69" s="3451"/>
      <c r="M69" s="302">
        <f>ROUND(SUM(M63:M68),0)</f>
        <v>14</v>
      </c>
      <c r="N69" s="2544">
        <f>M69/M49</f>
        <v>0.10606060606060606</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38" t="s">
        <v>1394</v>
      </c>
      <c r="B70" s="3639"/>
      <c r="C70" s="3639"/>
      <c r="D70" s="3639"/>
      <c r="E70" s="3639"/>
      <c r="F70" s="3639"/>
      <c r="G70" s="3639"/>
      <c r="H70" s="363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30" t="s">
        <v>1375</v>
      </c>
      <c r="B71" s="3631"/>
      <c r="C71" s="3458"/>
      <c r="D71" s="3458"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ROUND(D45/(1+'数据-取费表'!C42),0)</f>
        <v>126</v>
      </c>
      <c r="D72" s="170" t="s">
        <v>26</v>
      </c>
      <c r="E72" s="3460"/>
      <c r="F72" s="3459"/>
      <c r="G72" s="345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C74+C78</f>
        <v>101</v>
      </c>
      <c r="D73" s="170" t="s">
        <v>26</v>
      </c>
      <c r="E73" s="3460"/>
      <c r="F73" s="3459"/>
      <c r="G73" s="345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100</v>
      </c>
      <c r="D74" s="170" t="s">
        <v>26</v>
      </c>
      <c r="E74" s="3460"/>
      <c r="F74" s="3459"/>
      <c r="G74" s="345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f>561127.5/10000</f>
        <v>56.112749999999998</v>
      </c>
      <c r="D75" s="170" t="s">
        <v>26</v>
      </c>
      <c r="E75" s="184" t="s">
        <v>1399</v>
      </c>
      <c r="F75" s="2571" t="s">
        <v>3399</v>
      </c>
      <c r="G75" s="184" t="s">
        <v>1400</v>
      </c>
      <c r="H75" s="2572">
        <v>15</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42</v>
      </c>
      <c r="D76" s="2573">
        <v>0.05</v>
      </c>
      <c r="E76" s="3635" t="s">
        <v>1402</v>
      </c>
      <c r="F76" s="3634"/>
      <c r="G76" s="3634"/>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2</v>
      </c>
      <c r="D77" s="2574">
        <f>'数据-取费表'!B48+'数据-取费表'!B49</f>
        <v>3.0499999999999999E-2</v>
      </c>
      <c r="E77" s="3450" t="s">
        <v>1404</v>
      </c>
      <c r="F77" s="186"/>
      <c r="G77" s="1821" t="s">
        <v>3400</v>
      </c>
      <c r="H77" s="346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ROUND(D45*D78/(1+'数据-取费表'!C42),0)</f>
        <v>1</v>
      </c>
      <c r="D78" s="2576">
        <f>'数据-取费表'!B43</f>
        <v>5.000000000000001E-3</v>
      </c>
      <c r="E78" s="3627" t="s">
        <v>1406</v>
      </c>
      <c r="F78" s="3628"/>
      <c r="G78" s="3628"/>
      <c r="H78" s="362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f>C72-C73</f>
        <v>25</v>
      </c>
      <c r="D79" s="170" t="s">
        <v>26</v>
      </c>
      <c r="E79" s="3460"/>
      <c r="F79" s="3459"/>
      <c r="G79" s="345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IF(C79&lt;=0,0,C79/C73)</f>
        <v>0.24752475247524752</v>
      </c>
      <c r="D80" s="170" t="s">
        <v>26</v>
      </c>
      <c r="E80" s="3450" t="str">
        <f>IF(C80&gt;=200%,"增值额超过扣除项目金额200%",IF(C80&gt;=100%,"增值额超过扣除项目金额100%，未超过200%",IF(C80&gt;=50%,"增值额超过扣除项目金额50%，未超过100%",IF(C80&lt;50%,"增值额未超过扣除项目金额50%"))))</f>
        <v>增值额未超过扣除项目金额50%</v>
      </c>
      <c r="F80" s="3459"/>
      <c r="G80" s="345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ROUND(IF(C79&lt;=0,0,IF(C80&gt;=200%,C79*60%-C73*35%,IF(C80&gt;=100%,C79*50%-C73*15%,IF(C80&gt;=50%,C79*40%-C73*5%,IF(C80&lt;50%,C79*30%,0))))),0)</f>
        <v>8</v>
      </c>
      <c r="D81" s="2579"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38" t="s">
        <v>1410</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30" t="s">
        <v>1375</v>
      </c>
      <c r="B84" s="3631"/>
      <c r="C84" s="3458"/>
      <c r="D84" s="345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ROUND(D45/(1+'数据-取费表'!C42),0)</f>
        <v>126</v>
      </c>
      <c r="D85" s="170" t="s">
        <v>26</v>
      </c>
      <c r="E85" s="3460"/>
      <c r="F85" s="3459"/>
      <c r="G85" s="345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IF(H88="仅含出让金",C87+C90+C91+C92+C93+C94,C87+C91+C92+C93+C94)</f>
        <v>1</v>
      </c>
      <c r="D86" s="2580"/>
      <c r="E86" s="3460"/>
      <c r="F86" s="3459"/>
      <c r="G86" s="345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3455"/>
      <c r="F87" s="3456"/>
      <c r="G87" s="3456"/>
      <c r="H87" s="345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345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3456"/>
      <c r="G89" s="3456"/>
      <c r="H89" s="345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3456"/>
      <c r="G90" s="3596" t="s">
        <v>2129</v>
      </c>
      <c r="H90" s="359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7" t="s">
        <v>1419</v>
      </c>
      <c r="F91" s="3628"/>
      <c r="G91" s="362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7" t="s">
        <v>1422</v>
      </c>
      <c r="F92" s="3628"/>
      <c r="G92" s="3628"/>
      <c r="H92" s="362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ROUND(D45*D93/(1+'数据-取费表'!C42),0)</f>
        <v>1</v>
      </c>
      <c r="D93" s="2576">
        <f>'数据-取费表'!B43</f>
        <v>5.000000000000001E-3</v>
      </c>
      <c r="E93" s="3627" t="s">
        <v>1406</v>
      </c>
      <c r="F93" s="3628"/>
      <c r="G93" s="3628"/>
      <c r="H93" s="362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2" t="s">
        <v>1426</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f>ROUND(C85-C86,0)</f>
        <v>125</v>
      </c>
      <c r="D95" s="170" t="s">
        <v>26</v>
      </c>
      <c r="E95" s="3460"/>
      <c r="F95" s="3459"/>
      <c r="G95" s="345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IF(C95&lt;=0,0,C95/C86)</f>
        <v>125</v>
      </c>
      <c r="D96" s="170" t="s">
        <v>26</v>
      </c>
      <c r="E96" s="3450" t="str">
        <f>IF(C96&gt;=200%,"增值额超过扣除项目金额200%",IF(C96&gt;=100%,"增值额超过扣除项目金额100%，未超过200%",IF(C96&gt;=50%,"增值额超过扣除项目金额50%，未超过100%",IF(C96&lt;50%,"增值额未超过扣除项目金额50%"))))</f>
        <v>增值额超过扣除项目金额200%</v>
      </c>
      <c r="F96" s="3459"/>
      <c r="G96" s="345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ROUND(IF(C95&lt;=0,0,IF(C96&gt;=200%,C95*60%-C86*35%,IF(C96&gt;=100%,C95*50%-C86*15%,IF(C96&gt;=50%,C95*40%-C86*5%,IF(C96&lt;50%,C95*30%,0))))),0)</f>
        <v>75</v>
      </c>
      <c r="D97" s="2579"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7" t="s">
        <v>1428</v>
      </c>
      <c r="B100" s="3578"/>
      <c r="C100" s="3578"/>
      <c r="D100" s="3612"/>
      <c r="E100" s="3578" t="s">
        <v>1429</v>
      </c>
      <c r="F100" s="3578"/>
      <c r="G100" s="3578"/>
      <c r="H100" s="3612"/>
      <c r="I100" s="129"/>
    </row>
    <row r="101" spans="1:35" ht="18.75" customHeight="1">
      <c r="A101" s="3620" t="s">
        <v>1430</v>
      </c>
      <c r="B101" s="3621"/>
      <c r="C101" s="2584" t="str">
        <f>C4</f>
        <v>比较法-商业</v>
      </c>
      <c r="D101" s="2585" t="str">
        <f>D4</f>
        <v>收益法 (元)</v>
      </c>
      <c r="E101" s="3590" t="s">
        <v>1431</v>
      </c>
      <c r="F101" s="3591"/>
      <c r="G101" s="1826" t="s">
        <v>1432</v>
      </c>
      <c r="H101" s="2594">
        <f ca="1">H118</f>
        <v>431</v>
      </c>
      <c r="I101" s="129"/>
    </row>
    <row r="102" spans="1:35" ht="18.75" customHeight="1">
      <c r="A102" s="3622" t="s">
        <v>1433</v>
      </c>
      <c r="B102" s="2583" t="s">
        <v>1432</v>
      </c>
      <c r="C102" s="2584">
        <f ca="1">IF(D32="楼面单价",ROUND(C19,0),C19)</f>
        <v>581</v>
      </c>
      <c r="D102" s="2585">
        <f ca="1">IF(D32="楼面单价",ROUND(D19,0),D19)</f>
        <v>206</v>
      </c>
      <c r="E102" s="3590"/>
      <c r="F102" s="3591"/>
      <c r="G102" s="1826" t="s">
        <v>1434</v>
      </c>
      <c r="H102" s="2554">
        <f ca="1">I118</f>
        <v>20773</v>
      </c>
      <c r="I102" s="129"/>
    </row>
    <row r="103" spans="1:35" ht="42.75" customHeight="1">
      <c r="A103" s="3622"/>
      <c r="B103" s="2583" t="s">
        <v>1434</v>
      </c>
      <c r="C103" s="2586">
        <f ca="1">C20</f>
        <v>28009</v>
      </c>
      <c r="D103" s="2587">
        <f ca="1">D20</f>
        <v>9919</v>
      </c>
      <c r="E103" s="3583" t="s">
        <v>1435</v>
      </c>
      <c r="F103" s="3584"/>
      <c r="G103" s="1827" t="s">
        <v>1436</v>
      </c>
      <c r="H103" s="2594">
        <f>IF(D36="正常操作",H104+H105+H106,H105+H106)</f>
        <v>0</v>
      </c>
      <c r="I103" s="129"/>
    </row>
    <row r="104" spans="1:35" ht="18.75" customHeight="1">
      <c r="A104" s="3622" t="s">
        <v>1437</v>
      </c>
      <c r="B104" s="2588" t="s">
        <v>1432</v>
      </c>
      <c r="C104" s="2589">
        <f ca="1">H118</f>
        <v>431</v>
      </c>
      <c r="D104" s="2590"/>
      <c r="E104" s="1673" t="s">
        <v>1438</v>
      </c>
      <c r="F104" s="1665"/>
      <c r="G104" s="1827" t="s">
        <v>1436</v>
      </c>
      <c r="H104" s="2595">
        <f>IF(D36="同一抵押权人同一抵押物续贷",C36&amp;"（续贷，未扣减，详见特别提示）",C36)</f>
        <v>0</v>
      </c>
      <c r="I104" s="129"/>
    </row>
    <row r="105" spans="1:35" ht="18.75" customHeight="1" thickBot="1">
      <c r="A105" s="3632"/>
      <c r="B105" s="2591" t="s">
        <v>1434</v>
      </c>
      <c r="C105" s="2592">
        <f ca="1">I118</f>
        <v>20773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3" t="str">
        <f>IF(项目基本情况!E8="已注销","——","3.房地产抵押价值")</f>
        <v>3.房地产抵押价值</v>
      </c>
      <c r="F107" s="3591"/>
      <c r="G107" s="1826" t="s">
        <v>1432</v>
      </c>
      <c r="H107" s="2594">
        <f ca="1">IF(E107="——","——",H101-H103)</f>
        <v>431</v>
      </c>
      <c r="I107" s="129"/>
    </row>
    <row r="108" spans="1:35" ht="18.75" customHeight="1">
      <c r="A108" s="129"/>
      <c r="B108" s="129"/>
      <c r="C108" s="129"/>
      <c r="D108" s="129"/>
      <c r="E108" s="3623"/>
      <c r="F108" s="3591"/>
      <c r="G108" s="1826" t="s">
        <v>1434</v>
      </c>
      <c r="H108" s="2554">
        <f ca="1">IF(H107=H101,H102,ROUND(H107*10000/'数据-汇总表'!E3,0))</f>
        <v>20773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6" t="s">
        <v>1432</v>
      </c>
      <c r="H109" s="2597" t="str">
        <f>IF(E109="——","——",H101-H105-H106)</f>
        <v>——</v>
      </c>
      <c r="I109" s="129"/>
    </row>
    <row r="110" spans="1:35" ht="18.75" customHeight="1">
      <c r="A110" s="129"/>
      <c r="B110" s="129"/>
      <c r="C110" s="129"/>
      <c r="D110" s="129"/>
      <c r="E110" s="3623"/>
      <c r="F110" s="3591"/>
      <c r="G110" s="1826" t="s">
        <v>1434</v>
      </c>
      <c r="H110" s="2554"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6" t="s">
        <v>1432</v>
      </c>
      <c r="H111" s="2594">
        <f>IF(E111="——","——",N59)</f>
        <v>120</v>
      </c>
      <c r="I111" s="129"/>
    </row>
    <row r="112" spans="1:35" ht="18.75" customHeight="1" thickBot="1">
      <c r="A112" s="129"/>
      <c r="B112" s="129"/>
      <c r="C112" s="129"/>
      <c r="D112" s="129"/>
      <c r="E112" s="3625"/>
      <c r="F112" s="3626"/>
      <c r="G112" s="1829" t="s">
        <v>1434</v>
      </c>
      <c r="H112" s="2598">
        <f>IF(E111="——","——",N61)</f>
        <v>16360</v>
      </c>
      <c r="I112" s="129"/>
    </row>
    <row r="113" spans="1:27" ht="18.75" customHeight="1">
      <c r="A113" s="129"/>
      <c r="B113" s="129"/>
      <c r="C113" s="129"/>
      <c r="D113" s="129"/>
      <c r="E113" s="3633" t="s">
        <v>1440</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1" t="s">
        <v>1442</v>
      </c>
      <c r="B115" s="3642"/>
      <c r="C115" s="3642"/>
      <c r="D115" s="3642"/>
      <c r="E115" s="3642"/>
      <c r="F115" s="3642"/>
      <c r="G115" s="3642"/>
      <c r="H115" s="3642"/>
      <c r="I115" s="3643"/>
    </row>
    <row r="116" spans="1:27" ht="27" customHeight="1">
      <c r="A116" s="3598" t="s">
        <v>1443</v>
      </c>
      <c r="B116" s="3602" t="s">
        <v>1444</v>
      </c>
      <c r="C116" s="3602" t="s">
        <v>1445</v>
      </c>
      <c r="D116" s="3608" t="s">
        <v>1446</v>
      </c>
      <c r="E116" s="3609"/>
      <c r="F116" s="3640" t="s">
        <v>1447</v>
      </c>
      <c r="G116" s="3640"/>
      <c r="H116" s="3598" t="s">
        <v>1448</v>
      </c>
      <c r="I116" s="3598"/>
    </row>
    <row r="117" spans="1:27" ht="18.75" customHeight="1">
      <c r="A117" s="3598"/>
      <c r="B117" s="3603"/>
      <c r="C117" s="3603"/>
      <c r="D117" s="3452" t="s">
        <v>1449</v>
      </c>
      <c r="E117" s="3452" t="s">
        <v>1450</v>
      </c>
      <c r="F117" s="3452" t="s">
        <v>1449</v>
      </c>
      <c r="G117" s="3452" t="s">
        <v>1451</v>
      </c>
      <c r="H117" s="3452" t="s">
        <v>1449</v>
      </c>
      <c r="I117" s="3452" t="s">
        <v>1451</v>
      </c>
    </row>
    <row r="118" spans="1:27" ht="24.75" customHeight="1">
      <c r="A118" s="2599" t="str">
        <f>项目基本情况!S2</f>
        <v>北京市房地产</v>
      </c>
      <c r="B118" s="3452">
        <f>M18</f>
        <v>207.28</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431</v>
      </c>
      <c r="I118" s="3452">
        <f ca="1">ROUND(IF(D32="楼面单价",C32,H118*10000/B118),0)</f>
        <v>20773</v>
      </c>
    </row>
    <row r="119" spans="1:27" ht="18.75" customHeight="1">
      <c r="A119" s="3598" t="s">
        <v>1452</v>
      </c>
      <c r="B119" s="3598"/>
      <c r="C119" s="3598"/>
      <c r="D119" s="3604" t="e">
        <f ca="1">NUMBERSTRING(INT(D118*10000),2)&amp;"元整"</f>
        <v>#REF!</v>
      </c>
      <c r="E119" s="3605"/>
      <c r="F119" s="3604" t="e">
        <f ca="1">NUMBERSTRING(INT(F118*10000),2)&amp;"元整"</f>
        <v>#REF!</v>
      </c>
      <c r="G119" s="3605"/>
      <c r="H119" s="3604" t="str">
        <f ca="1">NUMBERSTRING(INT(H118*10000),2)&amp;"元整"</f>
        <v>肆佰叁拾壹万元整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房地产抵押价值</v>
      </c>
      <c r="B122" s="3610"/>
      <c r="C122" s="3610"/>
      <c r="D122" s="3599">
        <f ca="1">H107</f>
        <v>431</v>
      </c>
      <c r="E122" s="3600"/>
      <c r="F122" s="3600"/>
      <c r="G122" s="3600"/>
      <c r="H122" s="3600"/>
      <c r="I122" s="3601"/>
      <c r="AA122" s="725"/>
    </row>
    <row r="123" spans="1:27" ht="18.75" customHeight="1">
      <c r="A123" s="3598" t="s">
        <v>1452</v>
      </c>
      <c r="B123" s="3598"/>
      <c r="C123" s="3598"/>
      <c r="D123" s="3604" t="str">
        <f ca="1">NUMBERSTRING(INT(D122*10000),2)&amp;"元整"</f>
        <v>肆佰叁拾壹万元整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1452</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抵押净值</v>
      </c>
      <c r="B126" s="3610"/>
      <c r="C126" s="3610"/>
      <c r="D126" s="3599">
        <f>H111</f>
        <v>120</v>
      </c>
      <c r="E126" s="3600"/>
      <c r="F126" s="3600"/>
      <c r="G126" s="3600"/>
      <c r="H126" s="3600"/>
      <c r="I126" s="3601"/>
      <c r="AA126" s="725"/>
    </row>
    <row r="127" spans="1:27" ht="18.75" customHeight="1">
      <c r="A127" s="3598" t="s">
        <v>1452</v>
      </c>
      <c r="B127" s="3598"/>
      <c r="C127" s="3598"/>
      <c r="D127" s="3604" t="str">
        <f>NUMBERSTRING(INT(D126*10000),2)&amp;"元整"</f>
        <v>壹佰贰拾万元整</v>
      </c>
      <c r="E127" s="3606"/>
      <c r="F127" s="3606"/>
      <c r="G127" s="3606"/>
      <c r="H127" s="3606"/>
      <c r="I127" s="3605"/>
      <c r="AA127" s="725"/>
    </row>
    <row r="128" spans="1:27" ht="21.75" customHeight="1">
      <c r="A128" s="3607" t="s">
        <v>1453</v>
      </c>
      <c r="B128" s="3607"/>
      <c r="C128" s="3607"/>
      <c r="D128" s="3607"/>
      <c r="E128" s="3607"/>
      <c r="F128" s="3607"/>
      <c r="G128" s="3607"/>
      <c r="H128" s="3607"/>
      <c r="I128" s="360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L37" zoomScale="70" zoomScaleNormal="70" zoomScaleSheetLayoutView="70" workbookViewId="0">
      <selection activeCell="I34" sqref="I3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673</v>
      </c>
      <c r="D1" s="1361" t="s">
        <v>43</v>
      </c>
      <c r="E1" s="1362" t="s">
        <v>678</v>
      </c>
      <c r="F1" s="1062">
        <f ca="1">J53</f>
        <v>17.14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205.59299999999999</v>
      </c>
      <c r="C2" s="1386" t="s">
        <v>879</v>
      </c>
      <c r="D2" s="1470">
        <f ca="1">C40+J29+L46</f>
        <v>2055930</v>
      </c>
      <c r="E2" s="1387" t="s">
        <v>880</v>
      </c>
      <c r="F2" s="1388"/>
      <c r="G2" s="2705"/>
      <c r="H2" s="2694"/>
      <c r="I2" s="2694"/>
      <c r="J2" s="2694"/>
      <c r="K2" s="2695"/>
      <c r="L2" s="2694"/>
      <c r="M2" s="2694"/>
    </row>
    <row r="3" spans="1:37" ht="18" customHeight="1" thickBot="1">
      <c r="A3" s="1389" t="s">
        <v>881</v>
      </c>
      <c r="B3" s="1390">
        <f ca="1">IF(ISERROR(D2/F43),0,ROUND(D2/F43,0))</f>
        <v>9919</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206732</v>
      </c>
      <c r="D5" s="1363" t="s">
        <v>889</v>
      </c>
      <c r="E5" s="1071"/>
      <c r="F5" s="1072"/>
      <c r="G5" s="1383"/>
      <c r="H5" s="299">
        <v>1</v>
      </c>
      <c r="I5" s="300" t="s">
        <v>888</v>
      </c>
      <c r="J5" s="1070">
        <f ca="1">J6+J10+J12</f>
        <v>205893</v>
      </c>
      <c r="K5" s="1363" t="s">
        <v>889</v>
      </c>
      <c r="L5" s="1071"/>
      <c r="M5" s="1072"/>
    </row>
    <row r="6" spans="1:37" ht="18" customHeight="1">
      <c r="A6" s="1069" t="s">
        <v>398</v>
      </c>
      <c r="B6" s="3682" t="s">
        <v>694</v>
      </c>
      <c r="C6" s="1074">
        <f ca="1">ROUND(F6*F8*F7*(1-F9),0)</f>
        <v>206544</v>
      </c>
      <c r="D6" s="155" t="s">
        <v>2106</v>
      </c>
      <c r="E6" s="302" t="s">
        <v>696</v>
      </c>
      <c r="F6" s="303">
        <f ca="1">INDIRECT("'数据-取费表'!u"&amp;$G$1)</f>
        <v>2.73</v>
      </c>
      <c r="G6" s="1383"/>
      <c r="H6" s="1069" t="s">
        <v>398</v>
      </c>
      <c r="I6" s="3682" t="s">
        <v>694</v>
      </c>
      <c r="J6" s="301">
        <f ca="1">ROUND(M6*M8*M7*(1-M9),0)</f>
        <v>205636</v>
      </c>
      <c r="K6" s="1375" t="s">
        <v>2107</v>
      </c>
      <c r="L6" s="302" t="s">
        <v>696</v>
      </c>
      <c r="M6" s="303">
        <f ca="1">INDIRECT("'数据-取费表'!z"&amp;$G$1)</f>
        <v>3.02</v>
      </c>
    </row>
    <row r="7" spans="1:37" ht="18" customHeight="1">
      <c r="A7" s="1073"/>
      <c r="B7" s="3683"/>
      <c r="C7" s="1075"/>
      <c r="D7" s="307"/>
      <c r="E7" s="1076" t="s">
        <v>697</v>
      </c>
      <c r="F7" s="303">
        <f ca="1">IF(INDIRECT("'数据-取费表'!ah"&amp;$G$1)="",INDIRECT("'数据-取费表'!k"&amp;$G$1),INDIRECT("'数据-取费表'!ah"&amp;$G$1))</f>
        <v>207.28</v>
      </c>
      <c r="G7" s="1383"/>
      <c r="H7" s="304"/>
      <c r="I7" s="3683"/>
      <c r="J7" s="306"/>
      <c r="K7" s="307"/>
      <c r="L7" s="302" t="s">
        <v>697</v>
      </c>
      <c r="M7" s="303">
        <f ca="1">F7</f>
        <v>207.28</v>
      </c>
    </row>
    <row r="8" spans="1:37" ht="18" customHeight="1">
      <c r="A8" s="304"/>
      <c r="B8" s="3683"/>
      <c r="C8" s="306"/>
      <c r="D8" s="307"/>
      <c r="E8" s="302" t="s">
        <v>698</v>
      </c>
      <c r="F8" s="303">
        <f ca="1">INDIRECT("'数据-取费表'!ai"&amp;$G$1)</f>
        <v>365</v>
      </c>
      <c r="G8" s="1383"/>
      <c r="H8" s="304"/>
      <c r="I8" s="3683"/>
      <c r="J8" s="306"/>
      <c r="K8" s="307"/>
      <c r="L8" s="302" t="s">
        <v>698</v>
      </c>
      <c r="M8" s="303">
        <f ca="1">INDIRECT("'数据-取费表'!ai"&amp;$G$1)</f>
        <v>365</v>
      </c>
    </row>
    <row r="9" spans="1:37" ht="18" customHeight="1">
      <c r="A9" s="304"/>
      <c r="B9" s="3684"/>
      <c r="C9" s="306"/>
      <c r="D9" s="307"/>
      <c r="E9" s="302" t="s">
        <v>699</v>
      </c>
      <c r="F9" s="312">
        <f ca="1">INDIRECT("'数据-取费表'!w"&amp;$G$1)</f>
        <v>0</v>
      </c>
      <c r="G9" s="1383"/>
      <c r="H9" s="304"/>
      <c r="I9" s="3684"/>
      <c r="J9" s="306"/>
      <c r="K9" s="307"/>
      <c r="L9" s="313" t="s">
        <v>699</v>
      </c>
      <c r="M9" s="314">
        <f ca="1">INDIRECT("'数据-取费表'!ab"&amp;$G$1)</f>
        <v>0.1</v>
      </c>
    </row>
    <row r="10" spans="1:37" ht="18" customHeight="1">
      <c r="A10" s="1069" t="s">
        <v>402</v>
      </c>
      <c r="B10" s="1364" t="s">
        <v>700</v>
      </c>
      <c r="C10" s="3483">
        <f ca="1">ROUND(IF(F10="押一",C6/12*F11,IF(F10="押二",C6/12*2*F11,IF(F10="押三",C6/12*3*F11,C11*F11))),0)</f>
        <v>188</v>
      </c>
      <c r="D10" s="1365" t="s">
        <v>2116</v>
      </c>
      <c r="E10" s="313" t="s">
        <v>701</v>
      </c>
      <c r="F10" s="3484" t="s">
        <v>3493</v>
      </c>
      <c r="G10" s="1383"/>
      <c r="H10" s="1069" t="s">
        <v>402</v>
      </c>
      <c r="I10" s="1364" t="s">
        <v>700</v>
      </c>
      <c r="J10" s="301">
        <f ca="1">ROUND(IF(M10="押一",J6/12*M11,IF(M10="押二",J6/12*2*M11,IF(M10="押三",J6/12*3*M11,J11*M11))),0)</f>
        <v>257</v>
      </c>
      <c r="K10" s="1376" t="s">
        <v>2118</v>
      </c>
      <c r="L10" s="313" t="s">
        <v>701</v>
      </c>
      <c r="M10" s="1115" t="s">
        <v>3388</v>
      </c>
    </row>
    <row r="11" spans="1:37" ht="18" customHeight="1">
      <c r="A11" s="308"/>
      <c r="B11" s="1366" t="s">
        <v>890</v>
      </c>
      <c r="C11" s="3482">
        <v>12500</v>
      </c>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662321</v>
      </c>
      <c r="D13" s="1080" t="s">
        <v>705</v>
      </c>
      <c r="E13" s="1080" t="s">
        <v>706</v>
      </c>
      <c r="F13" s="1081">
        <f ca="1">INDIRECT("'数据-取费表'!y"&amp;$G$1)</f>
        <v>0.73</v>
      </c>
      <c r="G13" s="1383"/>
      <c r="H13" s="1078">
        <v>2</v>
      </c>
      <c r="I13" s="1079" t="s">
        <v>704</v>
      </c>
      <c r="J13" s="1068">
        <f ca="1">ROUND(J14*J15,0)</f>
        <v>635102</v>
      </c>
      <c r="K13" s="1086" t="s">
        <v>705</v>
      </c>
      <c r="L13" s="1391"/>
      <c r="M13" s="1392"/>
    </row>
    <row r="14" spans="1:37" ht="18" customHeight="1">
      <c r="A14" s="982" t="s">
        <v>397</v>
      </c>
      <c r="B14" s="302" t="s">
        <v>707</v>
      </c>
      <c r="C14" s="318">
        <f ca="1">ROUND(INDIRECT("'数据-取费表'!l"&amp;$G$1)*F43+'数据-取费表'!L14*INDIRECT("'数据-取费表'!S"&amp;$G$1),0)</f>
        <v>621840</v>
      </c>
      <c r="D14" s="1344" t="s">
        <v>708</v>
      </c>
      <c r="E14" s="1341"/>
      <c r="F14" s="319"/>
      <c r="G14" s="1383"/>
      <c r="H14" s="982" t="s">
        <v>398</v>
      </c>
      <c r="I14" s="302" t="s">
        <v>709</v>
      </c>
      <c r="J14" s="21">
        <f ca="1">C29</f>
        <v>907289</v>
      </c>
      <c r="K14" s="12"/>
      <c r="L14" s="807"/>
      <c r="M14" s="808"/>
    </row>
    <row r="15" spans="1:37" s="1396" customFormat="1" ht="18" customHeight="1" thickBot="1">
      <c r="A15" s="982" t="s">
        <v>399</v>
      </c>
      <c r="B15" s="302" t="s">
        <v>710</v>
      </c>
      <c r="C15" s="21">
        <f ca="1">ROUND(C14*F15,0)</f>
        <v>18655</v>
      </c>
      <c r="D15" s="320" t="s">
        <v>711</v>
      </c>
      <c r="E15" s="320" t="s">
        <v>712</v>
      </c>
      <c r="F15" s="321">
        <f>'数据-取费表'!B33</f>
        <v>0.03</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40472</v>
      </c>
      <c r="K16" s="1086" t="s">
        <v>715</v>
      </c>
      <c r="L16" s="1087"/>
      <c r="M16" s="1072"/>
    </row>
    <row r="17" spans="1:37" s="1396" customFormat="1" ht="18" customHeight="1">
      <c r="A17" s="982" t="s">
        <v>681</v>
      </c>
      <c r="B17" s="302" t="s">
        <v>716</v>
      </c>
      <c r="C17" s="21">
        <f ca="1">ROUND(F17*(F43+INDIRECT("'数据-取费表'!S"&amp;$G$1)),0)</f>
        <v>41456</v>
      </c>
      <c r="D17" s="302" t="s">
        <v>717</v>
      </c>
      <c r="E17" s="302" t="s">
        <v>718</v>
      </c>
      <c r="F17" s="23">
        <f>'数据-取费表'!B35</f>
        <v>200</v>
      </c>
      <c r="G17" s="1395"/>
      <c r="H17" s="982" t="s">
        <v>398</v>
      </c>
      <c r="I17" s="302" t="s">
        <v>719</v>
      </c>
      <c r="J17" s="2315">
        <f ca="1">ROUND(IF(AND(项目基本情况!B11="自然人",项目基本情况!B10="北京市"),J6*M17/(1+'数据-取费表'!C42),J18+J19+J20),0)</f>
        <v>34272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12437</v>
      </c>
      <c r="D18" s="302" t="s">
        <v>711</v>
      </c>
      <c r="E18" s="302" t="s">
        <v>712</v>
      </c>
      <c r="F18" s="322">
        <f>'数据-取费表'!B36</f>
        <v>0.02</v>
      </c>
      <c r="G18" s="1395"/>
      <c r="H18" s="982" t="s">
        <v>397</v>
      </c>
      <c r="I18" s="302" t="s">
        <v>723</v>
      </c>
      <c r="J18" s="21">
        <f ca="1">ROUND(J6*M18/(1+'数据-取费表'!C42),0)</f>
        <v>10771</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694388</v>
      </c>
      <c r="D19" s="131" t="s">
        <v>726</v>
      </c>
      <c r="E19" s="1359"/>
      <c r="F19" s="23"/>
      <c r="G19" s="1383"/>
      <c r="H19" s="982" t="s">
        <v>399</v>
      </c>
      <c r="I19" s="302" t="s">
        <v>727</v>
      </c>
      <c r="J19" s="21">
        <f ca="1">IF(K19="按租金收入计税",ROUND(J6*M19/(1+'数据-取费表'!C42),0),ROUND(C29*M19*0.7,0))</f>
        <v>23501</v>
      </c>
      <c r="K19" s="1369" t="s">
        <v>3339</v>
      </c>
      <c r="L19" s="302" t="s">
        <v>712</v>
      </c>
      <c r="M19" s="322">
        <f>IF(K19="按租金收入计税",'数据-取费表'!B51,'数据-取费表'!B50)</f>
        <v>0.12</v>
      </c>
    </row>
    <row r="20" spans="1:37" s="1396" customFormat="1" ht="18" customHeight="1">
      <c r="A20" s="982" t="s">
        <v>402</v>
      </c>
      <c r="B20" s="302" t="s">
        <v>728</v>
      </c>
      <c r="C20" s="21">
        <f ca="1">ROUND(C19*F20,0)</f>
        <v>13888</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4536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23727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635</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5"/>
      <c r="H24" s="1088" t="s">
        <v>684</v>
      </c>
      <c r="I24" s="1089" t="s">
        <v>728</v>
      </c>
      <c r="J24" s="1090">
        <f ca="1">ROUND(J5*M24,0)</f>
        <v>1029</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165421</v>
      </c>
      <c r="K25" s="1094" t="s">
        <v>753</v>
      </c>
      <c r="L25" s="1095"/>
      <c r="M25" s="1096"/>
    </row>
    <row r="26" spans="1:37" ht="18" customHeight="1">
      <c r="A26" s="982" t="s">
        <v>397</v>
      </c>
      <c r="B26" s="302" t="s">
        <v>754</v>
      </c>
      <c r="C26" s="21">
        <f ca="1">ROUND((C19+C20)*F26,0)</f>
        <v>106241</v>
      </c>
      <c r="D26" s="323" t="s">
        <v>755</v>
      </c>
      <c r="E26" s="313" t="s">
        <v>756</v>
      </c>
      <c r="F26" s="312">
        <f ca="1">INDIRECT("'数据-取费表'!q"&amp;$G$1)</f>
        <v>0.15</v>
      </c>
      <c r="G26" s="1383"/>
      <c r="H26" s="299" t="s">
        <v>395</v>
      </c>
      <c r="I26" s="300" t="s">
        <v>757</v>
      </c>
      <c r="J26" s="301">
        <f ca="1">IF(J5&lt;&gt;0,ROUND(J25*(1-((1+M28)/(1+M26))^M27)/(M26-M28),0),0)</f>
        <v>1702701</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13.24</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907289</v>
      </c>
      <c r="D29" s="1091"/>
      <c r="E29" s="1089"/>
      <c r="F29" s="1092"/>
      <c r="G29" s="1395"/>
      <c r="H29" s="334" t="s">
        <v>396</v>
      </c>
      <c r="I29" s="335" t="s">
        <v>768</v>
      </c>
      <c r="J29" s="336">
        <f ca="1">ROUND(J26/(1+F40)^F41,0)</f>
        <v>1381827</v>
      </c>
      <c r="K29" s="337" t="s">
        <v>769</v>
      </c>
      <c r="L29" s="338"/>
      <c r="M29" s="339">
        <f ca="1">INDIRECT("'数据-取费表'!k"&amp;$G$1)</f>
        <v>207.28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40656</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34424</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10819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23605</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4536</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662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1034</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166076</v>
      </c>
      <c r="D39" s="1094" t="s">
        <v>773</v>
      </c>
      <c r="E39" s="1095"/>
      <c r="F39" s="1096"/>
      <c r="G39" s="1383"/>
      <c r="H39" s="2699"/>
      <c r="I39" s="1397"/>
      <c r="J39" s="1398"/>
      <c r="K39" s="2703"/>
      <c r="L39" s="2699"/>
      <c r="M39" s="2699"/>
    </row>
    <row r="40" spans="1:18" ht="18" customHeight="1">
      <c r="A40" s="299" t="s">
        <v>395</v>
      </c>
      <c r="B40" s="300" t="s">
        <v>774</v>
      </c>
      <c r="C40" s="301">
        <f ca="1">ROUND(C39*(1-((1+F42)/(1+F40))^F41)/(F40-F42),0)</f>
        <v>569036</v>
      </c>
      <c r="D40" s="324" t="s">
        <v>758</v>
      </c>
      <c r="E40" s="302" t="s">
        <v>759</v>
      </c>
      <c r="F40" s="312">
        <f ca="1">INDIRECT("'数据-取费表'!I"&amp;$G$1)</f>
        <v>5.5E-2</v>
      </c>
      <c r="G40" s="1383"/>
      <c r="H40" s="1460"/>
      <c r="I40" s="1397">
        <f ca="1">C39/C5</f>
        <v>0.80333958942011885</v>
      </c>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2745</v>
      </c>
      <c r="D43" s="337" t="s">
        <v>777</v>
      </c>
      <c r="E43" s="338" t="s">
        <v>778</v>
      </c>
      <c r="F43" s="339">
        <f ca="1">INDIRECT("'数据-取费表'!k"&amp;$G$1)</f>
        <v>207.28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-58.684600000000003</v>
      </c>
      <c r="D45" s="3431" t="s">
        <v>3356</v>
      </c>
      <c r="E45" s="1399"/>
      <c r="F45" s="1399"/>
      <c r="O45" s="1402" t="s">
        <v>808</v>
      </c>
      <c r="P45" s="1460"/>
      <c r="Q45" s="1460"/>
      <c r="R45" s="1460"/>
    </row>
    <row r="46" spans="1:18" s="1383" customFormat="1" ht="13.8" thickBot="1">
      <c r="A46" s="1403" t="s">
        <v>809</v>
      </c>
      <c r="C46" s="1404">
        <f ca="1">ROUND(C45,0)</f>
        <v>-59</v>
      </c>
      <c r="D46" s="1405" t="str">
        <f>C2</f>
        <v>万元</v>
      </c>
      <c r="I46" s="1406" t="s">
        <v>810</v>
      </c>
      <c r="J46" s="1407"/>
      <c r="K46" s="1408"/>
      <c r="L46" s="1409">
        <f ca="1">IF(M47="住宅",0,IF(L48&gt;J51,L60,J60))</f>
        <v>105067</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3442</v>
      </c>
      <c r="K47" s="1415" t="s">
        <v>816</v>
      </c>
      <c r="L47" s="1416">
        <f ca="1">INDIRECT("'数据-取费表'!d"&amp;$G$1)</f>
        <v>40</v>
      </c>
      <c r="M47" s="1379" t="str">
        <f>IF(ISNUMBER(FIND("住宅",C1)),"住宅","非住宅")</f>
        <v>非住宅</v>
      </c>
      <c r="O47" s="1417" t="s">
        <v>403</v>
      </c>
      <c r="P47" s="1418" t="s">
        <v>817</v>
      </c>
      <c r="Q47" s="1419">
        <f ca="1">C40+J29</f>
        <v>1950863</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t="s">
        <v>3389</v>
      </c>
      <c r="K48" s="1422" t="s">
        <v>820</v>
      </c>
      <c r="L48" s="1423">
        <f ca="1">INDIRECT("'数据-取费表'!f"&amp;$G$1)</f>
        <v>17.14</v>
      </c>
      <c r="O48" s="1417" t="s">
        <v>404</v>
      </c>
      <c r="P48" s="1418" t="s">
        <v>821</v>
      </c>
      <c r="Q48" s="1419">
        <f ca="1">J60</f>
        <v>105067</v>
      </c>
      <c r="R48" s="1419" t="s">
        <v>822</v>
      </c>
    </row>
    <row r="49" spans="1:18" s="1383" customFormat="1" ht="13.8" thickBot="1">
      <c r="A49" s="975" t="s">
        <v>439</v>
      </c>
      <c r="B49" s="1370" t="s">
        <v>779</v>
      </c>
      <c r="C49" s="1113">
        <f ca="1">ROUND(F49*F51*F50*(1-F52),0)</f>
        <v>0</v>
      </c>
      <c r="D49" s="1055" t="s">
        <v>695</v>
      </c>
      <c r="E49" s="1371" t="s">
        <v>780</v>
      </c>
      <c r="F49" s="1060"/>
      <c r="G49" s="1424"/>
      <c r="H49" s="723"/>
      <c r="I49" s="1420" t="s">
        <v>823</v>
      </c>
      <c r="J49" s="1425">
        <v>2002</v>
      </c>
      <c r="K49" s="1422" t="s">
        <v>824</v>
      </c>
      <c r="L49" s="1426"/>
      <c r="O49" s="1427" t="s">
        <v>405</v>
      </c>
      <c r="P49" s="1418" t="s">
        <v>825</v>
      </c>
      <c r="Q49" s="1419">
        <f ca="1">C29</f>
        <v>907289</v>
      </c>
      <c r="R49" s="1419" t="s">
        <v>818</v>
      </c>
    </row>
    <row r="50" spans="1:18" s="1383" customFormat="1" ht="13.8" thickBot="1">
      <c r="A50" s="976"/>
      <c r="B50" s="979"/>
      <c r="C50" s="980"/>
      <c r="D50" s="953"/>
      <c r="E50" s="1056" t="s">
        <v>697</v>
      </c>
      <c r="F50" s="1057">
        <f ca="1">F7</f>
        <v>207.28</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28</v>
      </c>
      <c r="K51" s="1433" t="s">
        <v>830</v>
      </c>
      <c r="L51" s="1434">
        <f ca="1">ROUND(-PV(INDIRECT("'数据-取费表'!h"&amp;$G$1),J51,(C39-C13*C76),0),0)</f>
        <v>1783507</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17.14</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17.14</v>
      </c>
      <c r="K53" s="3680" t="s">
        <v>837</v>
      </c>
      <c r="L53" s="3681"/>
      <c r="O53" s="1417" t="s">
        <v>409</v>
      </c>
      <c r="P53" s="1418" t="s">
        <v>838</v>
      </c>
      <c r="Q53" s="1419">
        <f ca="1">Q47+Q48</f>
        <v>2055930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f ca="1">ROUND(IF(J47="钢混",J57/J50,1-(1-2%)*(J50-J57)/J50),3)</f>
        <v>0.23300000000000001</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662321</v>
      </c>
      <c r="D56" s="1446"/>
      <c r="E56" s="1447"/>
      <c r="F56" s="1439"/>
      <c r="I56" s="1448" t="s">
        <v>842</v>
      </c>
      <c r="J56" s="1449" t="s">
        <v>3390</v>
      </c>
      <c r="K56" s="1420" t="s">
        <v>843</v>
      </c>
      <c r="L56" s="1423" t="str">
        <f ca="1">IF(L48&lt;J51,"——",L48-J51)</f>
        <v>——</v>
      </c>
      <c r="O56" s="1417" t="s">
        <v>403</v>
      </c>
      <c r="P56" s="1418" t="s">
        <v>817</v>
      </c>
      <c r="Q56" s="1419">
        <f ca="1">C40+J29</f>
        <v>1950863</v>
      </c>
      <c r="R56" s="1419" t="s">
        <v>818</v>
      </c>
    </row>
    <row r="57" spans="1:18" s="1383" customFormat="1" ht="24.6" thickBot="1">
      <c r="A57" s="1450"/>
      <c r="B57" s="950" t="s">
        <v>767</v>
      </c>
      <c r="C57" s="238">
        <f ca="1">C29</f>
        <v>907289</v>
      </c>
      <c r="D57" s="1451"/>
      <c r="E57" s="1452"/>
      <c r="F57" s="1453"/>
      <c r="I57" s="1454" t="s">
        <v>844</v>
      </c>
      <c r="J57" s="1455">
        <f ca="1">IF(OR(M47="住宅",J51&lt;L48,J56="是"),"——",J51-L48)</f>
        <v>10.86</v>
      </c>
      <c r="K57" s="1420" t="s">
        <v>892</v>
      </c>
      <c r="L57" s="1423" t="str">
        <f ca="1">IF(L48&lt;J51,"——",IF(L55="比较法",L49,IF(L55="基准地价",L50,L51)))</f>
        <v>——</v>
      </c>
      <c r="O57" s="1417" t="s">
        <v>404</v>
      </c>
      <c r="P57" s="1418" t="s">
        <v>893</v>
      </c>
      <c r="Q57" s="1419">
        <f ca="1">L60</f>
        <v>0</v>
      </c>
      <c r="R57" s="1419" t="s">
        <v>894</v>
      </c>
    </row>
    <row r="58" spans="1:18" s="1383" customFormat="1" ht="24.6" thickBot="1">
      <c r="A58" s="315" t="s">
        <v>393</v>
      </c>
      <c r="B58" s="958" t="s">
        <v>714</v>
      </c>
      <c r="C58" s="316">
        <f ca="1">ROUND(C59+C64+C65+C66,0)</f>
        <v>5198</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362916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105067</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1950863</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4536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662</v>
      </c>
      <c r="D65" s="964" t="s">
        <v>743</v>
      </c>
      <c r="E65" s="950" t="s">
        <v>744</v>
      </c>
      <c r="F65" s="330">
        <f t="shared" ca="1" si="0"/>
        <v>1E-3</v>
      </c>
      <c r="I65" s="1461" t="s">
        <v>867</v>
      </c>
      <c r="J65" s="1462">
        <v>40</v>
      </c>
      <c r="K65" s="1462">
        <v>30</v>
      </c>
      <c r="L65" s="1462">
        <v>50</v>
      </c>
      <c r="M65" s="1464">
        <v>0.02</v>
      </c>
      <c r="O65" s="1417" t="s">
        <v>403</v>
      </c>
      <c r="P65" s="1418" t="s">
        <v>868</v>
      </c>
      <c r="Q65" s="1419">
        <f ca="1">C40+J29</f>
        <v>1950863</v>
      </c>
      <c r="R65" s="1419" t="s">
        <v>818</v>
      </c>
    </row>
    <row r="66" spans="1:18" s="1383" customFormat="1" ht="16.2"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-5198</v>
      </c>
      <c r="D67" s="963" t="s">
        <v>753</v>
      </c>
      <c r="E67" s="968"/>
      <c r="F67" s="969"/>
      <c r="O67" s="1427" t="s">
        <v>405</v>
      </c>
      <c r="P67" s="1418" t="s">
        <v>850</v>
      </c>
      <c r="Q67" s="1465">
        <f ca="1">L51</f>
        <v>1783507</v>
      </c>
      <c r="R67" s="1419" t="s">
        <v>870</v>
      </c>
    </row>
    <row r="68" spans="1:18" s="1383" customFormat="1" ht="16.2" thickBot="1">
      <c r="A68" s="947" t="s">
        <v>395</v>
      </c>
      <c r="B68" s="948" t="s">
        <v>774</v>
      </c>
      <c r="C68" s="301">
        <f ca="1">ROUND(C67*(1-((1+F70)/(1+F68))^F69)/(F68-F70),0)</f>
        <v>-17810</v>
      </c>
      <c r="D68" s="965" t="s">
        <v>758</v>
      </c>
      <c r="E68" s="950" t="s">
        <v>759</v>
      </c>
      <c r="F68" s="312">
        <f ca="1">F40</f>
        <v>5.5E-2</v>
      </c>
      <c r="O68" s="1427" t="s">
        <v>406</v>
      </c>
      <c r="P68" s="1466" t="s">
        <v>871</v>
      </c>
      <c r="Q68" s="1419">
        <f ca="1">ROUND(Q69-Q70*Q71,0)</f>
        <v>119714</v>
      </c>
      <c r="R68" s="1419" t="s">
        <v>414</v>
      </c>
    </row>
    <row r="69" spans="1:18" s="1383" customFormat="1" ht="13.8" thickBot="1">
      <c r="A69" s="951"/>
      <c r="B69" s="952"/>
      <c r="C69" s="306"/>
      <c r="D69" s="970" t="s">
        <v>762</v>
      </c>
      <c r="E69" s="950" t="s">
        <v>763</v>
      </c>
      <c r="F69" s="333">
        <f ca="1">F41</f>
        <v>3.9</v>
      </c>
      <c r="O69" s="1427" t="s">
        <v>411</v>
      </c>
      <c r="P69" s="1466" t="s">
        <v>872</v>
      </c>
      <c r="Q69" s="1419">
        <f ca="1">C39</f>
        <v>166076</v>
      </c>
      <c r="R69" s="1419" t="s">
        <v>818</v>
      </c>
    </row>
    <row r="70" spans="1:18" s="1383" customFormat="1" ht="13.8" thickBot="1">
      <c r="A70" s="954"/>
      <c r="B70" s="955"/>
      <c r="C70" s="310"/>
      <c r="D70" s="966"/>
      <c r="E70" s="950" t="s">
        <v>766</v>
      </c>
      <c r="F70" s="1054"/>
      <c r="O70" s="1427" t="s">
        <v>412</v>
      </c>
      <c r="P70" s="1466" t="s">
        <v>873</v>
      </c>
      <c r="Q70" s="1419">
        <f ca="1">C13</f>
        <v>662321</v>
      </c>
      <c r="R70" s="1419" t="s">
        <v>818</v>
      </c>
    </row>
    <row r="71" spans="1:18" s="1383" customFormat="1" ht="13.8" thickBot="1">
      <c r="A71" s="971" t="s">
        <v>396</v>
      </c>
      <c r="B71" s="972" t="s">
        <v>776</v>
      </c>
      <c r="C71" s="336">
        <f ca="1">ROUND(C68/F71,0)</f>
        <v>-86</v>
      </c>
      <c r="D71" s="973" t="s">
        <v>777</v>
      </c>
      <c r="E71" s="974" t="s">
        <v>778</v>
      </c>
      <c r="F71" s="339">
        <f ca="1">F43</f>
        <v>207.28</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46362</v>
      </c>
      <c r="D75" s="1383"/>
      <c r="E75" s="1383"/>
      <c r="F75" s="1383"/>
      <c r="K75" s="1401"/>
      <c r="L75" s="1383"/>
      <c r="O75" s="1417" t="s">
        <v>409</v>
      </c>
      <c r="P75" s="1418" t="s">
        <v>838</v>
      </c>
      <c r="Q75" s="1419">
        <f ca="1">Q65+Q66</f>
        <v>1950863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-0.16399999999999992</v>
      </c>
    </row>
    <row r="83" spans="2:3">
      <c r="B83" s="273" t="s">
        <v>803</v>
      </c>
      <c r="C83" s="274">
        <f ca="1">ROUND(C13/C40,3)</f>
        <v>1.1639999999999999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2" customHeight="1">
      <c r="A2" s="1384" t="s">
        <v>2319</v>
      </c>
      <c r="B2" s="2842" t="e">
        <f>IF(D2="——",C40,C40+E2)</f>
        <v>#DIV/0!</v>
      </c>
      <c r="C2" s="2843" t="s">
        <v>2320</v>
      </c>
      <c r="D2" s="3442" t="s">
        <v>3362</v>
      </c>
      <c r="E2" s="3443"/>
      <c r="F2" s="2845"/>
      <c r="G2" s="2846"/>
      <c r="H2" s="2847"/>
      <c r="I2" s="2848"/>
      <c r="J2" s="3685" t="s">
        <v>2321</v>
      </c>
      <c r="K2" s="3686"/>
      <c r="L2" s="2849" t="s">
        <v>2322</v>
      </c>
      <c r="M2" s="2849" t="s">
        <v>2323</v>
      </c>
      <c r="N2" s="2849" t="s">
        <v>2324</v>
      </c>
      <c r="O2" s="2849" t="s">
        <v>2325</v>
      </c>
      <c r="P2" s="2849" t="s">
        <v>2326</v>
      </c>
      <c r="Q2" s="2850" t="s">
        <v>2327</v>
      </c>
      <c r="R2" s="2851" t="s">
        <v>2328</v>
      </c>
      <c r="S2" s="2840"/>
      <c r="T2" s="2840"/>
      <c r="U2" s="2840"/>
      <c r="V2" s="2848"/>
    </row>
    <row r="3" spans="1:22" s="2852" customFormat="1" ht="13.2" customHeight="1">
      <c r="A3" s="2853" t="s">
        <v>2329</v>
      </c>
      <c r="B3" s="2854" t="e">
        <f>ROUND(B2*10000/B4,0)</f>
        <v>#DIV/0!</v>
      </c>
      <c r="C3" s="2843" t="s">
        <v>2330</v>
      </c>
      <c r="D3" s="2843"/>
      <c r="E3" s="2844"/>
      <c r="F3" s="2845"/>
      <c r="G3" s="2846"/>
      <c r="H3" s="2847"/>
      <c r="I3" s="2848"/>
      <c r="J3" s="3687" t="s">
        <v>2331</v>
      </c>
      <c r="K3" s="3688"/>
      <c r="L3" s="2855"/>
      <c r="M3" s="2855"/>
      <c r="N3" s="2855"/>
      <c r="O3" s="2855"/>
      <c r="P3" s="2855"/>
      <c r="Q3" s="2856"/>
      <c r="R3" s="2857">
        <f>SUM(L3:Q3)</f>
        <v>0</v>
      </c>
      <c r="S3" s="2840"/>
      <c r="T3" s="2840"/>
      <c r="U3" s="2840"/>
      <c r="V3" s="2848"/>
    </row>
    <row r="4" spans="1:22" s="2852" customFormat="1" ht="13.2" customHeight="1">
      <c r="A4" s="2858" t="s">
        <v>2332</v>
      </c>
      <c r="B4" s="2859"/>
      <c r="C4" s="2843"/>
      <c r="D4" s="2843"/>
      <c r="E4" s="2844"/>
      <c r="F4" s="2845"/>
      <c r="G4" s="2846"/>
      <c r="H4" s="2847"/>
      <c r="I4" s="2848"/>
      <c r="J4" s="3687" t="s">
        <v>2333</v>
      </c>
      <c r="K4" s="3688"/>
      <c r="L4" s="2860"/>
      <c r="M4" s="2860"/>
      <c r="N4" s="2860"/>
      <c r="O4" s="2860"/>
      <c r="P4" s="2860"/>
      <c r="Q4" s="2861"/>
      <c r="R4" s="2862">
        <f>SUM(L4:Q4)</f>
        <v>0</v>
      </c>
      <c r="S4" s="2840"/>
      <c r="T4" s="2840"/>
      <c r="U4" s="2840"/>
      <c r="V4" s="2848"/>
    </row>
    <row r="5" spans="1:22" s="2852" customFormat="1" ht="13.2"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2" customHeight="1" thickBot="1">
      <c r="A6" s="3689" t="s">
        <v>2337</v>
      </c>
      <c r="B6" s="3690"/>
      <c r="C6" s="3691"/>
      <c r="D6" s="2869"/>
      <c r="E6" s="2870"/>
      <c r="F6" s="2871"/>
      <c r="G6" s="2872"/>
      <c r="H6" s="2847"/>
      <c r="I6" s="2848"/>
      <c r="J6" s="3692">
        <v>1</v>
      </c>
      <c r="K6" s="3693"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2" customHeight="1">
      <c r="A7" s="2875" t="s">
        <v>2347</v>
      </c>
      <c r="B7" s="2876"/>
      <c r="C7" s="2877"/>
      <c r="D7" s="2878">
        <f>SUM(D9,D10,D11,D17,0)</f>
        <v>0</v>
      </c>
      <c r="E7" s="2879" t="e">
        <f>E9+E10+E11+E17</f>
        <v>#DIV/0!</v>
      </c>
      <c r="F7" s="2880"/>
      <c r="G7" s="2881"/>
      <c r="H7" s="2847"/>
      <c r="I7" s="2848"/>
      <c r="J7" s="3692"/>
      <c r="K7" s="3694"/>
      <c r="L7" s="2882" t="s">
        <v>2348</v>
      </c>
      <c r="M7" s="2883"/>
      <c r="N7" s="2859"/>
      <c r="O7" s="2884"/>
      <c r="P7" s="2884"/>
      <c r="Q7" s="2885">
        <v>365</v>
      </c>
      <c r="R7" s="2886">
        <f>ROUND(M7*N7*O7*P7*Q7/10000,0)</f>
        <v>0</v>
      </c>
      <c r="S7" s="2840"/>
      <c r="T7" s="2840" t="s">
        <v>2349</v>
      </c>
      <c r="U7" s="2840"/>
      <c r="V7" s="2848"/>
    </row>
    <row r="8" spans="1:22" s="2852" customFormat="1" ht="13.2" customHeight="1">
      <c r="A8" s="2887" t="s">
        <v>2350</v>
      </c>
      <c r="B8" s="3696" t="s">
        <v>2351</v>
      </c>
      <c r="C8" s="3697"/>
      <c r="D8" s="2888" t="s">
        <v>2352</v>
      </c>
      <c r="E8" s="2889" t="s">
        <v>2353</v>
      </c>
      <c r="F8" s="2890" t="s">
        <v>2354</v>
      </c>
      <c r="G8" s="2891"/>
      <c r="H8" s="2847"/>
      <c r="I8" s="2848"/>
      <c r="J8" s="3692"/>
      <c r="K8" s="3694"/>
      <c r="L8" s="2882" t="s">
        <v>2355</v>
      </c>
      <c r="M8" s="2883"/>
      <c r="N8" s="2859"/>
      <c r="O8" s="2884"/>
      <c r="P8" s="2884"/>
      <c r="Q8" s="2885">
        <v>365</v>
      </c>
      <c r="R8" s="2886">
        <f t="shared" ref="R8:R13" si="0">ROUND(M8*N8*O8*P8*Q8/10000,0)</f>
        <v>0</v>
      </c>
      <c r="S8" s="2840"/>
      <c r="T8" s="2840" t="s">
        <v>2356</v>
      </c>
      <c r="U8" s="2840"/>
      <c r="V8" s="2848"/>
    </row>
    <row r="9" spans="1:22" s="2852" customFormat="1" ht="13.2" customHeight="1">
      <c r="A9" s="2887">
        <v>1</v>
      </c>
      <c r="B9" s="3696" t="s">
        <v>2357</v>
      </c>
      <c r="C9" s="3697"/>
      <c r="D9" s="2888">
        <f>ROUND(D6*E9,0)</f>
        <v>0</v>
      </c>
      <c r="E9" s="2892"/>
      <c r="F9" s="2893" t="s">
        <v>2358</v>
      </c>
      <c r="G9" s="2872"/>
      <c r="H9" s="2847"/>
      <c r="I9" s="2848"/>
      <c r="J9" s="3692"/>
      <c r="K9" s="3694"/>
      <c r="L9" s="2882" t="s">
        <v>2359</v>
      </c>
      <c r="M9" s="2883"/>
      <c r="N9" s="2859"/>
      <c r="O9" s="2884"/>
      <c r="P9" s="2884"/>
      <c r="Q9" s="2885">
        <v>365</v>
      </c>
      <c r="R9" s="2886">
        <f t="shared" si="0"/>
        <v>0</v>
      </c>
      <c r="S9" s="2840"/>
      <c r="T9" s="2840"/>
      <c r="U9" s="2840"/>
      <c r="V9" s="2848"/>
    </row>
    <row r="10" spans="1:22" s="2852" customFormat="1" ht="13.2" customHeight="1">
      <c r="A10" s="2887">
        <v>2</v>
      </c>
      <c r="B10" s="3696" t="s">
        <v>2360</v>
      </c>
      <c r="C10" s="3697"/>
      <c r="D10" s="2888">
        <f>ROUND(D6*E10,0)</f>
        <v>0</v>
      </c>
      <c r="E10" s="2892"/>
      <c r="F10" s="2893" t="s">
        <v>2361</v>
      </c>
      <c r="G10" s="2872"/>
      <c r="H10" s="2847"/>
      <c r="I10" s="2848"/>
      <c r="J10" s="3692"/>
      <c r="K10" s="3694"/>
      <c r="L10" s="2882" t="s">
        <v>2362</v>
      </c>
      <c r="M10" s="2883"/>
      <c r="N10" s="2859"/>
      <c r="O10" s="2884"/>
      <c r="P10" s="2884"/>
      <c r="Q10" s="2885">
        <v>365</v>
      </c>
      <c r="R10" s="2886">
        <f t="shared" si="0"/>
        <v>0</v>
      </c>
      <c r="S10" s="2840"/>
      <c r="T10" s="2840"/>
      <c r="U10" s="2840"/>
      <c r="V10" s="2848"/>
    </row>
    <row r="11" spans="1:22" s="2852" customFormat="1" ht="13.2" customHeight="1">
      <c r="A11" s="2887">
        <v>3</v>
      </c>
      <c r="B11" s="3696" t="s">
        <v>2363</v>
      </c>
      <c r="C11" s="3697"/>
      <c r="D11" s="2888">
        <f>D12+D14+D15+D16</f>
        <v>0</v>
      </c>
      <c r="E11" s="2894" t="e">
        <f>D11/D6</f>
        <v>#DIV/0!</v>
      </c>
      <c r="F11" s="2890"/>
      <c r="G11" s="2891"/>
      <c r="H11" s="2847"/>
      <c r="I11" s="2848"/>
      <c r="J11" s="3692"/>
      <c r="K11" s="3694"/>
      <c r="L11" s="2882" t="s">
        <v>2364</v>
      </c>
      <c r="M11" s="2883"/>
      <c r="N11" s="2859"/>
      <c r="O11" s="2884"/>
      <c r="P11" s="2884"/>
      <c r="Q11" s="2885">
        <v>365</v>
      </c>
      <c r="R11" s="2886">
        <f t="shared" si="0"/>
        <v>0</v>
      </c>
      <c r="S11" s="2840"/>
      <c r="T11" s="2840"/>
      <c r="U11" s="2840"/>
      <c r="V11" s="2848"/>
    </row>
    <row r="12" spans="1:22" s="2852" customFormat="1" ht="13.2" customHeight="1">
      <c r="A12" s="2895" t="s">
        <v>2365</v>
      </c>
      <c r="B12" s="3698" t="s">
        <v>2366</v>
      </c>
      <c r="C12" s="3699"/>
      <c r="D12" s="2896">
        <f>ROUND(D13*1.2%*(1-30%),0)</f>
        <v>0</v>
      </c>
      <c r="E12" s="2897">
        <v>1.2E-2</v>
      </c>
      <c r="F12" s="2890" t="s">
        <v>2367</v>
      </c>
      <c r="G12" s="2891"/>
      <c r="H12" s="2847"/>
      <c r="I12" s="2848"/>
      <c r="J12" s="3692"/>
      <c r="K12" s="3694"/>
      <c r="L12" s="2882" t="s">
        <v>2368</v>
      </c>
      <c r="M12" s="2883"/>
      <c r="N12" s="2859"/>
      <c r="O12" s="2884"/>
      <c r="P12" s="2884"/>
      <c r="Q12" s="2885">
        <v>365</v>
      </c>
      <c r="R12" s="2886">
        <f t="shared" si="0"/>
        <v>0</v>
      </c>
      <c r="S12" s="2840"/>
      <c r="T12" s="2840"/>
      <c r="U12" s="2840"/>
      <c r="V12" s="2848"/>
    </row>
    <row r="13" spans="1:22" s="2852" customFormat="1" ht="13.2" customHeight="1">
      <c r="A13" s="2895"/>
      <c r="B13" s="2898"/>
      <c r="C13" s="2899" t="s">
        <v>2369</v>
      </c>
      <c r="D13" s="2900"/>
      <c r="E13" s="2901"/>
      <c r="F13" s="2890"/>
      <c r="G13" s="2891"/>
      <c r="H13" s="2847"/>
      <c r="I13" s="2848"/>
      <c r="J13" s="3692"/>
      <c r="K13" s="3694"/>
      <c r="L13" s="2882" t="s">
        <v>2370</v>
      </c>
      <c r="M13" s="2883"/>
      <c r="N13" s="2859"/>
      <c r="O13" s="2884"/>
      <c r="P13" s="2884"/>
      <c r="Q13" s="2885">
        <v>365</v>
      </c>
      <c r="R13" s="2886">
        <f t="shared" si="0"/>
        <v>0</v>
      </c>
      <c r="S13" s="2840"/>
      <c r="T13" s="2840"/>
      <c r="U13" s="2840"/>
      <c r="V13" s="2848"/>
    </row>
    <row r="14" spans="1:22" s="2852" customFormat="1" ht="13.2" customHeight="1">
      <c r="A14" s="2895" t="s">
        <v>2371</v>
      </c>
      <c r="B14" s="3698" t="s">
        <v>2372</v>
      </c>
      <c r="C14" s="3699"/>
      <c r="D14" s="2896">
        <f>ROUND(E14*B5/10000,0)</f>
        <v>0</v>
      </c>
      <c r="E14" s="2885"/>
      <c r="F14" s="2890" t="s">
        <v>2373</v>
      </c>
      <c r="G14" s="2891"/>
      <c r="H14" s="2847"/>
      <c r="I14" s="2848"/>
      <c r="J14" s="3692"/>
      <c r="K14" s="3695"/>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2375</v>
      </c>
      <c r="B15" s="3698" t="s">
        <v>2376</v>
      </c>
      <c r="C15" s="3699"/>
      <c r="D15" s="2896">
        <f>ROUND(D6*E15,0)</f>
        <v>0</v>
      </c>
      <c r="E15" s="2897">
        <v>5.5E-2</v>
      </c>
      <c r="F15" s="2890" t="s">
        <v>2377</v>
      </c>
      <c r="G15" s="2872"/>
      <c r="H15" s="2847"/>
      <c r="I15" s="2848"/>
      <c r="J15" s="3692">
        <v>2</v>
      </c>
      <c r="K15" s="3693"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2" customHeight="1">
      <c r="A16" s="2895" t="s">
        <v>2384</v>
      </c>
      <c r="B16" s="3698" t="s">
        <v>2385</v>
      </c>
      <c r="C16" s="3699"/>
      <c r="D16" s="2907">
        <f>D6*E16</f>
        <v>0</v>
      </c>
      <c r="E16" s="2908"/>
      <c r="F16" s="2893" t="s">
        <v>2386</v>
      </c>
      <c r="G16" s="2872"/>
      <c r="H16" s="2847"/>
      <c r="I16" s="2848"/>
      <c r="J16" s="3692"/>
      <c r="K16" s="3694"/>
      <c r="L16" s="2882" t="s">
        <v>2387</v>
      </c>
      <c r="M16" s="2883"/>
      <c r="N16" s="2883"/>
      <c r="O16" s="2884"/>
      <c r="P16" s="2885">
        <v>365</v>
      </c>
      <c r="Q16" s="2859"/>
      <c r="R16" s="2906">
        <f>ROUND(M16*N16*O16*P16/10000,0)</f>
        <v>0</v>
      </c>
      <c r="S16" s="2840"/>
      <c r="T16" s="2840"/>
      <c r="U16" s="2840"/>
      <c r="V16" s="2848"/>
    </row>
    <row r="17" spans="1:22" s="2852" customFormat="1" ht="13.2" customHeight="1" thickBot="1">
      <c r="A17" s="2909">
        <v>4</v>
      </c>
      <c r="B17" s="3700" t="s">
        <v>2388</v>
      </c>
      <c r="C17" s="3701"/>
      <c r="D17" s="2910">
        <f>ROUND(D6*E17,0)</f>
        <v>0</v>
      </c>
      <c r="E17" s="2911"/>
      <c r="F17" s="2912" t="s">
        <v>2389</v>
      </c>
      <c r="G17" s="2872"/>
      <c r="H17" s="2847"/>
      <c r="I17" s="2848"/>
      <c r="J17" s="3692"/>
      <c r="K17" s="3694"/>
      <c r="L17" s="2882" t="s">
        <v>2390</v>
      </c>
      <c r="M17" s="2883"/>
      <c r="N17" s="2883"/>
      <c r="O17" s="2884"/>
      <c r="P17" s="2885">
        <v>365</v>
      </c>
      <c r="Q17" s="2859"/>
      <c r="R17" s="2906">
        <f>ROUND(M17*N17*O17*P17/10000,0)</f>
        <v>0</v>
      </c>
      <c r="S17" s="2840"/>
      <c r="T17" s="2840"/>
      <c r="U17" s="2840"/>
      <c r="V17" s="2848"/>
    </row>
    <row r="18" spans="1:22" s="2852" customFormat="1" ht="13.2" customHeight="1" thickBot="1">
      <c r="A18" s="2875" t="s">
        <v>2391</v>
      </c>
      <c r="B18" s="2876"/>
      <c r="C18" s="2876"/>
      <c r="D18" s="2913">
        <f>ROUND(D6*E18,0)</f>
        <v>0</v>
      </c>
      <c r="E18" s="2914"/>
      <c r="F18" s="2915" t="s">
        <v>2392</v>
      </c>
      <c r="G18" s="2872"/>
      <c r="H18" s="2847"/>
      <c r="I18" s="2848"/>
      <c r="J18" s="3692"/>
      <c r="K18" s="3694"/>
      <c r="L18" s="2882" t="s">
        <v>2393</v>
      </c>
      <c r="M18" s="2883"/>
      <c r="N18" s="2883"/>
      <c r="O18" s="2884"/>
      <c r="P18" s="2885">
        <v>365</v>
      </c>
      <c r="Q18" s="2859"/>
      <c r="R18" s="2906">
        <f>ROUND(M18*N18*O18*P18/10000,0)</f>
        <v>0</v>
      </c>
      <c r="S18" s="2840"/>
      <c r="T18" s="2840"/>
      <c r="U18" s="2840"/>
      <c r="V18" s="2848"/>
    </row>
    <row r="19" spans="1:22" s="2852" customFormat="1" ht="13.2" customHeight="1" thickBot="1">
      <c r="A19" s="2916" t="s">
        <v>2394</v>
      </c>
      <c r="B19" s="2870"/>
      <c r="C19" s="2870"/>
      <c r="D19" s="2870"/>
      <c r="E19" s="2870"/>
      <c r="F19" s="2871"/>
      <c r="G19" s="2891"/>
      <c r="H19" s="2847"/>
      <c r="I19" s="2848"/>
      <c r="J19" s="3692"/>
      <c r="K19" s="3695"/>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92">
        <v>3</v>
      </c>
      <c r="K20" s="3693"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2" customHeight="1">
      <c r="A21" s="2875"/>
      <c r="B21" s="2876"/>
      <c r="C21" s="2922" t="s">
        <v>2403</v>
      </c>
      <c r="D21" s="2923" t="s">
        <v>2404</v>
      </c>
      <c r="E21" s="2924" t="s">
        <v>2405</v>
      </c>
      <c r="F21" s="2919"/>
      <c r="G21" s="2891"/>
      <c r="H21" s="2847"/>
      <c r="I21" s="2848"/>
      <c r="J21" s="3692"/>
      <c r="K21" s="3694"/>
      <c r="L21" s="2882" t="s">
        <v>2406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2407</v>
      </c>
      <c r="D22" s="2927" t="s">
        <v>2408</v>
      </c>
      <c r="E22" s="2928" t="s">
        <v>2409</v>
      </c>
      <c r="F22" s="2919"/>
      <c r="G22" s="2929"/>
      <c r="H22" s="2847"/>
      <c r="I22" s="2848"/>
      <c r="J22" s="3692"/>
      <c r="K22" s="3694"/>
      <c r="L22" s="2882" t="s">
        <v>2410</v>
      </c>
      <c r="M22" s="2883"/>
      <c r="N22" s="2883"/>
      <c r="O22" s="2884"/>
      <c r="P22" s="2885">
        <v>365</v>
      </c>
      <c r="Q22" s="2859"/>
      <c r="R22" s="2925">
        <f>ROUND(M22*N22*O22*P22/10000,0)</f>
        <v>0</v>
      </c>
      <c r="S22" s="2921"/>
      <c r="T22" s="2921"/>
      <c r="U22" s="2921"/>
      <c r="V22" s="2848"/>
    </row>
    <row r="23" spans="1:22" s="2852" customFormat="1" ht="13.2" customHeight="1">
      <c r="A23" s="2930">
        <v>1</v>
      </c>
      <c r="B23" s="2931" t="s">
        <v>2411</v>
      </c>
      <c r="C23" s="2932">
        <f>D6</f>
        <v>0</v>
      </c>
      <c r="D23" s="2933">
        <f>C23*(1+D24)</f>
        <v>0</v>
      </c>
      <c r="E23" s="2934">
        <f>D23*(1+E24)</f>
        <v>0</v>
      </c>
      <c r="F23" s="2935"/>
      <c r="G23" s="2936"/>
      <c r="H23" s="2847"/>
      <c r="I23" s="2848"/>
      <c r="J23" s="3692"/>
      <c r="K23" s="3694"/>
      <c r="L23" s="2882" t="s">
        <v>2412</v>
      </c>
      <c r="M23" s="2883"/>
      <c r="N23" s="2883"/>
      <c r="O23" s="2884"/>
      <c r="P23" s="2885">
        <v>365</v>
      </c>
      <c r="Q23" s="2859"/>
      <c r="R23" s="2925">
        <f>ROUND(M23*N23*O23*P23/10000,0)</f>
        <v>0</v>
      </c>
      <c r="S23" s="2840"/>
      <c r="T23" s="2840"/>
      <c r="U23" s="2840"/>
      <c r="V23" s="2848"/>
    </row>
    <row r="24" spans="1:22" s="2852" customFormat="1" ht="13.2" customHeight="1">
      <c r="A24" s="2937"/>
      <c r="B24" s="2938" t="s">
        <v>2413</v>
      </c>
      <c r="C24" s="2939"/>
      <c r="D24" s="2940"/>
      <c r="E24" s="2941"/>
      <c r="F24" s="2942"/>
      <c r="G24" s="2936"/>
      <c r="H24" s="2847"/>
      <c r="I24" s="2848"/>
      <c r="J24" s="3692"/>
      <c r="K24" s="3695"/>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2" customHeight="1">
      <c r="A26" s="2930">
        <v>2</v>
      </c>
      <c r="B26" s="2931" t="s">
        <v>2415</v>
      </c>
      <c r="C26" s="2932">
        <f>D7</f>
        <v>0</v>
      </c>
      <c r="D26" s="2933">
        <f>D23*D27</f>
        <v>0</v>
      </c>
      <c r="E26" s="2934">
        <f>E23*E27</f>
        <v>0</v>
      </c>
      <c r="F26" s="2935"/>
      <c r="G26" s="2936"/>
      <c r="H26" s="2847"/>
      <c r="I26" s="2848"/>
      <c r="J26" s="3702">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2" customHeight="1">
      <c r="A27" s="2937"/>
      <c r="B27" s="2938" t="s">
        <v>2421</v>
      </c>
      <c r="C27" s="2956" t="e">
        <f>E7</f>
        <v>#DIV/0!</v>
      </c>
      <c r="D27" s="2940"/>
      <c r="E27" s="2941"/>
      <c r="F27" s="2942"/>
      <c r="G27" s="2936"/>
      <c r="H27" s="2957"/>
      <c r="I27" s="2948"/>
      <c r="J27" s="3703"/>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2"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2" customHeight="1">
      <c r="A32" s="2930">
        <v>4</v>
      </c>
      <c r="B32" s="2931" t="s">
        <v>2429</v>
      </c>
      <c r="C32" s="2932">
        <f>C23-C26-C29</f>
        <v>0</v>
      </c>
      <c r="D32" s="2933">
        <f>D23-D26-D29</f>
        <v>0</v>
      </c>
      <c r="E32" s="2934">
        <f>E23-E26-E29</f>
        <v>0</v>
      </c>
      <c r="F32" s="2935"/>
      <c r="G32" s="2929"/>
      <c r="H32" s="2847"/>
      <c r="I32" s="2848"/>
      <c r="J32" s="3685" t="s">
        <v>2321</v>
      </c>
      <c r="K32" s="3686"/>
      <c r="L32" s="2849" t="s">
        <v>2322</v>
      </c>
      <c r="M32" s="2849" t="s">
        <v>2323</v>
      </c>
      <c r="N32" s="2849" t="s">
        <v>2324</v>
      </c>
      <c r="O32" s="2849" t="s">
        <v>2325</v>
      </c>
      <c r="P32" s="2849" t="s">
        <v>2326</v>
      </c>
      <c r="Q32" s="2850" t="s">
        <v>2327</v>
      </c>
      <c r="R32" s="2972" t="s">
        <v>2328</v>
      </c>
      <c r="S32" s="2921"/>
      <c r="T32" s="2840"/>
      <c r="U32" s="2840"/>
      <c r="V32" s="2948"/>
    </row>
    <row r="33" spans="1:23" s="2852" customFormat="1" ht="13.2" customHeight="1">
      <c r="A33" s="2930"/>
      <c r="B33" s="2931"/>
      <c r="C33" s="2932"/>
      <c r="D33" s="2973"/>
      <c r="E33" s="2974"/>
      <c r="F33" s="2935"/>
      <c r="G33" s="2929"/>
      <c r="H33" s="2957"/>
      <c r="I33" s="2948"/>
      <c r="J33" s="3687" t="s">
        <v>2331</v>
      </c>
      <c r="K33" s="3688"/>
      <c r="L33" s="2855"/>
      <c r="M33" s="2855"/>
      <c r="N33" s="2855"/>
      <c r="O33" s="2855"/>
      <c r="P33" s="2855"/>
      <c r="Q33" s="2856"/>
      <c r="R33" s="2975">
        <f>SUM(L33:Q33)</f>
        <v>0</v>
      </c>
      <c r="S33" s="2921"/>
      <c r="T33" s="2840"/>
      <c r="U33" s="2840"/>
      <c r="V33" s="2848"/>
    </row>
    <row r="34" spans="1:23" s="2852" customFormat="1" ht="13.2" customHeight="1">
      <c r="A34" s="2930">
        <v>5</v>
      </c>
      <c r="B34" s="2931" t="s">
        <v>2430</v>
      </c>
      <c r="C34" s="2976"/>
      <c r="D34" s="2977"/>
      <c r="E34" s="2978"/>
      <c r="F34" s="2935"/>
      <c r="G34" s="2929"/>
      <c r="H34" s="2957"/>
      <c r="I34" s="2948"/>
      <c r="J34" s="3687" t="s">
        <v>2333</v>
      </c>
      <c r="K34" s="3688"/>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2" customHeight="1" thickBot="1">
      <c r="A36" s="2930">
        <v>7</v>
      </c>
      <c r="B36" s="2985" t="s">
        <v>2432</v>
      </c>
      <c r="C36" s="2986"/>
      <c r="D36" s="2987"/>
      <c r="E36" s="2988"/>
      <c r="F36" s="2989">
        <f>C36+D36+E36</f>
        <v>0</v>
      </c>
      <c r="G36" s="2929"/>
      <c r="H36" s="2847"/>
      <c r="I36" s="2848"/>
      <c r="J36" s="3692">
        <v>1</v>
      </c>
      <c r="K36" s="3693" t="s">
        <v>2433</v>
      </c>
      <c r="L36" s="2873"/>
      <c r="M36" s="2874"/>
      <c r="N36" s="2874"/>
      <c r="O36" s="2874"/>
      <c r="P36" s="2874"/>
      <c r="Q36" s="2874"/>
      <c r="R36" s="2857" t="s">
        <v>2345</v>
      </c>
      <c r="S36" s="2921"/>
      <c r="T36" s="2840" t="s">
        <v>2346</v>
      </c>
      <c r="U36" s="2840"/>
      <c r="V36" s="2848"/>
    </row>
    <row r="37" spans="1:23" s="2852" customFormat="1" ht="13.2" customHeight="1">
      <c r="A37" s="2930"/>
      <c r="B37" s="2931"/>
      <c r="C37" s="2931"/>
      <c r="D37" s="2931"/>
      <c r="E37" s="2931"/>
      <c r="F37" s="2935"/>
      <c r="G37" s="2929"/>
      <c r="H37" s="2847"/>
      <c r="I37" s="2848"/>
      <c r="J37" s="3692"/>
      <c r="K37" s="3694"/>
      <c r="L37" s="2882"/>
      <c r="M37" s="2883"/>
      <c r="N37" s="2859"/>
      <c r="O37" s="2884"/>
      <c r="P37" s="2884"/>
      <c r="Q37" s="2885"/>
      <c r="R37" s="2886"/>
      <c r="S37" s="2921"/>
      <c r="T37" s="2840" t="s">
        <v>2349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92"/>
      <c r="K38" s="3694"/>
      <c r="L38" s="2882"/>
      <c r="M38" s="2883"/>
      <c r="N38" s="2859"/>
      <c r="O38" s="2884"/>
      <c r="P38" s="2884"/>
      <c r="Q38" s="2885"/>
      <c r="R38" s="2886"/>
      <c r="S38" s="2921"/>
      <c r="T38" s="2840" t="s">
        <v>2356</v>
      </c>
      <c r="U38" s="2840"/>
      <c r="V38" s="2848"/>
    </row>
    <row r="39" spans="1:23" s="2852" customFormat="1" ht="13.2" customHeight="1">
      <c r="A39" s="2930">
        <v>9</v>
      </c>
      <c r="B39" s="2931" t="s">
        <v>2434</v>
      </c>
      <c r="C39" s="2896" t="e">
        <f>C38</f>
        <v>#DIV/0!</v>
      </c>
      <c r="D39" s="2931">
        <f>D38/(1+D34)^C36</f>
        <v>0</v>
      </c>
      <c r="E39" s="2931">
        <f>E38/(1+E34)^(C36+D36)</f>
        <v>0</v>
      </c>
      <c r="F39" s="2935"/>
      <c r="G39" s="2990"/>
      <c r="H39" s="2847"/>
      <c r="I39" s="2848"/>
      <c r="J39" s="3692"/>
      <c r="K39" s="3694"/>
      <c r="L39" s="2882"/>
      <c r="M39" s="2883"/>
      <c r="N39" s="2859"/>
      <c r="O39" s="2884"/>
      <c r="P39" s="2884"/>
      <c r="Q39" s="2885"/>
      <c r="R39" s="2886"/>
      <c r="S39" s="2921"/>
      <c r="T39" s="2840"/>
      <c r="U39" s="2840"/>
      <c r="V39" s="2848"/>
    </row>
    <row r="40" spans="1:23" s="2852" customFormat="1" ht="13.2" customHeight="1">
      <c r="A40" s="2991">
        <v>10</v>
      </c>
      <c r="B40" s="2931" t="s">
        <v>2435</v>
      </c>
      <c r="C40" s="2992" t="e">
        <f>C39+D39+E39</f>
        <v>#DIV/0!</v>
      </c>
      <c r="D40" s="2993"/>
      <c r="E40" s="2993"/>
      <c r="F40" s="2994"/>
      <c r="G40" s="2929"/>
      <c r="H40" s="2847"/>
      <c r="I40" s="2848"/>
      <c r="J40" s="3692"/>
      <c r="K40" s="3695"/>
      <c r="L40" s="2902" t="s">
        <v>2374</v>
      </c>
      <c r="M40" s="2903"/>
      <c r="N40" s="2903"/>
      <c r="O40" s="2904"/>
      <c r="P40" s="2904"/>
      <c r="Q40" s="2905"/>
      <c r="R40" s="2851">
        <f>SUM(R37:R39)</f>
        <v>0</v>
      </c>
      <c r="S40" s="2921"/>
      <c r="T40" s="2840"/>
      <c r="U40" s="2840"/>
      <c r="V40" s="2848"/>
    </row>
    <row r="41" spans="1:23" s="2852" customFormat="1" ht="13.2"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2" customHeight="1">
      <c r="G42" s="2999"/>
      <c r="H42" s="2847"/>
      <c r="I42" s="2848"/>
      <c r="J42" s="3702">
        <v>3</v>
      </c>
      <c r="K42" s="2950" t="s">
        <v>2416</v>
      </c>
      <c r="L42" s="2951"/>
      <c r="M42" s="2952"/>
      <c r="N42" s="2953" t="s">
        <v>2417</v>
      </c>
      <c r="O42" s="2953" t="s">
        <v>2418</v>
      </c>
      <c r="P42" s="2954" t="s">
        <v>2419</v>
      </c>
      <c r="Q42" s="2954" t="s">
        <v>2420</v>
      </c>
      <c r="R42" s="2857" t="s">
        <v>2345</v>
      </c>
      <c r="S42" s="2955"/>
      <c r="T42" s="2955"/>
      <c r="U42" s="2840"/>
      <c r="V42" s="2848"/>
    </row>
    <row r="43" spans="1:23" ht="13.2" customHeight="1">
      <c r="A43" s="2852"/>
      <c r="B43" s="2852"/>
      <c r="C43" s="2852"/>
      <c r="D43" s="2852"/>
      <c r="E43" s="2852"/>
      <c r="F43" s="2852"/>
      <c r="I43" s="2835"/>
      <c r="J43" s="3703"/>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205.59299999999999</v>
      </c>
      <c r="C2" s="1871" t="s">
        <v>1651</v>
      </c>
      <c r="D2" s="1872" t="s">
        <v>1652</v>
      </c>
      <c r="E2" s="2606">
        <f>SUM(E6:E13)</f>
        <v>207.28</v>
      </c>
      <c r="F2" s="2706"/>
      <c r="G2" s="1488"/>
      <c r="H2" s="1488"/>
      <c r="I2" s="1488"/>
      <c r="J2" s="1488"/>
      <c r="K2" s="1488"/>
      <c r="L2" s="1488"/>
      <c r="M2" s="1488"/>
      <c r="N2" s="1488"/>
      <c r="O2" s="1488"/>
      <c r="P2" s="1488"/>
      <c r="Q2" s="1488"/>
      <c r="R2" s="1488"/>
      <c r="S2" s="1488"/>
    </row>
    <row r="3" spans="1:22" ht="15.6">
      <c r="A3" s="1869" t="s">
        <v>686</v>
      </c>
      <c r="B3" s="2600">
        <f ca="1">ROUND(B2*10000/E2,0)</f>
        <v>9919</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704" t="s">
        <v>1654</v>
      </c>
      <c r="C5" s="3705"/>
      <c r="D5" s="2707"/>
      <c r="E5" s="1873" t="s">
        <v>1655</v>
      </c>
      <c r="F5" s="1874" t="s">
        <v>1656</v>
      </c>
      <c r="G5" s="1488"/>
      <c r="H5" s="1488"/>
      <c r="I5" s="1488"/>
      <c r="J5" s="1488"/>
      <c r="K5" s="1488"/>
      <c r="L5" s="1488"/>
      <c r="M5" s="1488"/>
      <c r="N5" s="1488"/>
      <c r="O5" s="1488"/>
      <c r="P5" s="1488"/>
      <c r="Q5" s="1488"/>
      <c r="R5" s="1488"/>
      <c r="S5" s="1488"/>
    </row>
    <row r="6" spans="1:22" ht="14.4">
      <c r="A6" s="2603" t="str">
        <f>'数据-取费表'!AN6</f>
        <v>收益法 (元)</v>
      </c>
      <c r="B6" s="2601">
        <f ca="1">IF(F6="是",'数据-取费表'!AO6,0)</f>
        <v>205.59299999999999</v>
      </c>
      <c r="C6" s="1871" t="s">
        <v>1651</v>
      </c>
      <c r="D6" s="2708"/>
      <c r="E6" s="2605">
        <f>IF(OR(A6=0,F6="否"),0,'数据-取费表'!K6+'数据-取费表'!S6)</f>
        <v>207.28</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207.28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4.4">
      <c r="A4" s="355" t="s">
        <v>1666</v>
      </c>
      <c r="B4" s="356"/>
      <c r="C4" s="3724" t="s">
        <v>1667</v>
      </c>
      <c r="D4" s="3725"/>
      <c r="E4" s="3726" t="s">
        <v>1668</v>
      </c>
      <c r="F4" s="3727"/>
      <c r="G4" s="3724" t="s">
        <v>1669</v>
      </c>
      <c r="H4" s="3725"/>
      <c r="I4" s="3724" t="s">
        <v>1670</v>
      </c>
      <c r="J4" s="3725"/>
      <c r="K4" s="1888" t="s">
        <v>1671</v>
      </c>
      <c r="L4" s="2714"/>
      <c r="M4" s="2715"/>
      <c r="N4" s="2715"/>
      <c r="O4" s="2715"/>
      <c r="P4" s="3728" t="s">
        <v>1672</v>
      </c>
      <c r="Q4" s="3729"/>
      <c r="R4" s="3711" t="s">
        <v>1668</v>
      </c>
      <c r="S4" s="3712"/>
      <c r="T4" s="3711" t="s">
        <v>1669</v>
      </c>
      <c r="U4" s="3712"/>
      <c r="V4" s="3736" t="s">
        <v>1670</v>
      </c>
      <c r="W4" s="3736"/>
      <c r="X4" s="1354"/>
      <c r="Y4" s="3711" t="s">
        <v>1672</v>
      </c>
      <c r="Z4" s="3712"/>
      <c r="AA4" s="3706" t="s">
        <v>1668</v>
      </c>
      <c r="AB4" s="3706" t="s">
        <v>1669</v>
      </c>
      <c r="AC4" s="3706" t="s">
        <v>1670</v>
      </c>
    </row>
    <row r="5" spans="1:29">
      <c r="A5" s="358"/>
      <c r="B5" s="359"/>
      <c r="C5" s="3717" t="s">
        <v>1673</v>
      </c>
      <c r="D5" s="3718"/>
      <c r="E5" s="3715" t="s">
        <v>1674</v>
      </c>
      <c r="F5" s="3716"/>
      <c r="G5" s="3717" t="s">
        <v>1675</v>
      </c>
      <c r="H5" s="3718"/>
      <c r="I5" s="3717" t="s">
        <v>1676</v>
      </c>
      <c r="J5" s="3718"/>
      <c r="K5" s="1889"/>
      <c r="L5" s="2714"/>
      <c r="M5" s="2715"/>
      <c r="N5" s="2715"/>
      <c r="O5" s="2715"/>
      <c r="P5" s="3730"/>
      <c r="Q5" s="3731"/>
      <c r="R5" s="3713"/>
      <c r="S5" s="3714"/>
      <c r="T5" s="3713"/>
      <c r="U5" s="3714"/>
      <c r="V5" s="3736"/>
      <c r="W5" s="3736"/>
      <c r="X5" s="1354"/>
      <c r="Y5" s="3713"/>
      <c r="Z5" s="3714"/>
      <c r="AA5" s="3707"/>
      <c r="AB5" s="3707"/>
      <c r="AC5" s="3707"/>
    </row>
    <row r="6" spans="1:29" ht="15" thickBot="1">
      <c r="A6" s="360"/>
      <c r="B6" s="361"/>
      <c r="C6" s="3719" t="s">
        <v>1677</v>
      </c>
      <c r="D6" s="3720"/>
      <c r="E6" s="3721" t="s">
        <v>1677</v>
      </c>
      <c r="F6" s="3722"/>
      <c r="G6" s="3719" t="s">
        <v>1677</v>
      </c>
      <c r="H6" s="3720"/>
      <c r="I6" s="3719" t="s">
        <v>1677</v>
      </c>
      <c r="J6" s="3720"/>
      <c r="K6" s="1889" t="s">
        <v>1678</v>
      </c>
      <c r="L6" s="2714"/>
      <c r="M6" s="2715"/>
      <c r="N6" s="2715"/>
      <c r="O6" s="2715"/>
      <c r="P6" s="3732"/>
      <c r="Q6" s="3733"/>
      <c r="R6" s="3713"/>
      <c r="S6" s="3714"/>
      <c r="T6" s="3734"/>
      <c r="U6" s="3735"/>
      <c r="V6" s="3736"/>
      <c r="W6" s="3736"/>
      <c r="X6" s="1354"/>
      <c r="Y6" s="3734"/>
      <c r="Z6" s="3735"/>
      <c r="AA6" s="3708"/>
      <c r="AB6" s="3708"/>
      <c r="AC6" s="3708"/>
    </row>
    <row r="7" spans="1:29" s="108" customFormat="1" ht="15" thickBot="1">
      <c r="A7" s="362" t="s">
        <v>1679</v>
      </c>
      <c r="B7" s="363"/>
      <c r="C7" s="364">
        <f>'数据-取费表'!B2</f>
        <v>45510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9" t="s">
        <v>1680</v>
      </c>
      <c r="Q7" s="3737"/>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3"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3"/>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3"/>
      <c r="Q11" s="1342" t="str">
        <f t="shared" si="6"/>
        <v>容积率</v>
      </c>
      <c r="R11" s="701" t="s">
        <v>18</v>
      </c>
      <c r="S11" s="702" t="e">
        <f t="shared" si="0"/>
        <v>#N/A</v>
      </c>
      <c r="T11" s="701" t="s">
        <v>18</v>
      </c>
      <c r="U11" s="702" t="e">
        <f t="shared" si="1"/>
        <v>#N/A</v>
      </c>
      <c r="V11" s="701" t="s">
        <v>18</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3"/>
      <c r="Q12" s="1342">
        <f t="shared" si="6"/>
        <v>111</v>
      </c>
      <c r="R12" s="701" t="s">
        <v>18</v>
      </c>
      <c r="S12" s="702">
        <f t="shared" si="0"/>
        <v>100</v>
      </c>
      <c r="T12" s="701" t="s">
        <v>18</v>
      </c>
      <c r="U12" s="702">
        <f t="shared" si="1"/>
        <v>100</v>
      </c>
      <c r="V12" s="701" t="s">
        <v>18</v>
      </c>
      <c r="W12" s="702">
        <f t="shared" si="2"/>
        <v>100</v>
      </c>
      <c r="X12" s="703"/>
      <c r="Y12" s="365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3"/>
      <c r="Q13" s="1342">
        <f t="shared" si="6"/>
        <v>111</v>
      </c>
      <c r="R13" s="701" t="s">
        <v>18</v>
      </c>
      <c r="S13" s="702">
        <f t="shared" si="0"/>
        <v>100</v>
      </c>
      <c r="T13" s="701" t="s">
        <v>18</v>
      </c>
      <c r="U13" s="702">
        <f t="shared" si="1"/>
        <v>100</v>
      </c>
      <c r="V13" s="701" t="s">
        <v>18</v>
      </c>
      <c r="W13" s="702">
        <f t="shared" si="2"/>
        <v>100</v>
      </c>
      <c r="X13" s="703"/>
      <c r="Y13" s="3653"/>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3"/>
      <c r="Q14" s="1342">
        <f t="shared" si="6"/>
        <v>111</v>
      </c>
      <c r="R14" s="701" t="s">
        <v>18</v>
      </c>
      <c r="S14" s="702">
        <f t="shared" si="0"/>
        <v>100</v>
      </c>
      <c r="T14" s="701" t="s">
        <v>18</v>
      </c>
      <c r="U14" s="702">
        <f t="shared" si="1"/>
        <v>100</v>
      </c>
      <c r="V14" s="701" t="s">
        <v>18</v>
      </c>
      <c r="W14" s="702">
        <f t="shared" si="2"/>
        <v>100</v>
      </c>
      <c r="X14" s="703"/>
      <c r="Y14" s="3653"/>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0" t="s">
        <v>1691</v>
      </c>
      <c r="Q15" s="1351" t="str">
        <f t="shared" si="6"/>
        <v>居住社区成熟度</v>
      </c>
      <c r="R15" s="705" t="s">
        <v>18</v>
      </c>
      <c r="S15" s="706">
        <f t="shared" si="0"/>
        <v>100</v>
      </c>
      <c r="T15" s="705" t="s">
        <v>18</v>
      </c>
      <c r="U15" s="706">
        <f t="shared" si="1"/>
        <v>100</v>
      </c>
      <c r="V15" s="705" t="s">
        <v>18</v>
      </c>
      <c r="W15" s="706">
        <f t="shared" si="2"/>
        <v>100</v>
      </c>
      <c r="X15" s="1354"/>
      <c r="Y15" s="374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51"/>
      <c r="Q16" s="1351"/>
      <c r="R16" s="705"/>
      <c r="S16" s="706"/>
      <c r="T16" s="705"/>
      <c r="U16" s="706"/>
      <c r="V16" s="705"/>
      <c r="W16" s="706"/>
      <c r="X16" s="1354"/>
      <c r="Y16" s="3744"/>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1"/>
      <c r="Q17" s="1351" t="str">
        <f>B17</f>
        <v>交通便捷度</v>
      </c>
      <c r="R17" s="705" t="s">
        <v>18</v>
      </c>
      <c r="S17" s="706">
        <f>F17</f>
        <v>100</v>
      </c>
      <c r="T17" s="705" t="s">
        <v>18</v>
      </c>
      <c r="U17" s="706">
        <f>H17</f>
        <v>100</v>
      </c>
      <c r="V17" s="705" t="s">
        <v>18</v>
      </c>
      <c r="W17" s="706">
        <f>J17</f>
        <v>100</v>
      </c>
      <c r="X17" s="1354"/>
      <c r="Y17" s="374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51"/>
      <c r="Q18" s="1351"/>
      <c r="R18" s="705"/>
      <c r="S18" s="706"/>
      <c r="T18" s="705"/>
      <c r="U18" s="706"/>
      <c r="V18" s="705"/>
      <c r="W18" s="706"/>
      <c r="X18" s="1354"/>
      <c r="Y18" s="3744"/>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1"/>
      <c r="Q19" s="1351" t="str">
        <f>B19</f>
        <v>公共配套设施</v>
      </c>
      <c r="R19" s="705" t="s">
        <v>18</v>
      </c>
      <c r="S19" s="706">
        <f>F19</f>
        <v>100</v>
      </c>
      <c r="T19" s="705" t="s">
        <v>18</v>
      </c>
      <c r="U19" s="706">
        <f>H19</f>
        <v>100</v>
      </c>
      <c r="V19" s="705" t="s">
        <v>18</v>
      </c>
      <c r="W19" s="706">
        <f>J19</f>
        <v>100</v>
      </c>
      <c r="X19" s="1354"/>
      <c r="Y19" s="374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51"/>
      <c r="Q20" s="1351"/>
      <c r="R20" s="705"/>
      <c r="S20" s="706"/>
      <c r="T20" s="705"/>
      <c r="U20" s="706"/>
      <c r="V20" s="705"/>
      <c r="W20" s="706"/>
      <c r="X20" s="1354"/>
      <c r="Y20" s="3744"/>
      <c r="Z20" s="1355"/>
      <c r="AA20" s="1352">
        <v>1</v>
      </c>
      <c r="AB20" s="1352">
        <v>1</v>
      </c>
      <c r="AC20" s="1352">
        <v>1</v>
      </c>
    </row>
    <row r="21" spans="1:29" ht="27.6">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1"/>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51"/>
      <c r="Q22" s="1351"/>
      <c r="R22" s="705"/>
      <c r="S22" s="706"/>
      <c r="T22" s="705"/>
      <c r="U22" s="706"/>
      <c r="V22" s="705"/>
      <c r="W22" s="706"/>
      <c r="X22" s="1354"/>
      <c r="Y22" s="3744"/>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1"/>
      <c r="Q23" s="1351" t="str">
        <f>B23</f>
        <v>自然及人文环境</v>
      </c>
      <c r="R23" s="705" t="s">
        <v>18</v>
      </c>
      <c r="S23" s="706">
        <f>F23</f>
        <v>100</v>
      </c>
      <c r="T23" s="705" t="s">
        <v>18</v>
      </c>
      <c r="U23" s="706">
        <f>H23</f>
        <v>100</v>
      </c>
      <c r="V23" s="705" t="s">
        <v>18</v>
      </c>
      <c r="W23" s="706">
        <f>J23</f>
        <v>100</v>
      </c>
      <c r="X23" s="1354"/>
      <c r="Y23" s="374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51"/>
      <c r="Q24" s="1351"/>
      <c r="R24" s="705"/>
      <c r="S24" s="706"/>
      <c r="T24" s="705"/>
      <c r="U24" s="706"/>
      <c r="V24" s="705"/>
      <c r="W24" s="706"/>
      <c r="X24" s="1354"/>
      <c r="Y24" s="374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51"/>
      <c r="Q26" s="1351" t="str">
        <f t="shared" si="11"/>
        <v>朝向</v>
      </c>
      <c r="R26" s="705" t="s">
        <v>18</v>
      </c>
      <c r="S26" s="706">
        <f t="shared" si="12"/>
        <v>100</v>
      </c>
      <c r="T26" s="705" t="s">
        <v>18</v>
      </c>
      <c r="U26" s="706">
        <f t="shared" si="13"/>
        <v>100</v>
      </c>
      <c r="V26" s="705" t="s">
        <v>18</v>
      </c>
      <c r="W26" s="706">
        <f t="shared" si="14"/>
        <v>100</v>
      </c>
      <c r="X26" s="1354"/>
      <c r="Y26" s="374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51"/>
      <c r="Q27" s="1342">
        <f t="shared" si="11"/>
        <v>111</v>
      </c>
      <c r="R27" s="701" t="s">
        <v>18</v>
      </c>
      <c r="S27" s="702">
        <f t="shared" si="12"/>
        <v>100</v>
      </c>
      <c r="T27" s="701" t="s">
        <v>18</v>
      </c>
      <c r="U27" s="702">
        <f t="shared" si="13"/>
        <v>100</v>
      </c>
      <c r="V27" s="701" t="s">
        <v>18</v>
      </c>
      <c r="W27" s="702">
        <f t="shared" si="14"/>
        <v>100</v>
      </c>
      <c r="X27" s="703"/>
      <c r="Y27" s="374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51"/>
      <c r="Q28" s="1351">
        <f t="shared" si="11"/>
        <v>111</v>
      </c>
      <c r="R28" s="705" t="s">
        <v>18</v>
      </c>
      <c r="S28" s="706">
        <f t="shared" si="12"/>
        <v>100</v>
      </c>
      <c r="T28" s="705" t="s">
        <v>18</v>
      </c>
      <c r="U28" s="706">
        <f t="shared" si="13"/>
        <v>100</v>
      </c>
      <c r="V28" s="705" t="s">
        <v>18</v>
      </c>
      <c r="W28" s="706">
        <f t="shared" si="14"/>
        <v>100</v>
      </c>
      <c r="X28" s="1354"/>
      <c r="Y28" s="374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51"/>
      <c r="Q29" s="1351">
        <f t="shared" si="11"/>
        <v>111</v>
      </c>
      <c r="R29" s="705" t="s">
        <v>18</v>
      </c>
      <c r="S29" s="706">
        <f t="shared" si="12"/>
        <v>100</v>
      </c>
      <c r="T29" s="705" t="s">
        <v>18</v>
      </c>
      <c r="U29" s="706">
        <f t="shared" si="13"/>
        <v>100</v>
      </c>
      <c r="V29" s="705" t="s">
        <v>18</v>
      </c>
      <c r="W29" s="706">
        <f t="shared" si="14"/>
        <v>100</v>
      </c>
      <c r="X29" s="1354"/>
      <c r="Y29" s="374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1"/>
      <c r="Q30" s="1351">
        <f t="shared" si="11"/>
        <v>111</v>
      </c>
      <c r="R30" s="705" t="s">
        <v>18</v>
      </c>
      <c r="S30" s="706">
        <f t="shared" si="12"/>
        <v>100</v>
      </c>
      <c r="T30" s="705" t="s">
        <v>18</v>
      </c>
      <c r="U30" s="706">
        <f t="shared" si="13"/>
        <v>100</v>
      </c>
      <c r="V30" s="705" t="s">
        <v>18</v>
      </c>
      <c r="W30" s="706">
        <f t="shared" si="14"/>
        <v>100</v>
      </c>
      <c r="X30" s="1354"/>
      <c r="Y30" s="3744"/>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1"/>
      <c r="Q31" s="1351">
        <f t="shared" si="11"/>
        <v>111</v>
      </c>
      <c r="R31" s="705" t="s">
        <v>18</v>
      </c>
      <c r="S31" s="706">
        <f t="shared" si="12"/>
        <v>100</v>
      </c>
      <c r="T31" s="705" t="s">
        <v>18</v>
      </c>
      <c r="U31" s="706">
        <f t="shared" si="13"/>
        <v>100</v>
      </c>
      <c r="V31" s="705" t="s">
        <v>18</v>
      </c>
      <c r="W31" s="706">
        <f t="shared" si="14"/>
        <v>100</v>
      </c>
      <c r="X31" s="1354"/>
      <c r="Y31" s="374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5" t="s">
        <v>1696</v>
      </c>
      <c r="Q32" s="1351" t="str">
        <f t="shared" si="11"/>
        <v>建筑类型</v>
      </c>
      <c r="R32" s="705" t="s">
        <v>18</v>
      </c>
      <c r="S32" s="706">
        <f t="shared" si="12"/>
        <v>100</v>
      </c>
      <c r="T32" s="705" t="s">
        <v>18</v>
      </c>
      <c r="U32" s="706">
        <f t="shared" si="13"/>
        <v>100</v>
      </c>
      <c r="V32" s="705" t="s">
        <v>18</v>
      </c>
      <c r="W32" s="706">
        <f t="shared" si="14"/>
        <v>100</v>
      </c>
      <c r="X32" s="1354"/>
      <c r="Y32" s="374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6"/>
      <c r="Q33" s="707" t="str">
        <f t="shared" si="11"/>
        <v>项目建筑规模</v>
      </c>
      <c r="R33" s="708" t="s">
        <v>18</v>
      </c>
      <c r="S33" s="709" t="e">
        <f t="shared" si="12"/>
        <v>#N/A</v>
      </c>
      <c r="T33" s="708" t="s">
        <v>18</v>
      </c>
      <c r="U33" s="709" t="e">
        <f t="shared" si="13"/>
        <v>#N/A</v>
      </c>
      <c r="V33" s="708" t="s">
        <v>18</v>
      </c>
      <c r="W33" s="709" t="e">
        <f t="shared" si="14"/>
        <v>#N/A</v>
      </c>
      <c r="X33" s="710"/>
      <c r="Y33" s="374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6"/>
      <c r="Q34" s="1351" t="str">
        <f t="shared" si="11"/>
        <v>建筑结构</v>
      </c>
      <c r="R34" s="705" t="s">
        <v>18</v>
      </c>
      <c r="S34" s="706">
        <f t="shared" si="12"/>
        <v>100</v>
      </c>
      <c r="T34" s="705" t="s">
        <v>18</v>
      </c>
      <c r="U34" s="706">
        <f t="shared" si="13"/>
        <v>100</v>
      </c>
      <c r="V34" s="705" t="s">
        <v>18</v>
      </c>
      <c r="W34" s="706">
        <f t="shared" si="14"/>
        <v>100</v>
      </c>
      <c r="X34" s="1354"/>
      <c r="Y34" s="374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6"/>
      <c r="Q35" s="1351" t="str">
        <f t="shared" si="11"/>
        <v>建筑品质</v>
      </c>
      <c r="R35" s="705" t="s">
        <v>18</v>
      </c>
      <c r="S35" s="706">
        <f t="shared" si="12"/>
        <v>100</v>
      </c>
      <c r="T35" s="705" t="s">
        <v>18</v>
      </c>
      <c r="U35" s="706">
        <f t="shared" si="13"/>
        <v>100</v>
      </c>
      <c r="V35" s="705" t="s">
        <v>18</v>
      </c>
      <c r="W35" s="706">
        <f t="shared" si="14"/>
        <v>100</v>
      </c>
      <c r="X35" s="1354"/>
      <c r="Y35" s="374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6"/>
      <c r="Q36" s="1351" t="str">
        <f t="shared" si="11"/>
        <v>公共部分装修</v>
      </c>
      <c r="R36" s="705" t="s">
        <v>18</v>
      </c>
      <c r="S36" s="706">
        <f t="shared" si="12"/>
        <v>100</v>
      </c>
      <c r="T36" s="705" t="s">
        <v>18</v>
      </c>
      <c r="U36" s="706">
        <f t="shared" si="13"/>
        <v>100</v>
      </c>
      <c r="V36" s="705" t="s">
        <v>18</v>
      </c>
      <c r="W36" s="706">
        <f t="shared" si="14"/>
        <v>100</v>
      </c>
      <c r="X36" s="1354"/>
      <c r="Y36" s="374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6"/>
      <c r="Q37" s="1342" t="str">
        <f t="shared" si="11"/>
        <v>成新度</v>
      </c>
      <c r="R37" s="701" t="s">
        <v>18</v>
      </c>
      <c r="S37" s="702" t="e">
        <f t="shared" si="12"/>
        <v>#N/A</v>
      </c>
      <c r="T37" s="701" t="s">
        <v>18</v>
      </c>
      <c r="U37" s="702" t="e">
        <f t="shared" si="13"/>
        <v>#N/A</v>
      </c>
      <c r="V37" s="701" t="s">
        <v>18</v>
      </c>
      <c r="W37" s="702" t="e">
        <f t="shared" si="14"/>
        <v>#N/A</v>
      </c>
      <c r="X37" s="703"/>
      <c r="Y37" s="374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6" t="s">
        <v>1696</v>
      </c>
      <c r="Q38" s="1351" t="str">
        <f t="shared" si="11"/>
        <v>物业管理</v>
      </c>
      <c r="R38" s="705" t="s">
        <v>18</v>
      </c>
      <c r="S38" s="706">
        <f t="shared" si="12"/>
        <v>100</v>
      </c>
      <c r="T38" s="705" t="s">
        <v>18</v>
      </c>
      <c r="U38" s="706">
        <f t="shared" si="13"/>
        <v>100</v>
      </c>
      <c r="V38" s="705" t="s">
        <v>18</v>
      </c>
      <c r="W38" s="706">
        <f t="shared" si="14"/>
        <v>100</v>
      </c>
      <c r="X38" s="1354"/>
      <c r="Y38" s="374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6"/>
      <c r="Q39" s="1351" t="str">
        <f t="shared" si="11"/>
        <v>市政基础设施</v>
      </c>
      <c r="R39" s="705" t="s">
        <v>18</v>
      </c>
      <c r="S39" s="706">
        <f t="shared" si="12"/>
        <v>100</v>
      </c>
      <c r="T39" s="705" t="s">
        <v>18</v>
      </c>
      <c r="U39" s="706">
        <f t="shared" si="13"/>
        <v>100</v>
      </c>
      <c r="V39" s="705" t="s">
        <v>18</v>
      </c>
      <c r="W39" s="706">
        <f t="shared" si="14"/>
        <v>100</v>
      </c>
      <c r="X39" s="1354"/>
      <c r="Y39" s="374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6"/>
      <c r="Q40" s="1351" t="str">
        <f t="shared" si="11"/>
        <v>房型</v>
      </c>
      <c r="R40" s="705" t="s">
        <v>18</v>
      </c>
      <c r="S40" s="706">
        <f t="shared" si="12"/>
        <v>100</v>
      </c>
      <c r="T40" s="705" t="s">
        <v>18</v>
      </c>
      <c r="U40" s="706">
        <f t="shared" si="13"/>
        <v>100</v>
      </c>
      <c r="V40" s="705" t="s">
        <v>18</v>
      </c>
      <c r="W40" s="706">
        <f t="shared" si="14"/>
        <v>100</v>
      </c>
      <c r="X40" s="1354"/>
      <c r="Y40" s="3748"/>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6"/>
      <c r="Q41" s="707" t="str">
        <f t="shared" si="11"/>
        <v>单套/主力户型建筑面积</v>
      </c>
      <c r="R41" s="708" t="s">
        <v>18</v>
      </c>
      <c r="S41" s="709">
        <f t="shared" si="12"/>
        <v>100</v>
      </c>
      <c r="T41" s="708" t="s">
        <v>18</v>
      </c>
      <c r="U41" s="709">
        <f t="shared" si="13"/>
        <v>100</v>
      </c>
      <c r="V41" s="708" t="s">
        <v>18</v>
      </c>
      <c r="W41" s="709">
        <f t="shared" si="14"/>
        <v>100</v>
      </c>
      <c r="X41" s="710"/>
      <c r="Y41" s="374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6"/>
      <c r="Q42" s="1351" t="str">
        <f t="shared" si="11"/>
        <v>内部装修</v>
      </c>
      <c r="R42" s="705" t="s">
        <v>18</v>
      </c>
      <c r="S42" s="706">
        <f t="shared" si="12"/>
        <v>100</v>
      </c>
      <c r="T42" s="705" t="s">
        <v>18</v>
      </c>
      <c r="U42" s="706">
        <f t="shared" si="13"/>
        <v>100</v>
      </c>
      <c r="V42" s="705" t="s">
        <v>18</v>
      </c>
      <c r="W42" s="706">
        <f t="shared" si="14"/>
        <v>100</v>
      </c>
      <c r="X42" s="1354"/>
      <c r="Y42" s="3748"/>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6"/>
      <c r="Q43" s="1351" t="str">
        <f t="shared" si="11"/>
        <v>内部装修维护情况</v>
      </c>
      <c r="R43" s="705" t="s">
        <v>18</v>
      </c>
      <c r="S43" s="706">
        <f t="shared" si="12"/>
        <v>100</v>
      </c>
      <c r="T43" s="705" t="s">
        <v>18</v>
      </c>
      <c r="U43" s="706">
        <f t="shared" si="13"/>
        <v>100</v>
      </c>
      <c r="V43" s="705" t="s">
        <v>18</v>
      </c>
      <c r="W43" s="706">
        <f t="shared" si="14"/>
        <v>100</v>
      </c>
      <c r="X43" s="1354"/>
      <c r="Y43" s="374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6"/>
      <c r="Q44" s="1342">
        <f t="shared" si="11"/>
        <v>111</v>
      </c>
      <c r="R44" s="701" t="s">
        <v>18</v>
      </c>
      <c r="S44" s="702">
        <f t="shared" si="12"/>
        <v>100</v>
      </c>
      <c r="T44" s="701" t="s">
        <v>18</v>
      </c>
      <c r="U44" s="702">
        <f t="shared" si="13"/>
        <v>100</v>
      </c>
      <c r="V44" s="701" t="s">
        <v>18</v>
      </c>
      <c r="W44" s="702">
        <f t="shared" si="14"/>
        <v>100</v>
      </c>
      <c r="X44" s="703"/>
      <c r="Y44" s="374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6"/>
      <c r="Q45" s="1351">
        <f t="shared" si="11"/>
        <v>111</v>
      </c>
      <c r="R45" s="705" t="s">
        <v>18</v>
      </c>
      <c r="S45" s="706">
        <f t="shared" si="12"/>
        <v>100</v>
      </c>
      <c r="T45" s="705" t="s">
        <v>18</v>
      </c>
      <c r="U45" s="706">
        <f t="shared" si="13"/>
        <v>100</v>
      </c>
      <c r="V45" s="705" t="s">
        <v>18</v>
      </c>
      <c r="W45" s="706">
        <f t="shared" si="14"/>
        <v>100</v>
      </c>
      <c r="X45" s="1354"/>
      <c r="Y45" s="3748"/>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7"/>
      <c r="Q46" s="1351">
        <f t="shared" si="11"/>
        <v>111</v>
      </c>
      <c r="R46" s="705" t="s">
        <v>17</v>
      </c>
      <c r="S46" s="706">
        <f t="shared" si="12"/>
        <v>100</v>
      </c>
      <c r="T46" s="705" t="s">
        <v>17</v>
      </c>
      <c r="U46" s="706">
        <f t="shared" si="13"/>
        <v>100</v>
      </c>
      <c r="V46" s="705" t="s">
        <v>17</v>
      </c>
      <c r="W46" s="706">
        <f t="shared" si="14"/>
        <v>100</v>
      </c>
      <c r="X46" s="1354"/>
      <c r="Y46" s="3749"/>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3"/>
      <c r="M47" s="2724"/>
      <c r="N47" s="2715"/>
      <c r="O47" s="2724"/>
      <c r="P47" s="3741" t="str">
        <f>A47</f>
        <v>成交单价（元/平方米）</v>
      </c>
      <c r="Q47" s="3741"/>
      <c r="R47" s="3742">
        <f>E47</f>
        <v>0</v>
      </c>
      <c r="S47" s="3742"/>
      <c r="T47" s="3742">
        <f>G47</f>
        <v>0</v>
      </c>
      <c r="U47" s="3742"/>
      <c r="V47" s="3742">
        <f>I47</f>
        <v>0</v>
      </c>
      <c r="W47" s="3742"/>
      <c r="X47" s="690"/>
      <c r="Y47" s="712"/>
      <c r="Z47" s="690"/>
      <c r="AA47" s="690"/>
      <c r="AB47" s="690"/>
      <c r="AC47" s="690"/>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4"/>
      <c r="L49" s="2723"/>
      <c r="M49" s="2724"/>
      <c r="N49" s="2724"/>
      <c r="O49" s="2724"/>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2024-8</v>
      </c>
      <c r="D58" s="1184">
        <f>EDATE(C58,-1)</f>
        <v>45474</v>
      </c>
      <c r="E58" s="1184">
        <f>EDATE(D58,-1)</f>
        <v>45444</v>
      </c>
      <c r="F58" s="1184">
        <f t="shared" ref="F58:O58" si="19">EDATE(E58,-1)</f>
        <v>45413</v>
      </c>
      <c r="G58" s="1184">
        <f t="shared" si="19"/>
        <v>45383</v>
      </c>
      <c r="H58" s="1184">
        <f t="shared" si="19"/>
        <v>45352</v>
      </c>
      <c r="I58" s="1184">
        <f t="shared" si="19"/>
        <v>45323</v>
      </c>
      <c r="J58" s="1184">
        <f t="shared" si="19"/>
        <v>45292</v>
      </c>
      <c r="K58" s="1184">
        <f t="shared" si="19"/>
        <v>45261</v>
      </c>
      <c r="L58" s="1184">
        <f t="shared" si="19"/>
        <v>45231</v>
      </c>
      <c r="M58" s="1184">
        <f t="shared" si="19"/>
        <v>45200</v>
      </c>
      <c r="N58" s="1184">
        <f t="shared" si="19"/>
        <v>45170</v>
      </c>
      <c r="O58" s="1184">
        <f t="shared" si="19"/>
        <v>45139</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4" zoomScale="80" zoomScaleNormal="70" zoomScaleSheetLayoutView="80" workbookViewId="0">
      <selection activeCell="C36" sqref="C3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8.109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t="s">
        <v>673</v>
      </c>
      <c r="E1" s="3425" t="s">
        <v>3391</v>
      </c>
      <c r="F1" s="1878" t="s">
        <v>3392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580.57060000000001</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28009</v>
      </c>
      <c r="C3" s="354" t="s">
        <v>1768</v>
      </c>
      <c r="D3" s="353">
        <f>IF(D1="",'数据-汇总表'!E3,SUMIF('数据-汇总表'!$C19:$C33,D1,'数据-汇总表'!$E19:$E33))</f>
        <v>207.28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1769</v>
      </c>
      <c r="B4" s="356"/>
      <c r="C4" s="3724" t="s">
        <v>1770</v>
      </c>
      <c r="D4" s="3725"/>
      <c r="E4" s="3726" t="s">
        <v>1771</v>
      </c>
      <c r="F4" s="3727"/>
      <c r="G4" s="3724" t="s">
        <v>1772</v>
      </c>
      <c r="H4" s="3725"/>
      <c r="I4" s="3724" t="s">
        <v>1773</v>
      </c>
      <c r="J4" s="3725"/>
      <c r="K4" s="559" t="s">
        <v>1774</v>
      </c>
      <c r="L4" s="2714"/>
      <c r="M4" s="2715"/>
      <c r="N4" s="2715"/>
      <c r="O4" s="2715"/>
      <c r="P4" s="3728" t="s">
        <v>1775</v>
      </c>
      <c r="Q4" s="3729"/>
      <c r="R4" s="3711" t="s">
        <v>1771</v>
      </c>
      <c r="S4" s="3712"/>
      <c r="T4" s="3711" t="s">
        <v>1772</v>
      </c>
      <c r="U4" s="3712"/>
      <c r="V4" s="3736" t="s">
        <v>1773</v>
      </c>
      <c r="W4" s="3736"/>
      <c r="X4" s="1354"/>
      <c r="Y4" s="3711" t="s">
        <v>1775</v>
      </c>
      <c r="Z4" s="3712"/>
      <c r="AA4" s="3706" t="s">
        <v>1771</v>
      </c>
      <c r="AB4" s="3736" t="s">
        <v>1772</v>
      </c>
      <c r="AC4" s="3706" t="s">
        <v>1773</v>
      </c>
    </row>
    <row r="5" spans="1:29">
      <c r="A5" s="358"/>
      <c r="B5" s="359"/>
      <c r="C5" s="3717" t="s">
        <v>1673</v>
      </c>
      <c r="D5" s="3718"/>
      <c r="E5" s="3752" t="s">
        <v>3434</v>
      </c>
      <c r="F5" s="3716"/>
      <c r="G5" s="3753" t="s">
        <v>3410</v>
      </c>
      <c r="H5" s="3718"/>
      <c r="I5" s="3753" t="s">
        <v>3470</v>
      </c>
      <c r="J5" s="3718"/>
      <c r="K5" s="559"/>
      <c r="L5" s="2714"/>
      <c r="M5" s="2715"/>
      <c r="N5" s="2715"/>
      <c r="O5" s="2715"/>
      <c r="P5" s="3730"/>
      <c r="Q5" s="3731"/>
      <c r="R5" s="3713"/>
      <c r="S5" s="3714"/>
      <c r="T5" s="3713"/>
      <c r="U5" s="3714"/>
      <c r="V5" s="3736"/>
      <c r="W5" s="3736"/>
      <c r="X5" s="1354"/>
      <c r="Y5" s="3713"/>
      <c r="Z5" s="3714"/>
      <c r="AA5" s="3707"/>
      <c r="AB5" s="3736"/>
      <c r="AC5" s="3707"/>
    </row>
    <row r="6" spans="1:29" ht="15" thickBot="1">
      <c r="A6" s="360"/>
      <c r="B6" s="361"/>
      <c r="C6" s="3719" t="s">
        <v>1677</v>
      </c>
      <c r="D6" s="3720"/>
      <c r="E6" s="3721" t="s">
        <v>1677</v>
      </c>
      <c r="F6" s="3722"/>
      <c r="G6" s="3719" t="s">
        <v>1677</v>
      </c>
      <c r="H6" s="3720"/>
      <c r="I6" s="3719" t="s">
        <v>1677</v>
      </c>
      <c r="J6" s="3720"/>
      <c r="K6" s="559" t="s">
        <v>1678</v>
      </c>
      <c r="L6" s="2714"/>
      <c r="M6" s="2715"/>
      <c r="N6" s="2715"/>
      <c r="O6" s="2715"/>
      <c r="P6" s="3732"/>
      <c r="Q6" s="3733"/>
      <c r="R6" s="3713"/>
      <c r="S6" s="3714"/>
      <c r="T6" s="3734"/>
      <c r="U6" s="3735"/>
      <c r="V6" s="3736"/>
      <c r="W6" s="3736"/>
      <c r="X6" s="1354"/>
      <c r="Y6" s="3734"/>
      <c r="Z6" s="3735"/>
      <c r="AA6" s="3708"/>
      <c r="AB6" s="3736"/>
      <c r="AC6" s="3708"/>
    </row>
    <row r="7" spans="1:29" s="108" customFormat="1" ht="15" thickBot="1">
      <c r="A7" s="362" t="s">
        <v>1679</v>
      </c>
      <c r="B7" s="363"/>
      <c r="C7" s="364">
        <f>'数据-取费表'!B2</f>
        <v>45510</v>
      </c>
      <c r="D7" s="365">
        <v>100</v>
      </c>
      <c r="E7" s="366">
        <f>C7</f>
        <v>45510</v>
      </c>
      <c r="F7" s="367">
        <f>SUMIF(58:58,YEAR(E7)&amp;"-"&amp;MONTH(E7),59:59)</f>
        <v>100</v>
      </c>
      <c r="G7" s="366">
        <f>C7</f>
        <v>45510</v>
      </c>
      <c r="H7" s="365">
        <f>SUMIF(58:58,YEAR(G7)&amp;"-"&amp;MONTH(G7),59:59)</f>
        <v>100</v>
      </c>
      <c r="I7" s="366">
        <f>C7</f>
        <v>45510</v>
      </c>
      <c r="J7" s="365">
        <f>SUMIF(58:58,YEAR(I7)&amp;"-"&amp;MONTH(I7),59:59)</f>
        <v>100</v>
      </c>
      <c r="K7" s="560"/>
      <c r="L7" s="2716"/>
      <c r="M7" s="2717"/>
      <c r="N7" s="2717"/>
      <c r="O7" s="2717"/>
      <c r="P7" s="3709" t="s">
        <v>1680</v>
      </c>
      <c r="Q7" s="3737"/>
      <c r="R7" s="701" t="s">
        <v>14</v>
      </c>
      <c r="S7" s="702">
        <f t="shared" ref="S7:S15" si="0">F7</f>
        <v>100</v>
      </c>
      <c r="T7" s="701" t="s">
        <v>14</v>
      </c>
      <c r="U7" s="702">
        <f t="shared" ref="U7:U15" si="1">H7</f>
        <v>100</v>
      </c>
      <c r="V7" s="701" t="s">
        <v>14</v>
      </c>
      <c r="W7" s="702">
        <f t="shared" ref="W7:W15" si="2">J7</f>
        <v>100</v>
      </c>
      <c r="X7" s="703"/>
      <c r="Y7" s="3709" t="s">
        <v>1680</v>
      </c>
      <c r="Z7" s="3710"/>
      <c r="AA7" s="704">
        <f>D7/F7</f>
        <v>1</v>
      </c>
      <c r="AB7" s="704">
        <f>D7/H7</f>
        <v>1</v>
      </c>
      <c r="AC7" s="704">
        <f>D7/J7</f>
        <v>1</v>
      </c>
    </row>
    <row r="8" spans="1:29" s="108" customFormat="1" ht="15" thickBot="1">
      <c r="A8" s="362" t="s">
        <v>1681</v>
      </c>
      <c r="B8" s="363"/>
      <c r="C8" s="368" t="s">
        <v>3395</v>
      </c>
      <c r="D8" s="365">
        <v>100</v>
      </c>
      <c r="E8" s="368" t="s">
        <v>3407</v>
      </c>
      <c r="F8" s="367">
        <f>SUMIF(61:61,E8,62:62)-SUMIF(61:61,C8,62:62)+100</f>
        <v>105</v>
      </c>
      <c r="G8" s="368" t="s">
        <v>3407</v>
      </c>
      <c r="H8" s="365">
        <f>SUMIF(61:61,G8,62:62)-SUMIF(61:61,C8,62:62)+100</f>
        <v>105</v>
      </c>
      <c r="I8" s="368" t="s">
        <v>3407</v>
      </c>
      <c r="J8" s="365">
        <f>SUMIF(61:61,I8,62:62)-SUMIF(61:61,C8,62:62)+100</f>
        <v>105</v>
      </c>
      <c r="K8" s="560"/>
      <c r="L8" s="2716"/>
      <c r="M8" s="2717"/>
      <c r="N8" s="2717"/>
      <c r="O8" s="2717"/>
      <c r="P8" s="3709" t="s">
        <v>1683</v>
      </c>
      <c r="Q8" s="3710"/>
      <c r="R8" s="701" t="s">
        <v>14</v>
      </c>
      <c r="S8" s="702">
        <f t="shared" si="0"/>
        <v>105</v>
      </c>
      <c r="T8" s="701" t="s">
        <v>14</v>
      </c>
      <c r="U8" s="702">
        <f t="shared" si="1"/>
        <v>105</v>
      </c>
      <c r="V8" s="701" t="s">
        <v>14</v>
      </c>
      <c r="W8" s="702">
        <f t="shared" si="2"/>
        <v>105</v>
      </c>
      <c r="X8" s="703"/>
      <c r="Y8" s="3709" t="s">
        <v>1683</v>
      </c>
      <c r="Z8" s="3710"/>
      <c r="AA8" s="704">
        <f t="shared" ref="AA8:AA46" si="3">D8/F8</f>
        <v>0.95238095238095233</v>
      </c>
      <c r="AB8" s="704">
        <f t="shared" ref="AB8:AB46" si="4">D8/H8</f>
        <v>0.95238095238095233</v>
      </c>
      <c r="AC8" s="704">
        <f t="shared" ref="AC8:AC46" si="5">D8/J8</f>
        <v>0.95238095238095233</v>
      </c>
    </row>
    <row r="9" spans="1:29" s="108" customFormat="1" ht="15" thickBot="1">
      <c r="A9" s="369" t="s">
        <v>1684</v>
      </c>
      <c r="B9" s="63" t="s">
        <v>1685</v>
      </c>
      <c r="C9" s="3475"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23"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3"/>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23"/>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3"/>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3"/>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6"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3"/>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98</v>
      </c>
      <c r="K15" s="563">
        <v>2</v>
      </c>
      <c r="L15" s="2721"/>
      <c r="M15" s="2715"/>
      <c r="N15" s="2715"/>
      <c r="O15" s="2715"/>
      <c r="P15" s="3750" t="s">
        <v>1691</v>
      </c>
      <c r="Q15" s="1351" t="str">
        <f t="shared" si="6"/>
        <v>商业繁华度</v>
      </c>
      <c r="R15" s="705" t="s">
        <v>14</v>
      </c>
      <c r="S15" s="706">
        <f t="shared" si="0"/>
        <v>100</v>
      </c>
      <c r="T15" s="705" t="s">
        <v>14</v>
      </c>
      <c r="U15" s="706">
        <f t="shared" si="1"/>
        <v>100</v>
      </c>
      <c r="V15" s="705" t="s">
        <v>14</v>
      </c>
      <c r="W15" s="706">
        <f t="shared" si="2"/>
        <v>98</v>
      </c>
      <c r="X15" s="1354"/>
      <c r="Y15" s="3743" t="s">
        <v>1691</v>
      </c>
      <c r="Z15" s="1355" t="str">
        <f t="shared" si="7"/>
        <v>商业繁华度</v>
      </c>
      <c r="AA15" s="1352">
        <f t="shared" si="3"/>
        <v>1</v>
      </c>
      <c r="AB15" s="1352">
        <f t="shared" si="4"/>
        <v>1</v>
      </c>
      <c r="AC15" s="1352">
        <f t="shared" si="5"/>
        <v>1.0204081632653061</v>
      </c>
    </row>
    <row r="16" spans="1:29" ht="15">
      <c r="A16" s="379"/>
      <c r="B16" s="397"/>
      <c r="C16" s="398" t="s">
        <v>3411</v>
      </c>
      <c r="D16" s="399"/>
      <c r="E16" s="398" t="s">
        <v>3411</v>
      </c>
      <c r="F16" s="400"/>
      <c r="G16" s="398" t="s">
        <v>3411</v>
      </c>
      <c r="H16" s="401"/>
      <c r="I16" s="398" t="s">
        <v>3412</v>
      </c>
      <c r="J16" s="399"/>
      <c r="K16" s="564"/>
      <c r="L16" s="2721"/>
      <c r="M16" s="2715"/>
      <c r="N16" s="2715"/>
      <c r="O16" s="2715"/>
      <c r="P16" s="3751"/>
      <c r="Q16" s="1351"/>
      <c r="R16" s="705"/>
      <c r="S16" s="706"/>
      <c r="T16" s="705"/>
      <c r="U16" s="706"/>
      <c r="V16" s="705"/>
      <c r="W16" s="706"/>
      <c r="X16" s="1354"/>
      <c r="Y16" s="3744"/>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98</v>
      </c>
      <c r="K17" s="563">
        <v>2</v>
      </c>
      <c r="L17" s="2721"/>
      <c r="M17" s="2715"/>
      <c r="N17" s="2715"/>
      <c r="O17" s="2715"/>
      <c r="P17" s="3751"/>
      <c r="Q17" s="1351" t="str">
        <f>B17</f>
        <v>交通便捷度</v>
      </c>
      <c r="R17" s="705" t="s">
        <v>14</v>
      </c>
      <c r="S17" s="706">
        <f>F17</f>
        <v>100</v>
      </c>
      <c r="T17" s="705" t="s">
        <v>14</v>
      </c>
      <c r="U17" s="706">
        <f>H17</f>
        <v>100</v>
      </c>
      <c r="V17" s="705" t="s">
        <v>14</v>
      </c>
      <c r="W17" s="706">
        <f>J17</f>
        <v>98</v>
      </c>
      <c r="X17" s="1354"/>
      <c r="Y17" s="3744"/>
      <c r="Z17" s="1355" t="str">
        <f>Q17</f>
        <v>交通便捷度</v>
      </c>
      <c r="AA17" s="1352">
        <f t="shared" si="3"/>
        <v>1</v>
      </c>
      <c r="AB17" s="1352">
        <f t="shared" si="4"/>
        <v>1</v>
      </c>
      <c r="AC17" s="1352">
        <f t="shared" si="5"/>
        <v>1.0204081632653061</v>
      </c>
    </row>
    <row r="18" spans="1:29" ht="15">
      <c r="A18" s="379"/>
      <c r="B18" s="407"/>
      <c r="C18" s="1900" t="s">
        <v>3411</v>
      </c>
      <c r="D18" s="401"/>
      <c r="E18" s="1902" t="s">
        <v>3411</v>
      </c>
      <c r="F18" s="404"/>
      <c r="G18" s="1901" t="s">
        <v>3411</v>
      </c>
      <c r="H18" s="399"/>
      <c r="I18" s="1902" t="s">
        <v>3412</v>
      </c>
      <c r="J18" s="399"/>
      <c r="K18" s="564"/>
      <c r="L18" s="2721"/>
      <c r="M18" s="2715"/>
      <c r="N18" s="2715"/>
      <c r="O18" s="2715"/>
      <c r="P18" s="3751"/>
      <c r="Q18" s="1351"/>
      <c r="R18" s="705"/>
      <c r="S18" s="706"/>
      <c r="T18" s="705"/>
      <c r="U18" s="706"/>
      <c r="V18" s="705"/>
      <c r="W18" s="706"/>
      <c r="X18" s="1354"/>
      <c r="Y18" s="3744"/>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51"/>
      <c r="Q19" s="1351" t="str">
        <f>B19</f>
        <v>公共配套设施</v>
      </c>
      <c r="R19" s="705" t="s">
        <v>14</v>
      </c>
      <c r="S19" s="706">
        <f>F19</f>
        <v>100</v>
      </c>
      <c r="T19" s="705" t="s">
        <v>14</v>
      </c>
      <c r="U19" s="706">
        <f>H19</f>
        <v>100</v>
      </c>
      <c r="V19" s="705" t="s">
        <v>14</v>
      </c>
      <c r="W19" s="706">
        <f>J19</f>
        <v>100</v>
      </c>
      <c r="X19" s="1354"/>
      <c r="Y19" s="3744"/>
      <c r="Z19" s="1355" t="str">
        <f>Q19</f>
        <v>公共配套设施</v>
      </c>
      <c r="AA19" s="1352">
        <f t="shared" si="3"/>
        <v>1</v>
      </c>
      <c r="AB19" s="1352">
        <f t="shared" si="4"/>
        <v>1</v>
      </c>
      <c r="AC19" s="1352">
        <f t="shared" si="5"/>
        <v>1</v>
      </c>
    </row>
    <row r="20" spans="1:29" ht="15">
      <c r="A20" s="379"/>
      <c r="B20" s="407"/>
      <c r="C20" s="398" t="s">
        <v>3411</v>
      </c>
      <c r="D20" s="399"/>
      <c r="E20" s="398" t="s">
        <v>3411</v>
      </c>
      <c r="F20" s="400"/>
      <c r="G20" s="398" t="s">
        <v>3411</v>
      </c>
      <c r="H20" s="399"/>
      <c r="I20" s="398" t="s">
        <v>3411</v>
      </c>
      <c r="J20" s="399"/>
      <c r="K20" s="564"/>
      <c r="L20" s="2721"/>
      <c r="M20" s="2715"/>
      <c r="N20" s="2715"/>
      <c r="O20" s="2715"/>
      <c r="P20" s="3751"/>
      <c r="Q20" s="1351"/>
      <c r="R20" s="705"/>
      <c r="S20" s="706"/>
      <c r="T20" s="705"/>
      <c r="U20" s="706"/>
      <c r="V20" s="705"/>
      <c r="W20" s="706"/>
      <c r="X20" s="1354"/>
      <c r="Y20" s="3744"/>
      <c r="Z20" s="1355"/>
      <c r="AA20" s="1352">
        <v>1</v>
      </c>
      <c r="AB20" s="1352">
        <v>1</v>
      </c>
      <c r="AC20" s="1352">
        <v>1</v>
      </c>
    </row>
    <row r="21" spans="1:29" ht="27.6">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51"/>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751"/>
      <c r="Q22" s="1351"/>
      <c r="R22" s="705"/>
      <c r="S22" s="706"/>
      <c r="T22" s="705"/>
      <c r="U22" s="706"/>
      <c r="V22" s="705"/>
      <c r="W22" s="706"/>
      <c r="X22" s="1354"/>
      <c r="Y22" s="3744"/>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51"/>
      <c r="Q23" s="1351" t="str">
        <f>B23</f>
        <v>自然及人文环境</v>
      </c>
      <c r="R23" s="705" t="s">
        <v>14</v>
      </c>
      <c r="S23" s="706">
        <f>F23</f>
        <v>100</v>
      </c>
      <c r="T23" s="705" t="s">
        <v>14</v>
      </c>
      <c r="U23" s="706">
        <f>H23</f>
        <v>100</v>
      </c>
      <c r="V23" s="705" t="s">
        <v>14</v>
      </c>
      <c r="W23" s="706">
        <f>J23</f>
        <v>100</v>
      </c>
      <c r="X23" s="1354"/>
      <c r="Y23" s="3744"/>
      <c r="Z23" s="1355" t="str">
        <f>Q23</f>
        <v>自然及人文环境</v>
      </c>
      <c r="AA23" s="1352">
        <f t="shared" si="3"/>
        <v>1</v>
      </c>
      <c r="AB23" s="1352">
        <f t="shared" si="4"/>
        <v>1</v>
      </c>
      <c r="AC23" s="1352">
        <f t="shared" si="5"/>
        <v>1</v>
      </c>
    </row>
    <row r="24" spans="1:29" ht="15">
      <c r="A24" s="379"/>
      <c r="B24" s="407"/>
      <c r="C24" s="398" t="s">
        <v>3411</v>
      </c>
      <c r="D24" s="399"/>
      <c r="E24" s="398" t="s">
        <v>3411</v>
      </c>
      <c r="F24" s="400"/>
      <c r="G24" s="398" t="s">
        <v>3411</v>
      </c>
      <c r="H24" s="399"/>
      <c r="I24" s="398" t="s">
        <v>3411</v>
      </c>
      <c r="J24" s="399"/>
      <c r="K24" s="564"/>
      <c r="L24" s="2721"/>
      <c r="M24" s="2715"/>
      <c r="N24" s="2715"/>
      <c r="O24" s="2715"/>
      <c r="P24" s="3751"/>
      <c r="Q24" s="1351"/>
      <c r="R24" s="705"/>
      <c r="S24" s="706"/>
      <c r="T24" s="705"/>
      <c r="U24" s="706"/>
      <c r="V24" s="705"/>
      <c r="W24" s="706"/>
      <c r="X24" s="1354"/>
      <c r="Y24" s="3744"/>
      <c r="Z24" s="1355"/>
      <c r="AA24" s="1352">
        <v>1</v>
      </c>
      <c r="AB24" s="1352">
        <v>1</v>
      </c>
      <c r="AC24" s="1352">
        <v>1</v>
      </c>
    </row>
    <row r="25" spans="1:29" ht="15">
      <c r="A25" s="379"/>
      <c r="B25" s="375" t="s">
        <v>1780</v>
      </c>
      <c r="C25" s="565" t="s">
        <v>3471</v>
      </c>
      <c r="D25" s="386">
        <v>100</v>
      </c>
      <c r="E25" s="565" t="s">
        <v>3473</v>
      </c>
      <c r="F25" s="412">
        <f>SUMIF(86:86,E25,87:87)-SUMIF(86:86,C25,87:87)+100</f>
        <v>95</v>
      </c>
      <c r="G25" s="565" t="s">
        <v>3471</v>
      </c>
      <c r="H25" s="386">
        <f>SUMIF(86:86,G25,87:87)-SUMIF(86:86,C25,87:87)+100</f>
        <v>100</v>
      </c>
      <c r="I25" s="565" t="s">
        <v>3471</v>
      </c>
      <c r="J25" s="386">
        <f>SUMIF(86:86,I25,87:87)-SUMIF(86:86,C25,87:87)+100</f>
        <v>100</v>
      </c>
      <c r="K25" s="561">
        <v>5</v>
      </c>
      <c r="L25" s="2721"/>
      <c r="M25" s="2715"/>
      <c r="N25" s="2715"/>
      <c r="O25" s="2715"/>
      <c r="P25" s="3751"/>
      <c r="Q25" s="1351" t="str">
        <f t="shared" ref="Q25:Q46" si="11">B25</f>
        <v>临街状况</v>
      </c>
      <c r="R25" s="705" t="s">
        <v>14</v>
      </c>
      <c r="S25" s="706">
        <f>F25</f>
        <v>95</v>
      </c>
      <c r="T25" s="705" t="s">
        <v>14</v>
      </c>
      <c r="U25" s="706">
        <f>H25</f>
        <v>100</v>
      </c>
      <c r="V25" s="705" t="s">
        <v>14</v>
      </c>
      <c r="W25" s="706">
        <f>J25</f>
        <v>100</v>
      </c>
      <c r="X25" s="1354"/>
      <c r="Y25" s="3744"/>
      <c r="Z25" s="1355" t="str">
        <f>Q25</f>
        <v>临街状况</v>
      </c>
      <c r="AA25" s="1352">
        <f t="shared" si="3"/>
        <v>1.0526315789473684</v>
      </c>
      <c r="AB25" s="1352">
        <f t="shared" si="4"/>
        <v>1</v>
      </c>
      <c r="AC25" s="1352">
        <f t="shared" si="5"/>
        <v>1</v>
      </c>
    </row>
    <row r="26" spans="1:29" ht="15">
      <c r="A26" s="379"/>
      <c r="B26" s="1132" t="s">
        <v>1781</v>
      </c>
      <c r="C26" s="3476" t="s">
        <v>3414</v>
      </c>
      <c r="D26" s="386">
        <v>100</v>
      </c>
      <c r="E26" s="3476" t="s">
        <v>3414</v>
      </c>
      <c r="F26" s="412">
        <f>SUMIF(88:88,E26,89:89)-SUMIF(88:88,C26,89:89)+100</f>
        <v>100</v>
      </c>
      <c r="G26" s="3476" t="s">
        <v>3414</v>
      </c>
      <c r="H26" s="386">
        <f>SUMIF(88:88,G26,89:89)-SUMIF(88:88,C26,89:89)+100</f>
        <v>100</v>
      </c>
      <c r="I26" s="3476" t="s">
        <v>3414</v>
      </c>
      <c r="J26" s="386">
        <f>SUMIF(88:88,I26,89:89)-SUMIF(88:88,C26,89:89)+100</f>
        <v>100</v>
      </c>
      <c r="K26" s="562"/>
      <c r="L26" s="2721"/>
      <c r="M26" s="2715"/>
      <c r="N26" s="2715"/>
      <c r="O26" s="2715"/>
      <c r="P26" s="3751"/>
      <c r="Q26" s="1351" t="str">
        <f t="shared" si="11"/>
        <v>平面位置/可视性</v>
      </c>
      <c r="R26" s="705" t="s">
        <v>14</v>
      </c>
      <c r="S26" s="706">
        <f>F26</f>
        <v>100</v>
      </c>
      <c r="T26" s="705" t="s">
        <v>14</v>
      </c>
      <c r="U26" s="706">
        <f>H26</f>
        <v>100</v>
      </c>
      <c r="V26" s="705" t="s">
        <v>14</v>
      </c>
      <c r="W26" s="706">
        <f>J26</f>
        <v>100</v>
      </c>
      <c r="X26" s="1354"/>
      <c r="Y26" s="3744"/>
      <c r="Z26" s="1355" t="str">
        <f>Q26</f>
        <v>平面位置/可视性</v>
      </c>
      <c r="AA26" s="1352">
        <f t="shared" si="3"/>
        <v>1</v>
      </c>
      <c r="AB26" s="1352">
        <f t="shared" si="4"/>
        <v>1</v>
      </c>
      <c r="AC26" s="1352">
        <f t="shared" si="5"/>
        <v>1</v>
      </c>
    </row>
    <row r="27" spans="1:29" s="108" customFormat="1" ht="15">
      <c r="A27" s="382"/>
      <c r="B27" s="402" t="s">
        <v>1782</v>
      </c>
      <c r="C27" s="1955" t="s">
        <v>3415</v>
      </c>
      <c r="D27" s="413">
        <v>100</v>
      </c>
      <c r="E27" s="1955" t="s">
        <v>3412</v>
      </c>
      <c r="F27" s="415">
        <f>SUMIF(90:90,E27,91:91)-SUMIF(90:90,C27,91:91)+100</f>
        <v>95</v>
      </c>
      <c r="G27" s="1955" t="s">
        <v>3415</v>
      </c>
      <c r="H27" s="413">
        <f>SUMIF(90:90,G27,91:91)-SUMIF(90:90,C27,91:91)+100</f>
        <v>100</v>
      </c>
      <c r="I27" s="1955" t="s">
        <v>3412</v>
      </c>
      <c r="J27" s="413">
        <f>SUMIF(90:90,I27,91:91)-SUMIF(90:90,C27,91:91)+100</f>
        <v>95</v>
      </c>
      <c r="K27" s="561">
        <v>5</v>
      </c>
      <c r="L27" s="2716"/>
      <c r="M27" s="2717"/>
      <c r="N27" s="2717"/>
      <c r="O27" s="2717"/>
      <c r="P27" s="3751"/>
      <c r="Q27" s="1342" t="str">
        <f t="shared" si="11"/>
        <v>人流量</v>
      </c>
      <c r="R27" s="701" t="s">
        <v>14</v>
      </c>
      <c r="S27" s="702">
        <f>F27</f>
        <v>95</v>
      </c>
      <c r="T27" s="701" t="s">
        <v>14</v>
      </c>
      <c r="U27" s="702">
        <f>H27</f>
        <v>100</v>
      </c>
      <c r="V27" s="701" t="s">
        <v>14</v>
      </c>
      <c r="W27" s="702">
        <f>J27</f>
        <v>95</v>
      </c>
      <c r="X27" s="703"/>
      <c r="Y27" s="3744"/>
      <c r="Z27" s="52" t="str">
        <f>Q27</f>
        <v>人流量</v>
      </c>
      <c r="AA27" s="1352">
        <f>D27/F27</f>
        <v>1.0526315789473684</v>
      </c>
      <c r="AB27" s="1352">
        <f>D27/H27</f>
        <v>1</v>
      </c>
      <c r="AC27" s="1352">
        <f>D27/J27</f>
        <v>1.0526315789473684</v>
      </c>
    </row>
    <row r="28" spans="1:29" ht="15">
      <c r="A28" s="379"/>
      <c r="B28" s="375" t="s">
        <v>1783</v>
      </c>
      <c r="C28" s="565" t="s">
        <v>3425</v>
      </c>
      <c r="D28" s="386">
        <v>100</v>
      </c>
      <c r="E28" s="565" t="s">
        <v>3426</v>
      </c>
      <c r="F28" s="412">
        <f>SUMIF(92:92,E28,93:93)-SUMIF(92:92,C28,93:93)+100</f>
        <v>118</v>
      </c>
      <c r="G28" s="565" t="s">
        <v>3426</v>
      </c>
      <c r="H28" s="386">
        <f>SUMIF(92:92,G28,93:93)-SUMIF(92:92,C28,93:93)+100</f>
        <v>118</v>
      </c>
      <c r="I28" s="565" t="s">
        <v>3426</v>
      </c>
      <c r="J28" s="386">
        <f>SUMIF(92:92,I28,93:93)-SUMIF(92:92,C28,93:93)+100</f>
        <v>118</v>
      </c>
      <c r="K28" s="562"/>
      <c r="L28" s="2721"/>
      <c r="M28" s="2715"/>
      <c r="N28" s="2715"/>
      <c r="O28" s="2715"/>
      <c r="P28" s="3751"/>
      <c r="Q28" s="1351" t="str">
        <f t="shared" si="11"/>
        <v>楼层</v>
      </c>
      <c r="R28" s="705" t="s">
        <v>14</v>
      </c>
      <c r="S28" s="706">
        <f t="shared" ref="S28:S46" si="12">F28</f>
        <v>118</v>
      </c>
      <c r="T28" s="705" t="s">
        <v>14</v>
      </c>
      <c r="U28" s="706">
        <f t="shared" ref="U28:U46" si="13">H28</f>
        <v>118</v>
      </c>
      <c r="V28" s="705" t="s">
        <v>14</v>
      </c>
      <c r="W28" s="706">
        <f t="shared" ref="W28:W46" si="14">J28</f>
        <v>118</v>
      </c>
      <c r="X28" s="1354"/>
      <c r="Y28" s="3744"/>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1"/>
      <c r="Q29" s="1351">
        <f t="shared" si="11"/>
        <v>111</v>
      </c>
      <c r="R29" s="705" t="s">
        <v>14</v>
      </c>
      <c r="S29" s="706">
        <f t="shared" si="12"/>
        <v>100</v>
      </c>
      <c r="T29" s="705" t="s">
        <v>14</v>
      </c>
      <c r="U29" s="706">
        <f t="shared" si="13"/>
        <v>100</v>
      </c>
      <c r="V29" s="705" t="s">
        <v>14</v>
      </c>
      <c r="W29" s="706">
        <f t="shared" si="14"/>
        <v>100</v>
      </c>
      <c r="X29" s="1354"/>
      <c r="Y29" s="374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1"/>
      <c r="Q30" s="1351">
        <f t="shared" si="11"/>
        <v>111</v>
      </c>
      <c r="R30" s="705" t="s">
        <v>14</v>
      </c>
      <c r="S30" s="706">
        <f t="shared" si="12"/>
        <v>100</v>
      </c>
      <c r="T30" s="705" t="s">
        <v>14</v>
      </c>
      <c r="U30" s="706">
        <f t="shared" si="13"/>
        <v>100</v>
      </c>
      <c r="V30" s="705" t="s">
        <v>14</v>
      </c>
      <c r="W30" s="706">
        <f t="shared" si="14"/>
        <v>100</v>
      </c>
      <c r="X30" s="1354"/>
      <c r="Y30" s="3744"/>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1"/>
      <c r="Q31" s="1351">
        <f t="shared" si="11"/>
        <v>111</v>
      </c>
      <c r="R31" s="705" t="s">
        <v>14</v>
      </c>
      <c r="S31" s="706">
        <f t="shared" si="12"/>
        <v>100</v>
      </c>
      <c r="T31" s="705" t="s">
        <v>14</v>
      </c>
      <c r="U31" s="706">
        <f t="shared" si="13"/>
        <v>100</v>
      </c>
      <c r="V31" s="705" t="s">
        <v>14</v>
      </c>
      <c r="W31" s="706">
        <f t="shared" si="14"/>
        <v>100</v>
      </c>
      <c r="X31" s="1354"/>
      <c r="Y31" s="3744"/>
      <c r="Z31" s="1355">
        <f t="shared" si="15"/>
        <v>111</v>
      </c>
      <c r="AA31" s="1352">
        <f t="shared" si="3"/>
        <v>1</v>
      </c>
      <c r="AB31" s="1352">
        <f t="shared" si="4"/>
        <v>1</v>
      </c>
      <c r="AC31" s="1352">
        <f t="shared" si="5"/>
        <v>1</v>
      </c>
    </row>
    <row r="32" spans="1:29" ht="15">
      <c r="A32" s="391" t="s">
        <v>1694</v>
      </c>
      <c r="B32" s="63" t="s">
        <v>1784</v>
      </c>
      <c r="C32" s="1909" t="s">
        <v>3428</v>
      </c>
      <c r="D32" s="418">
        <v>100</v>
      </c>
      <c r="E32" s="1909" t="s">
        <v>3430</v>
      </c>
      <c r="F32" s="412">
        <f>SUMIF(100:100,E32,101:101)-SUMIF(100:100,C32,101:101)+100</f>
        <v>97</v>
      </c>
      <c r="G32" s="1909" t="s">
        <v>3428</v>
      </c>
      <c r="H32" s="386">
        <f>SUMIF(100:100,G32,101:101)-SUMIF(100:100,C32,101:101)+100</f>
        <v>100</v>
      </c>
      <c r="I32" s="1909" t="s">
        <v>3430</v>
      </c>
      <c r="J32" s="418">
        <f>SUMIF(100:100,I32,101:101)-SUMIF(100:100,C32,101:101)+100</f>
        <v>97</v>
      </c>
      <c r="K32" s="561">
        <v>3</v>
      </c>
      <c r="L32" s="2721"/>
      <c r="M32" s="2715"/>
      <c r="N32" s="2715"/>
      <c r="O32" s="2715"/>
      <c r="P32" s="3745" t="s">
        <v>1696</v>
      </c>
      <c r="Q32" s="1351" t="str">
        <f t="shared" si="11"/>
        <v>商业类型</v>
      </c>
      <c r="R32" s="705" t="s">
        <v>14</v>
      </c>
      <c r="S32" s="706">
        <f t="shared" si="12"/>
        <v>97</v>
      </c>
      <c r="T32" s="705" t="s">
        <v>14</v>
      </c>
      <c r="U32" s="706">
        <f t="shared" si="13"/>
        <v>100</v>
      </c>
      <c r="V32" s="705" t="s">
        <v>14</v>
      </c>
      <c r="W32" s="706">
        <f t="shared" si="14"/>
        <v>97</v>
      </c>
      <c r="X32" s="1354"/>
      <c r="Y32" s="3748" t="s">
        <v>1696</v>
      </c>
      <c r="Z32" s="1355" t="str">
        <f t="shared" si="15"/>
        <v>商业类型</v>
      </c>
      <c r="AA32" s="1352">
        <f t="shared" si="3"/>
        <v>1.0309278350515463</v>
      </c>
      <c r="AB32" s="1352">
        <f t="shared" si="4"/>
        <v>1</v>
      </c>
      <c r="AC32" s="1352">
        <f t="shared" si="5"/>
        <v>1.0309278350515463</v>
      </c>
    </row>
    <row r="33" spans="1:29" s="422" customFormat="1" ht="15">
      <c r="A33" s="419"/>
      <c r="B33" s="375" t="s">
        <v>1697</v>
      </c>
      <c r="C33" s="420">
        <v>207.28</v>
      </c>
      <c r="D33" s="127">
        <v>100</v>
      </c>
      <c r="E33" s="381">
        <v>106</v>
      </c>
      <c r="F33" s="376">
        <f>LOOKUP(E33,103:103,104:104)-LOOKUP(C33,103:103,104:104)+100</f>
        <v>101</v>
      </c>
      <c r="G33" s="380">
        <v>84</v>
      </c>
      <c r="H33" s="127">
        <f>LOOKUP(G33,103:103,104:104)-LOOKUP(C33,103:103,104:104)+100</f>
        <v>102</v>
      </c>
      <c r="I33" s="380">
        <v>65.349999999999994</v>
      </c>
      <c r="J33" s="127">
        <f>LOOKUP(I33,103:103,104:104)-LOOKUP(C33,103:103,104:104)+100</f>
        <v>102</v>
      </c>
      <c r="K33" s="562"/>
      <c r="L33" s="2720"/>
      <c r="M33" s="2722"/>
      <c r="N33" s="2722"/>
      <c r="O33" s="2722"/>
      <c r="P33" s="3746"/>
      <c r="Q33" s="707" t="str">
        <f t="shared" si="11"/>
        <v>项目建筑规模</v>
      </c>
      <c r="R33" s="708" t="s">
        <v>14</v>
      </c>
      <c r="S33" s="709">
        <f t="shared" si="12"/>
        <v>101</v>
      </c>
      <c r="T33" s="708" t="s">
        <v>14</v>
      </c>
      <c r="U33" s="709">
        <f t="shared" si="13"/>
        <v>102</v>
      </c>
      <c r="V33" s="708" t="s">
        <v>14</v>
      </c>
      <c r="W33" s="709">
        <f t="shared" si="14"/>
        <v>102</v>
      </c>
      <c r="X33" s="710"/>
      <c r="Y33" s="3748"/>
      <c r="Z33" s="711" t="str">
        <f t="shared" si="15"/>
        <v>项目建筑规模</v>
      </c>
      <c r="AA33" s="1352">
        <f t="shared" si="3"/>
        <v>0.99009900990099009</v>
      </c>
      <c r="AB33" s="1352">
        <f t="shared" si="4"/>
        <v>0.98039215686274506</v>
      </c>
      <c r="AC33" s="1352">
        <f t="shared" si="5"/>
        <v>0.98039215686274506</v>
      </c>
    </row>
    <row r="34" spans="1:29" ht="15">
      <c r="A34" s="423"/>
      <c r="B34" s="375" t="s">
        <v>1698</v>
      </c>
      <c r="C34" s="1911" t="s">
        <v>3432</v>
      </c>
      <c r="D34" s="386">
        <v>100</v>
      </c>
      <c r="E34" s="1911" t="s">
        <v>3432</v>
      </c>
      <c r="F34" s="412">
        <f>SUMIF(105:105,E34,106:106)-SUMIF(105:105,C34,106:106)+100</f>
        <v>100</v>
      </c>
      <c r="G34" s="1911" t="s">
        <v>3432</v>
      </c>
      <c r="H34" s="386">
        <f>SUMIF(105:105,G34,106:106)-SUMIF(105:105,C34,106:106)+100</f>
        <v>100</v>
      </c>
      <c r="I34" s="1911" t="s">
        <v>3432</v>
      </c>
      <c r="J34" s="386">
        <f>SUMIF(105:105,I34,106:106)-SUMIF(105:105,C34,106:106)+100</f>
        <v>100</v>
      </c>
      <c r="K34" s="561">
        <v>1</v>
      </c>
      <c r="L34" s="2721"/>
      <c r="M34" s="2715"/>
      <c r="N34" s="2715"/>
      <c r="O34" s="2715"/>
      <c r="P34" s="3746"/>
      <c r="Q34" s="1351" t="str">
        <f t="shared" si="11"/>
        <v>建筑结构</v>
      </c>
      <c r="R34" s="705" t="s">
        <v>14</v>
      </c>
      <c r="S34" s="706">
        <f t="shared" si="12"/>
        <v>100</v>
      </c>
      <c r="T34" s="705" t="s">
        <v>14</v>
      </c>
      <c r="U34" s="706">
        <f t="shared" si="13"/>
        <v>100</v>
      </c>
      <c r="V34" s="705" t="s">
        <v>14</v>
      </c>
      <c r="W34" s="706">
        <f t="shared" si="14"/>
        <v>100</v>
      </c>
      <c r="X34" s="1354"/>
      <c r="Y34" s="374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6"/>
      <c r="Q35" s="1351" t="str">
        <f t="shared" si="11"/>
        <v>公共部分装修</v>
      </c>
      <c r="R35" s="705" t="s">
        <v>14</v>
      </c>
      <c r="S35" s="706">
        <f t="shared" si="12"/>
        <v>100</v>
      </c>
      <c r="T35" s="705" t="s">
        <v>14</v>
      </c>
      <c r="U35" s="706">
        <f t="shared" si="13"/>
        <v>100</v>
      </c>
      <c r="V35" s="705" t="s">
        <v>14</v>
      </c>
      <c r="W35" s="706">
        <f t="shared" si="14"/>
        <v>100</v>
      </c>
      <c r="X35" s="1354"/>
      <c r="Y35" s="3748"/>
      <c r="Z35" s="1355" t="str">
        <f t="shared" si="15"/>
        <v>公共部分装修</v>
      </c>
      <c r="AA35" s="1352">
        <f t="shared" si="3"/>
        <v>1</v>
      </c>
      <c r="AB35" s="1352">
        <f t="shared" si="4"/>
        <v>1</v>
      </c>
      <c r="AC35" s="1352">
        <f t="shared" si="5"/>
        <v>1</v>
      </c>
    </row>
    <row r="36" spans="1:29" ht="15">
      <c r="A36" s="423"/>
      <c r="B36" s="375" t="s">
        <v>1786</v>
      </c>
      <c r="C36" s="425">
        <f>'数据-取费表'!N6</f>
        <v>0.73</v>
      </c>
      <c r="D36" s="386">
        <v>100</v>
      </c>
      <c r="E36" s="425">
        <v>0.7</v>
      </c>
      <c r="F36" s="412">
        <f>LOOKUP(E36,110:110,111:111)-LOOKUP(C36,110:110,111:111)+100</f>
        <v>100</v>
      </c>
      <c r="G36" s="425">
        <v>0.7</v>
      </c>
      <c r="H36" s="412">
        <f>LOOKUP(G36,110:110,111:111)-LOOKUP(C36,110:110,111:111)+100</f>
        <v>100</v>
      </c>
      <c r="I36" s="425">
        <v>0.8</v>
      </c>
      <c r="J36" s="386">
        <f>LOOKUP(I36,110:110,111:111)-LOOKUP(C36,110:110,111:111)+100</f>
        <v>101</v>
      </c>
      <c r="K36" s="561">
        <v>1</v>
      </c>
      <c r="L36" s="2721"/>
      <c r="M36" s="2715"/>
      <c r="N36" s="2715"/>
      <c r="O36" s="2715"/>
      <c r="P36" s="3746"/>
      <c r="Q36" s="1351" t="str">
        <f t="shared" si="11"/>
        <v>成新度</v>
      </c>
      <c r="R36" s="705" t="s">
        <v>14</v>
      </c>
      <c r="S36" s="706">
        <f t="shared" si="12"/>
        <v>100</v>
      </c>
      <c r="T36" s="705" t="s">
        <v>14</v>
      </c>
      <c r="U36" s="706">
        <f t="shared" si="13"/>
        <v>100</v>
      </c>
      <c r="V36" s="705" t="s">
        <v>14</v>
      </c>
      <c r="W36" s="706">
        <f t="shared" si="14"/>
        <v>101</v>
      </c>
      <c r="X36" s="1354"/>
      <c r="Y36" s="3748"/>
      <c r="Z36" s="1355" t="str">
        <f t="shared" si="15"/>
        <v>成新度</v>
      </c>
      <c r="AA36" s="1352">
        <f t="shared" si="3"/>
        <v>1</v>
      </c>
      <c r="AB36" s="1352">
        <f t="shared" si="4"/>
        <v>1</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6"/>
      <c r="Q37" s="1342" t="str">
        <f t="shared" si="11"/>
        <v>市政基础设施</v>
      </c>
      <c r="R37" s="701" t="s">
        <v>14</v>
      </c>
      <c r="S37" s="702">
        <f t="shared" si="12"/>
        <v>100</v>
      </c>
      <c r="T37" s="701" t="s">
        <v>14</v>
      </c>
      <c r="U37" s="702">
        <f t="shared" si="13"/>
        <v>100</v>
      </c>
      <c r="V37" s="701" t="s">
        <v>14</v>
      </c>
      <c r="W37" s="702">
        <f t="shared" si="14"/>
        <v>100</v>
      </c>
      <c r="X37" s="703"/>
      <c r="Y37" s="3748"/>
      <c r="Z37" s="52" t="str">
        <f t="shared" si="15"/>
        <v>市政基础设施</v>
      </c>
      <c r="AA37" s="704">
        <f t="shared" si="3"/>
        <v>1</v>
      </c>
      <c r="AB37" s="704">
        <f t="shared" si="4"/>
        <v>1</v>
      </c>
      <c r="AC37" s="704">
        <f t="shared" si="5"/>
        <v>1</v>
      </c>
    </row>
    <row r="38" spans="1:29" ht="15">
      <c r="A38" s="423"/>
      <c r="B38" s="375" t="s">
        <v>1788</v>
      </c>
      <c r="C38" s="1905" t="s">
        <v>3435</v>
      </c>
      <c r="D38" s="386">
        <v>100</v>
      </c>
      <c r="E38" s="1905" t="s">
        <v>3437</v>
      </c>
      <c r="F38" s="412">
        <f>SUMIF(114:114,E38,115:115)-SUMIF(114:114,C38,115:115)+100</f>
        <v>98</v>
      </c>
      <c r="G38" s="1905" t="s">
        <v>3435</v>
      </c>
      <c r="H38" s="386">
        <f>SUMIF(114:114,G38,115:115)-SUMIF(114:114,C38,115:115)+100</f>
        <v>100</v>
      </c>
      <c r="I38" s="1905" t="s">
        <v>3437</v>
      </c>
      <c r="J38" s="386">
        <f>SUMIF(114:114,I38,115:115)-SUMIF(114:114,C38,115:115)+100</f>
        <v>98</v>
      </c>
      <c r="K38" s="561">
        <v>2</v>
      </c>
      <c r="L38" s="2721"/>
      <c r="M38" s="2715"/>
      <c r="N38" s="2715"/>
      <c r="O38" s="2715"/>
      <c r="P38" s="3746" t="s">
        <v>1696</v>
      </c>
      <c r="Q38" s="1351" t="str">
        <f t="shared" si="11"/>
        <v>业态</v>
      </c>
      <c r="R38" s="705" t="s">
        <v>14</v>
      </c>
      <c r="S38" s="706">
        <f t="shared" si="12"/>
        <v>98</v>
      </c>
      <c r="T38" s="705" t="s">
        <v>14</v>
      </c>
      <c r="U38" s="706">
        <f t="shared" si="13"/>
        <v>100</v>
      </c>
      <c r="V38" s="705" t="s">
        <v>14</v>
      </c>
      <c r="W38" s="706">
        <f t="shared" si="14"/>
        <v>98</v>
      </c>
      <c r="X38" s="1354"/>
      <c r="Y38" s="3748" t="s">
        <v>1696</v>
      </c>
      <c r="Z38" s="1355" t="str">
        <f t="shared" si="15"/>
        <v>业态</v>
      </c>
      <c r="AA38" s="1352">
        <f t="shared" si="3"/>
        <v>1.0204081632653061</v>
      </c>
      <c r="AB38" s="1352">
        <f t="shared" si="4"/>
        <v>1</v>
      </c>
      <c r="AC38" s="1352">
        <f t="shared" si="5"/>
        <v>1.0204081632653061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6"/>
      <c r="Q39" s="1351" t="str">
        <f t="shared" si="11"/>
        <v>层高</v>
      </c>
      <c r="R39" s="705" t="s">
        <v>14</v>
      </c>
      <c r="S39" s="706">
        <f t="shared" si="12"/>
        <v>100</v>
      </c>
      <c r="T39" s="705" t="s">
        <v>14</v>
      </c>
      <c r="U39" s="706">
        <f t="shared" si="13"/>
        <v>100</v>
      </c>
      <c r="V39" s="705" t="s">
        <v>14</v>
      </c>
      <c r="W39" s="706">
        <f t="shared" si="14"/>
        <v>100</v>
      </c>
      <c r="X39" s="1354"/>
      <c r="Y39" s="374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6"/>
      <c r="Q40" s="1351" t="str">
        <f t="shared" si="11"/>
        <v>单套建筑面积</v>
      </c>
      <c r="R40" s="705" t="s">
        <v>14</v>
      </c>
      <c r="S40" s="706">
        <f t="shared" si="12"/>
        <v>100</v>
      </c>
      <c r="T40" s="705" t="s">
        <v>14</v>
      </c>
      <c r="U40" s="706">
        <f t="shared" si="13"/>
        <v>100</v>
      </c>
      <c r="V40" s="705" t="s">
        <v>14</v>
      </c>
      <c r="W40" s="706">
        <f t="shared" si="14"/>
        <v>100</v>
      </c>
      <c r="X40" s="1354"/>
      <c r="Y40" s="374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6"/>
      <c r="Q41" s="707" t="str">
        <f t="shared" si="11"/>
        <v>进深比</v>
      </c>
      <c r="R41" s="708" t="s">
        <v>14</v>
      </c>
      <c r="S41" s="709">
        <f t="shared" si="12"/>
        <v>100</v>
      </c>
      <c r="T41" s="708" t="s">
        <v>14</v>
      </c>
      <c r="U41" s="709">
        <f t="shared" si="13"/>
        <v>100</v>
      </c>
      <c r="V41" s="708" t="s">
        <v>14</v>
      </c>
      <c r="W41" s="709">
        <f t="shared" si="14"/>
        <v>100</v>
      </c>
      <c r="X41" s="710"/>
      <c r="Y41" s="3748"/>
      <c r="Z41" s="711" t="str">
        <f t="shared" si="15"/>
        <v>进深比</v>
      </c>
      <c r="AA41" s="1352">
        <f t="shared" si="3"/>
        <v>1</v>
      </c>
      <c r="AB41" s="1352">
        <f t="shared" si="4"/>
        <v>1</v>
      </c>
      <c r="AC41" s="1352">
        <f t="shared" si="5"/>
        <v>1</v>
      </c>
    </row>
    <row r="42" spans="1:29" ht="15">
      <c r="A42" s="423"/>
      <c r="B42" s="375" t="s">
        <v>1792</v>
      </c>
      <c r="C42" s="1905" t="s">
        <v>3440</v>
      </c>
      <c r="D42" s="386">
        <v>100</v>
      </c>
      <c r="E42" s="1905" t="s">
        <v>3440</v>
      </c>
      <c r="F42" s="412">
        <f>SUMIF(122:122,E42,123:123)-SUMIF(122:122,C42,123:123)+100</f>
        <v>100</v>
      </c>
      <c r="G42" s="1905" t="s">
        <v>3440</v>
      </c>
      <c r="H42" s="386">
        <f>SUMIF(122:122,G42,123:123)-SUMIF(122:122,C42,123:123)+100</f>
        <v>100</v>
      </c>
      <c r="I42" s="1905" t="s">
        <v>3440</v>
      </c>
      <c r="J42" s="386">
        <f>SUMIF(122:122,I42,123:123)-SUMIF(122:122,C42,123:123)+100</f>
        <v>100</v>
      </c>
      <c r="K42" s="561">
        <v>1</v>
      </c>
      <c r="L42" s="2721"/>
      <c r="M42" s="2715"/>
      <c r="N42" s="2715"/>
      <c r="O42" s="2715"/>
      <c r="P42" s="3746"/>
      <c r="Q42" s="1351" t="str">
        <f t="shared" si="11"/>
        <v>内部装修</v>
      </c>
      <c r="R42" s="705" t="s">
        <v>14</v>
      </c>
      <c r="S42" s="706">
        <f t="shared" si="12"/>
        <v>100</v>
      </c>
      <c r="T42" s="705" t="s">
        <v>14</v>
      </c>
      <c r="U42" s="706">
        <f t="shared" si="13"/>
        <v>100</v>
      </c>
      <c r="V42" s="705" t="s">
        <v>14</v>
      </c>
      <c r="W42" s="706">
        <f t="shared" si="14"/>
        <v>100</v>
      </c>
      <c r="X42" s="1354"/>
      <c r="Y42" s="3748"/>
      <c r="Z42" s="1355" t="str">
        <f t="shared" si="15"/>
        <v>内部装修</v>
      </c>
      <c r="AA42" s="1352">
        <f t="shared" si="3"/>
        <v>1</v>
      </c>
      <c r="AB42" s="1352">
        <f t="shared" si="4"/>
        <v>1</v>
      </c>
      <c r="AC42" s="1352">
        <f t="shared" si="5"/>
        <v>1</v>
      </c>
    </row>
    <row r="43" spans="1:29" ht="28.8">
      <c r="A43" s="423"/>
      <c r="B43" s="375" t="s">
        <v>1707</v>
      </c>
      <c r="C43" s="1905" t="s">
        <v>3411</v>
      </c>
      <c r="D43" s="386">
        <v>100</v>
      </c>
      <c r="E43" s="1905" t="s">
        <v>3411</v>
      </c>
      <c r="F43" s="412">
        <f>SUMIF(124:124,E43,125:125)-SUMIF(124:124,C43,125:125)+100</f>
        <v>100</v>
      </c>
      <c r="G43" s="1905" t="s">
        <v>3411</v>
      </c>
      <c r="H43" s="386">
        <f>SUMIF(124:124,G43,125:125)-SUMIF(124:124,C43,125:125)+100</f>
        <v>100</v>
      </c>
      <c r="I43" s="1905" t="s">
        <v>3411</v>
      </c>
      <c r="J43" s="386">
        <f>SUMIF(124:124,I43,125:125)-SUMIF(124:124,C43,125:125)+100</f>
        <v>100</v>
      </c>
      <c r="K43" s="561"/>
      <c r="L43" s="2721"/>
      <c r="M43" s="2715"/>
      <c r="N43" s="2715"/>
      <c r="O43" s="2715"/>
      <c r="P43" s="3746"/>
      <c r="Q43" s="1351" t="str">
        <f t="shared" si="11"/>
        <v>内部装修维护情况</v>
      </c>
      <c r="R43" s="705" t="s">
        <v>14</v>
      </c>
      <c r="S43" s="706">
        <f t="shared" si="12"/>
        <v>100</v>
      </c>
      <c r="T43" s="705" t="s">
        <v>14</v>
      </c>
      <c r="U43" s="706">
        <f t="shared" si="13"/>
        <v>100</v>
      </c>
      <c r="V43" s="705" t="s">
        <v>14</v>
      </c>
      <c r="W43" s="706">
        <f t="shared" si="14"/>
        <v>100</v>
      </c>
      <c r="X43" s="1354"/>
      <c r="Y43" s="374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6"/>
      <c r="Q44" s="1342">
        <f t="shared" si="11"/>
        <v>111</v>
      </c>
      <c r="R44" s="701" t="s">
        <v>14</v>
      </c>
      <c r="S44" s="702">
        <f t="shared" si="12"/>
        <v>100</v>
      </c>
      <c r="T44" s="701" t="s">
        <v>14</v>
      </c>
      <c r="U44" s="702">
        <f t="shared" si="13"/>
        <v>100</v>
      </c>
      <c r="V44" s="701" t="s">
        <v>14</v>
      </c>
      <c r="W44" s="702">
        <f t="shared" si="14"/>
        <v>100</v>
      </c>
      <c r="X44" s="703"/>
      <c r="Y44" s="374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6"/>
      <c r="Q45" s="1351">
        <f t="shared" si="11"/>
        <v>111</v>
      </c>
      <c r="R45" s="705" t="s">
        <v>14</v>
      </c>
      <c r="S45" s="706">
        <f t="shared" si="12"/>
        <v>100</v>
      </c>
      <c r="T45" s="705" t="s">
        <v>14</v>
      </c>
      <c r="U45" s="706">
        <f t="shared" si="13"/>
        <v>100</v>
      </c>
      <c r="V45" s="705" t="s">
        <v>14</v>
      </c>
      <c r="W45" s="706">
        <f t="shared" si="14"/>
        <v>100</v>
      </c>
      <c r="X45" s="1354"/>
      <c r="Y45" s="3748"/>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7"/>
      <c r="Q46" s="1351">
        <f t="shared" si="11"/>
        <v>111</v>
      </c>
      <c r="R46" s="705" t="s">
        <v>14</v>
      </c>
      <c r="S46" s="706">
        <f t="shared" si="12"/>
        <v>100</v>
      </c>
      <c r="T46" s="705" t="s">
        <v>14</v>
      </c>
      <c r="U46" s="706">
        <f t="shared" si="13"/>
        <v>100</v>
      </c>
      <c r="V46" s="705" t="s">
        <v>14</v>
      </c>
      <c r="W46" s="706">
        <f t="shared" si="14"/>
        <v>100</v>
      </c>
      <c r="X46" s="1354"/>
      <c r="Y46" s="3749"/>
      <c r="Z46" s="1355">
        <f t="shared" si="15"/>
        <v>111</v>
      </c>
      <c r="AA46" s="1352">
        <f t="shared" si="3"/>
        <v>1</v>
      </c>
      <c r="AB46" s="1352">
        <f t="shared" si="4"/>
        <v>1</v>
      </c>
      <c r="AC46" s="1352">
        <f t="shared" si="5"/>
        <v>1</v>
      </c>
    </row>
    <row r="47" spans="1:29" ht="14.4">
      <c r="A47" s="430" t="s">
        <v>1708</v>
      </c>
      <c r="B47" s="431"/>
      <c r="C47" s="1153" t="s">
        <v>0</v>
      </c>
      <c r="D47" s="1154"/>
      <c r="E47" s="1155">
        <v>30189</v>
      </c>
      <c r="F47" s="1156"/>
      <c r="G47" s="1157">
        <v>35715</v>
      </c>
      <c r="H47" s="1158"/>
      <c r="I47" s="1155">
        <v>30605</v>
      </c>
      <c r="J47" s="1158"/>
      <c r="K47" s="714"/>
      <c r="L47" s="2723"/>
      <c r="M47" s="2724"/>
      <c r="N47" s="2715"/>
      <c r="O47" s="2724"/>
      <c r="P47" s="3741" t="str">
        <f>A47</f>
        <v>成交单价（元/平方米）</v>
      </c>
      <c r="Q47" s="3741"/>
      <c r="R47" s="3736">
        <f>E47</f>
        <v>30189</v>
      </c>
      <c r="S47" s="3736"/>
      <c r="T47" s="3736">
        <f>G47</f>
        <v>35715</v>
      </c>
      <c r="U47" s="3736"/>
      <c r="V47" s="3736">
        <f>I47</f>
        <v>30605</v>
      </c>
      <c r="W47" s="3736"/>
      <c r="X47" s="690"/>
      <c r="Y47" s="712"/>
      <c r="Z47" s="690"/>
      <c r="AA47" s="690"/>
      <c r="AB47" s="690"/>
      <c r="AC47" s="690"/>
    </row>
    <row r="48" spans="1:29" ht="15" thickBot="1">
      <c r="A48" s="437" t="s">
        <v>1793</v>
      </c>
      <c r="B48" s="438"/>
      <c r="C48" s="1159">
        <f>R49</f>
        <v>28009</v>
      </c>
      <c r="D48" s="2316" t="s">
        <v>2138</v>
      </c>
      <c r="E48" s="1160">
        <f>R48</f>
        <v>28120</v>
      </c>
      <c r="F48" s="2317"/>
      <c r="G48" s="1159">
        <f>T48</f>
        <v>28260</v>
      </c>
      <c r="H48" s="2317"/>
      <c r="I48" s="1160">
        <f>V48</f>
        <v>27646</v>
      </c>
      <c r="J48" s="2317"/>
      <c r="K48" s="2319">
        <f>F48+H48+J48</f>
        <v>0</v>
      </c>
      <c r="L48" s="2723"/>
      <c r="M48" s="2724"/>
      <c r="N48" s="2715"/>
      <c r="O48" s="2724"/>
      <c r="P48" s="3741" t="str">
        <f>A48</f>
        <v>比较价值（元/平方米）</v>
      </c>
      <c r="Q48" s="3741"/>
      <c r="R48" s="3742">
        <f>IF(F1="售价",ROUND(PRODUCT(R47,AA7:AA46),0),ROUND(PRODUCT(R47,AA7:AA46),1))</f>
        <v>28120</v>
      </c>
      <c r="S48" s="3742"/>
      <c r="T48" s="3742">
        <f>IF(F1="售价",ROUND(PRODUCT(T47,AB7:AB46),0),ROUND(PRODUCT(T47,AB7:AB46),1))</f>
        <v>28260</v>
      </c>
      <c r="U48" s="3742"/>
      <c r="V48" s="3742">
        <f>IF(F1="售价",ROUND(PRODUCT(V47,AC7:AC46),0),ROUND(PRODUCT(V47,AC7:AC46),1))</f>
        <v>27646</v>
      </c>
      <c r="W48" s="3742"/>
      <c r="X48" s="690"/>
      <c r="Y48" s="690"/>
      <c r="Z48" s="690"/>
      <c r="AA48" s="690"/>
      <c r="AB48" s="690"/>
      <c r="AC48" s="690"/>
    </row>
    <row r="49" spans="1:29" ht="15" thickBot="1">
      <c r="A49" s="441" t="s">
        <v>1794</v>
      </c>
      <c r="B49" s="442"/>
      <c r="C49" s="1162">
        <f>R49</f>
        <v>28009</v>
      </c>
      <c r="D49" s="1162"/>
      <c r="E49" s="1162"/>
      <c r="F49" s="1162"/>
      <c r="G49" s="1162"/>
      <c r="H49" s="1162"/>
      <c r="I49" s="1162"/>
      <c r="J49" s="1162"/>
      <c r="K49" s="715"/>
      <c r="L49" s="2723"/>
      <c r="M49" s="2724"/>
      <c r="N49" s="2715"/>
      <c r="O49" s="2724"/>
      <c r="P49" s="3738" t="str">
        <f>A49</f>
        <v>估价对象XX用房的比较价值（楼面单价，元/平方米）</v>
      </c>
      <c r="Q49" s="3739"/>
      <c r="R49" s="3740">
        <f>IF(F1="售价",ROUND(IF(D48="简单平均",AVERAGE(R48:V48),R48*F48+T48*H48+V48*J48),0),ROUND(IF(D48="简单平均",AVERAGE(R48:V48),R48*F48+T48*H48+V48*J48),1))</f>
        <v>28009</v>
      </c>
      <c r="S49" s="3740"/>
      <c r="T49" s="3740"/>
      <c r="U49" s="3740"/>
      <c r="V49" s="3740"/>
      <c r="W49" s="3740"/>
      <c r="X49" s="690"/>
      <c r="Y49" s="690"/>
      <c r="Z49" s="690"/>
      <c r="AA49" s="690"/>
      <c r="AB49" s="690"/>
      <c r="AC49" s="690"/>
    </row>
    <row r="50" spans="1:29">
      <c r="A50" s="2724"/>
      <c r="B50" s="2724"/>
      <c r="C50" s="2724"/>
      <c r="D50" s="2724"/>
      <c r="E50" s="2724"/>
      <c r="F50" s="2724"/>
      <c r="G50" s="2728">
        <f>ROUND(1-(2024-2002)/50,2)</f>
        <v>0.56000000000000005</v>
      </c>
      <c r="H50" s="2724"/>
      <c r="I50" s="2728">
        <f>ROUND(1-(2024-2011)/50,2)</f>
        <v>0.74</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7.3577524893314372E-2</v>
      </c>
      <c r="F52" s="449" t="str">
        <f>IF(OR(E52&gt;=0.3,E52&lt;=-0.3),"超过30%","")</f>
        <v/>
      </c>
      <c r="G52" s="448">
        <f>IF(G47&lt;G48,G48/G47-1,G47/G48-1)</f>
        <v>0.26380042462845021</v>
      </c>
      <c r="H52" s="449" t="str">
        <f>IF(OR(G52&gt;=0.3,G52&lt;=-0.3),"超过30%","")</f>
        <v/>
      </c>
      <c r="I52" s="448">
        <f>IF(I47&lt;I48,I48/I47-1,I47/I48-1)</f>
        <v>0.10703175866309778</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4.978662873399653E-3</v>
      </c>
      <c r="F53" s="449" t="str">
        <f>IF(OR(E53&gt;=0.2,E53&lt;=-0.2),"超过20%","")</f>
        <v/>
      </c>
      <c r="G53" s="448">
        <f>IF(G48&lt;I48,I48/G48-1,G48/I48-1)</f>
        <v>2.2209361209578171E-2</v>
      </c>
      <c r="H53" s="449" t="str">
        <f>IF(OR(G53&gt;=0.2,G53&lt;=-0.2),"超过20%","")</f>
        <v/>
      </c>
      <c r="I53" s="448">
        <f>IF(I48&lt;E48,E48/I48-1,I48/E48-1)</f>
        <v>1.7145337481009992E-2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0.18304680512769544</v>
      </c>
      <c r="F54" s="449" t="str">
        <f>IF(OR(E54&gt;=0.3,E54&lt;=-0.3),"超过30%","")</f>
        <v/>
      </c>
      <c r="G54" s="448">
        <f>IF(G47&lt;I47,I47/G47-1,G47/I47-1)</f>
        <v>0.16696618199640589</v>
      </c>
      <c r="H54" s="449" t="str">
        <f>IF(OR(G54&gt;=0.3,G54&lt;=-0.3),"超过30%","")</f>
        <v/>
      </c>
      <c r="I54" s="448">
        <f>IF(I47&lt;E47,E47/I47-1,I47/E47-1)</f>
        <v>1.3779853589055646E-2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74" t="s">
        <v>3408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77" t="s">
        <v>3472</v>
      </c>
      <c r="D86" s="3477" t="s">
        <v>3474</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 thickTop="1">
      <c r="A90" s="502"/>
      <c r="B90" s="487" t="str">
        <f>B27</f>
        <v>人流量</v>
      </c>
      <c r="C90" s="3477" t="s">
        <v>3416</v>
      </c>
      <c r="D90" s="3477" t="s">
        <v>3417</v>
      </c>
      <c r="E90" s="3477" t="s">
        <v>3418</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t="s">
        <v>3422</v>
      </c>
      <c r="O91" s="2754">
        <v>100</v>
      </c>
      <c r="P91" s="2744">
        <f>ROUND(O91*P93/O93,0)</f>
        <v>118</v>
      </c>
      <c r="Q91" s="2745"/>
      <c r="R91" s="2746"/>
      <c r="S91" s="2746"/>
      <c r="T91" s="2746"/>
      <c r="U91" s="2746"/>
      <c r="V91" s="2746"/>
      <c r="W91" s="2746"/>
      <c r="X91" s="2746"/>
      <c r="Y91" s="2746"/>
      <c r="Z91" s="2746"/>
      <c r="AA91" s="2746"/>
      <c r="AB91" s="2746"/>
      <c r="AC91" s="2746"/>
    </row>
    <row r="92" spans="1:29" ht="15" thickTop="1">
      <c r="A92" s="483"/>
      <c r="B92" s="487" t="str">
        <f>B28</f>
        <v>楼层</v>
      </c>
      <c r="C92" s="503" t="s">
        <v>3419</v>
      </c>
      <c r="D92" s="503" t="s">
        <v>3420</v>
      </c>
      <c r="E92" s="503" t="s">
        <v>3421</v>
      </c>
      <c r="F92" s="503"/>
      <c r="G92" s="503"/>
      <c r="H92" s="503"/>
      <c r="I92" s="503"/>
      <c r="J92" s="503"/>
      <c r="K92" s="503"/>
      <c r="L92" s="529"/>
      <c r="M92" s="530"/>
      <c r="N92" s="2752" t="s">
        <v>3423</v>
      </c>
      <c r="O92" s="2752">
        <v>70</v>
      </c>
      <c r="P92" s="2743"/>
      <c r="Q92" s="2738"/>
      <c r="R92" s="2724"/>
      <c r="S92" s="2724"/>
      <c r="T92" s="2724"/>
      <c r="U92" s="2724"/>
      <c r="V92" s="2724"/>
      <c r="W92" s="2724"/>
      <c r="X92" s="2724"/>
      <c r="Y92" s="2724"/>
      <c r="Z92" s="2724"/>
      <c r="AA92" s="2724"/>
      <c r="AB92" s="2724"/>
      <c r="AC92" s="2724"/>
    </row>
    <row r="93" spans="1:29" ht="15" thickBot="1">
      <c r="A93" s="483"/>
      <c r="B93" s="492"/>
      <c r="C93" s="485">
        <f>P91</f>
        <v>118</v>
      </c>
      <c r="D93" s="485"/>
      <c r="E93" s="485">
        <f>P93</f>
        <v>100</v>
      </c>
      <c r="F93" s="485"/>
      <c r="G93" s="485"/>
      <c r="H93" s="485"/>
      <c r="I93" s="485"/>
      <c r="J93" s="485"/>
      <c r="K93" s="485"/>
      <c r="L93" s="485"/>
      <c r="M93" s="486"/>
      <c r="N93" s="2753" t="s">
        <v>3424</v>
      </c>
      <c r="O93" s="2753">
        <f>(O91+O92)/2</f>
        <v>85</v>
      </c>
      <c r="P93" s="2743">
        <v>100</v>
      </c>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78" t="s">
        <v>3427</v>
      </c>
      <c r="D100" s="3478" t="s">
        <v>3429</v>
      </c>
      <c r="E100" s="3478" t="s">
        <v>3431</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0(含)-100</v>
      </c>
      <c r="D102" s="527" t="str">
        <f t="shared" ref="D102:L102" si="23">D103&amp;"(含)"&amp;"-"&amp;E103</f>
        <v>100(含)-200</v>
      </c>
      <c r="E102" s="527" t="str">
        <f t="shared" si="23"/>
        <v>200(含)-400</v>
      </c>
      <c r="F102" s="527" t="str">
        <f t="shared" si="23"/>
        <v>400(含)-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v>99</v>
      </c>
      <c r="E104" s="485">
        <v>98</v>
      </c>
      <c r="F104" s="48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77" t="s">
        <v>3433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77" t="s">
        <v>3436</v>
      </c>
      <c r="D114" s="3477" t="s">
        <v>3438</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77" t="s">
        <v>3439</v>
      </c>
      <c r="D122" s="3477" t="s">
        <v>3441</v>
      </c>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207.28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24" t="s">
        <v>1770</v>
      </c>
      <c r="D4" s="3725"/>
      <c r="E4" s="3726" t="s">
        <v>1771</v>
      </c>
      <c r="F4" s="3727"/>
      <c r="G4" s="3724" t="s">
        <v>1772</v>
      </c>
      <c r="H4" s="3725"/>
      <c r="I4" s="3724" t="s">
        <v>1773</v>
      </c>
      <c r="J4" s="3725"/>
      <c r="K4" s="559" t="s">
        <v>1774</v>
      </c>
      <c r="L4" s="2714"/>
      <c r="M4" s="2715"/>
      <c r="N4" s="2715"/>
      <c r="O4" s="2715"/>
      <c r="P4" s="3760" t="s">
        <v>1775</v>
      </c>
      <c r="Q4" s="3761"/>
      <c r="R4" s="3755" t="s">
        <v>1771</v>
      </c>
      <c r="S4" s="3756"/>
      <c r="T4" s="3755" t="s">
        <v>1772</v>
      </c>
      <c r="U4" s="3756"/>
      <c r="V4" s="3764" t="s">
        <v>1773</v>
      </c>
      <c r="W4" s="3764"/>
      <c r="X4" s="1957"/>
      <c r="Y4" s="3755" t="s">
        <v>1775</v>
      </c>
      <c r="Z4" s="3756"/>
      <c r="AA4" s="3754" t="s">
        <v>1771</v>
      </c>
      <c r="AB4" s="3754" t="s">
        <v>1772</v>
      </c>
      <c r="AC4" s="3757" t="s">
        <v>1773</v>
      </c>
    </row>
    <row r="5" spans="1:29">
      <c r="A5" s="358"/>
      <c r="B5" s="359"/>
      <c r="C5" s="3717" t="s">
        <v>1673</v>
      </c>
      <c r="D5" s="3718"/>
      <c r="E5" s="3715" t="s">
        <v>1674</v>
      </c>
      <c r="F5" s="3716"/>
      <c r="G5" s="3717" t="s">
        <v>1675</v>
      </c>
      <c r="H5" s="3718"/>
      <c r="I5" s="3717" t="s">
        <v>1676</v>
      </c>
      <c r="J5" s="3718"/>
      <c r="K5" s="559"/>
      <c r="L5" s="2714"/>
      <c r="M5" s="2715"/>
      <c r="N5" s="2715"/>
      <c r="O5" s="2715"/>
      <c r="P5" s="3762"/>
      <c r="Q5" s="3731"/>
      <c r="R5" s="3713"/>
      <c r="S5" s="3714"/>
      <c r="T5" s="3713"/>
      <c r="U5" s="3714"/>
      <c r="V5" s="3736"/>
      <c r="W5" s="3736"/>
      <c r="X5" s="1354"/>
      <c r="Y5" s="3713"/>
      <c r="Z5" s="3714"/>
      <c r="AA5" s="3707"/>
      <c r="AB5" s="3707"/>
      <c r="AC5" s="3758"/>
    </row>
    <row r="6" spans="1:29" ht="15" thickBot="1">
      <c r="A6" s="360"/>
      <c r="B6" s="361"/>
      <c r="C6" s="3719" t="s">
        <v>1677</v>
      </c>
      <c r="D6" s="3720"/>
      <c r="E6" s="3721" t="s">
        <v>1677</v>
      </c>
      <c r="F6" s="3722"/>
      <c r="G6" s="3719" t="s">
        <v>1677</v>
      </c>
      <c r="H6" s="3720"/>
      <c r="I6" s="3719" t="s">
        <v>1677</v>
      </c>
      <c r="J6" s="3720"/>
      <c r="K6" s="559" t="s">
        <v>1678</v>
      </c>
      <c r="L6" s="2714"/>
      <c r="M6" s="2715"/>
      <c r="N6" s="2715"/>
      <c r="O6" s="2715"/>
      <c r="P6" s="3763"/>
      <c r="Q6" s="3733"/>
      <c r="R6" s="3713"/>
      <c r="S6" s="3714"/>
      <c r="T6" s="3734"/>
      <c r="U6" s="3735"/>
      <c r="V6" s="3736"/>
      <c r="W6" s="3736"/>
      <c r="X6" s="1354"/>
      <c r="Y6" s="3734"/>
      <c r="Z6" s="3735"/>
      <c r="AA6" s="3708"/>
      <c r="AB6" s="3708"/>
      <c r="AC6" s="3759"/>
    </row>
    <row r="7" spans="1:29" s="108" customFormat="1" ht="15" thickBot="1">
      <c r="A7" s="362" t="s">
        <v>1679</v>
      </c>
      <c r="B7" s="363"/>
      <c r="C7" s="364">
        <f>'数据-取费表'!B2</f>
        <v>45510</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5"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5"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3"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1958">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3"/>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3"/>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3"/>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3"/>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3"/>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0" t="s">
        <v>1691</v>
      </c>
      <c r="Q15" s="1351" t="str">
        <f t="shared" si="6"/>
        <v>办公集聚程度</v>
      </c>
      <c r="R15" s="705" t="s">
        <v>14</v>
      </c>
      <c r="S15" s="706">
        <f t="shared" si="0"/>
        <v>100</v>
      </c>
      <c r="T15" s="705" t="s">
        <v>14</v>
      </c>
      <c r="U15" s="706">
        <f t="shared" si="1"/>
        <v>100</v>
      </c>
      <c r="V15" s="705" t="s">
        <v>14</v>
      </c>
      <c r="W15" s="706">
        <f t="shared" si="2"/>
        <v>100</v>
      </c>
      <c r="X15" s="1354"/>
      <c r="Y15" s="374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51"/>
      <c r="Q16" s="1351"/>
      <c r="R16" s="705"/>
      <c r="S16" s="706"/>
      <c r="T16" s="705"/>
      <c r="U16" s="706"/>
      <c r="V16" s="705"/>
      <c r="W16" s="706"/>
      <c r="X16" s="1354"/>
      <c r="Y16" s="3744"/>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1"/>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1"/>
      <c r="Q18" s="1351"/>
      <c r="R18" s="705"/>
      <c r="S18" s="706"/>
      <c r="T18" s="705"/>
      <c r="U18" s="706"/>
      <c r="V18" s="705"/>
      <c r="W18" s="706"/>
      <c r="X18" s="1354"/>
      <c r="Y18" s="3744"/>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1"/>
      <c r="Q19" s="1351" t="str">
        <f>B19</f>
        <v>公共配套设施</v>
      </c>
      <c r="R19" s="705" t="s">
        <v>14</v>
      </c>
      <c r="S19" s="706">
        <f>F19</f>
        <v>100</v>
      </c>
      <c r="T19" s="705" t="s">
        <v>14</v>
      </c>
      <c r="U19" s="706">
        <f>H19</f>
        <v>100</v>
      </c>
      <c r="V19" s="705" t="s">
        <v>14</v>
      </c>
      <c r="W19" s="706">
        <f>J19</f>
        <v>100</v>
      </c>
      <c r="X19" s="1354"/>
      <c r="Y19" s="374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1"/>
      <c r="Q20" s="1351"/>
      <c r="R20" s="705"/>
      <c r="S20" s="706"/>
      <c r="T20" s="705"/>
      <c r="U20" s="706"/>
      <c r="V20" s="705"/>
      <c r="W20" s="706"/>
      <c r="X20" s="1354"/>
      <c r="Y20" s="3744"/>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1"/>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51"/>
      <c r="Q22" s="1351"/>
      <c r="R22" s="705"/>
      <c r="S22" s="706"/>
      <c r="T22" s="705"/>
      <c r="U22" s="706"/>
      <c r="V22" s="705"/>
      <c r="W22" s="706"/>
      <c r="X22" s="1354"/>
      <c r="Y22" s="3744"/>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1"/>
      <c r="Q23" s="1351" t="str">
        <f>B23</f>
        <v>环境质量</v>
      </c>
      <c r="R23" s="705" t="s">
        <v>14</v>
      </c>
      <c r="S23" s="706">
        <f>F23</f>
        <v>100</v>
      </c>
      <c r="T23" s="705" t="s">
        <v>14</v>
      </c>
      <c r="U23" s="706">
        <f>H23</f>
        <v>100</v>
      </c>
      <c r="V23" s="705" t="s">
        <v>14</v>
      </c>
      <c r="W23" s="706">
        <f>J23</f>
        <v>100</v>
      </c>
      <c r="X23" s="1354"/>
      <c r="Y23" s="374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1"/>
      <c r="Q24" s="1351"/>
      <c r="R24" s="705"/>
      <c r="S24" s="706"/>
      <c r="T24" s="705"/>
      <c r="U24" s="706"/>
      <c r="V24" s="705"/>
      <c r="W24" s="706"/>
      <c r="X24" s="1354"/>
      <c r="Y24" s="3744"/>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1"/>
      <c r="Q25" s="1351" t="str">
        <f>B25</f>
        <v>毗邻道路的类型与等级</v>
      </c>
      <c r="R25" s="705" t="s">
        <v>14</v>
      </c>
      <c r="S25" s="706">
        <f>F25</f>
        <v>100</v>
      </c>
      <c r="T25" s="705" t="s">
        <v>14</v>
      </c>
      <c r="U25" s="706">
        <f>H25</f>
        <v>100</v>
      </c>
      <c r="V25" s="705" t="s">
        <v>14</v>
      </c>
      <c r="W25" s="706">
        <f>J25</f>
        <v>100</v>
      </c>
      <c r="X25" s="1354"/>
      <c r="Y25" s="374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1"/>
      <c r="Q26" s="1351"/>
      <c r="R26" s="705"/>
      <c r="S26" s="706"/>
      <c r="T26" s="705"/>
      <c r="U26" s="706"/>
      <c r="V26" s="705"/>
      <c r="W26" s="706"/>
      <c r="X26" s="1354"/>
      <c r="Y26" s="374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1"/>
      <c r="Q27" s="1351" t="str">
        <f t="shared" ref="Q27:Q47" si="11">B27</f>
        <v>楼层</v>
      </c>
      <c r="R27" s="705" t="s">
        <v>14</v>
      </c>
      <c r="S27" s="706">
        <f>F27</f>
        <v>100</v>
      </c>
      <c r="T27" s="705" t="s">
        <v>14</v>
      </c>
      <c r="U27" s="706">
        <f>H27</f>
        <v>100</v>
      </c>
      <c r="V27" s="705" t="s">
        <v>14</v>
      </c>
      <c r="W27" s="706">
        <f>J27</f>
        <v>100</v>
      </c>
      <c r="X27" s="1354"/>
      <c r="Y27" s="374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1"/>
      <c r="Q28" s="1342" t="str">
        <f t="shared" si="11"/>
        <v>朝向</v>
      </c>
      <c r="R28" s="701" t="s">
        <v>14</v>
      </c>
      <c r="S28" s="702">
        <f>F28</f>
        <v>100</v>
      </c>
      <c r="T28" s="701" t="s">
        <v>14</v>
      </c>
      <c r="U28" s="702">
        <f>H28</f>
        <v>100</v>
      </c>
      <c r="V28" s="701" t="s">
        <v>14</v>
      </c>
      <c r="W28" s="702">
        <f>J28</f>
        <v>100</v>
      </c>
      <c r="X28" s="703"/>
      <c r="Y28" s="374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1"/>
      <c r="Q29" s="1351">
        <f t="shared" si="11"/>
        <v>111</v>
      </c>
      <c r="R29" s="705" t="s">
        <v>14</v>
      </c>
      <c r="S29" s="706">
        <f t="shared" ref="S29:S47" si="12">F29</f>
        <v>100</v>
      </c>
      <c r="T29" s="705" t="s">
        <v>14</v>
      </c>
      <c r="U29" s="706">
        <f t="shared" ref="U29:U47" si="13">H29</f>
        <v>100</v>
      </c>
      <c r="V29" s="705" t="s">
        <v>14</v>
      </c>
      <c r="W29" s="706">
        <f t="shared" ref="W29:W47" si="14">J29</f>
        <v>100</v>
      </c>
      <c r="X29" s="1354"/>
      <c r="Y29" s="374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1"/>
      <c r="Q30" s="1351">
        <f t="shared" si="11"/>
        <v>111</v>
      </c>
      <c r="R30" s="705" t="s">
        <v>14</v>
      </c>
      <c r="S30" s="706">
        <f t="shared" si="12"/>
        <v>100</v>
      </c>
      <c r="T30" s="705" t="s">
        <v>14</v>
      </c>
      <c r="U30" s="706">
        <f t="shared" si="13"/>
        <v>100</v>
      </c>
      <c r="V30" s="705" t="s">
        <v>14</v>
      </c>
      <c r="W30" s="706">
        <f t="shared" si="14"/>
        <v>100</v>
      </c>
      <c r="X30" s="1354"/>
      <c r="Y30" s="374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1"/>
      <c r="Q31" s="1351">
        <f t="shared" si="11"/>
        <v>111</v>
      </c>
      <c r="R31" s="705" t="s">
        <v>14</v>
      </c>
      <c r="S31" s="706">
        <f t="shared" si="12"/>
        <v>100</v>
      </c>
      <c r="T31" s="705" t="s">
        <v>14</v>
      </c>
      <c r="U31" s="706">
        <f t="shared" si="13"/>
        <v>100</v>
      </c>
      <c r="V31" s="705" t="s">
        <v>14</v>
      </c>
      <c r="W31" s="706">
        <f t="shared" si="14"/>
        <v>100</v>
      </c>
      <c r="X31" s="1354"/>
      <c r="Y31" s="3744"/>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1"/>
      <c r="Q32" s="1351">
        <f t="shared" si="11"/>
        <v>111</v>
      </c>
      <c r="R32" s="705" t="s">
        <v>14</v>
      </c>
      <c r="S32" s="706">
        <f t="shared" si="12"/>
        <v>100</v>
      </c>
      <c r="T32" s="705" t="s">
        <v>14</v>
      </c>
      <c r="U32" s="706">
        <f t="shared" si="13"/>
        <v>100</v>
      </c>
      <c r="V32" s="705" t="s">
        <v>14</v>
      </c>
      <c r="W32" s="706">
        <f t="shared" si="14"/>
        <v>100</v>
      </c>
      <c r="X32" s="1354"/>
      <c r="Y32" s="374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5" t="s">
        <v>1696</v>
      </c>
      <c r="Q33" s="1351" t="str">
        <f t="shared" si="11"/>
        <v>建筑类型</v>
      </c>
      <c r="R33" s="705" t="s">
        <v>14</v>
      </c>
      <c r="S33" s="706">
        <f t="shared" si="12"/>
        <v>100</v>
      </c>
      <c r="T33" s="705" t="s">
        <v>14</v>
      </c>
      <c r="U33" s="706">
        <f t="shared" si="13"/>
        <v>100</v>
      </c>
      <c r="V33" s="705" t="s">
        <v>14</v>
      </c>
      <c r="W33" s="706">
        <f t="shared" si="14"/>
        <v>100</v>
      </c>
      <c r="X33" s="1354"/>
      <c r="Y33" s="374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6"/>
      <c r="Q34" s="707" t="str">
        <f t="shared" si="11"/>
        <v>项目建筑规模</v>
      </c>
      <c r="R34" s="708" t="s">
        <v>14</v>
      </c>
      <c r="S34" s="709" t="e">
        <f t="shared" si="12"/>
        <v>#N/A</v>
      </c>
      <c r="T34" s="708" t="s">
        <v>14</v>
      </c>
      <c r="U34" s="709" t="e">
        <f t="shared" si="13"/>
        <v>#N/A</v>
      </c>
      <c r="V34" s="708" t="s">
        <v>14</v>
      </c>
      <c r="W34" s="709" t="e">
        <f t="shared" si="14"/>
        <v>#N/A</v>
      </c>
      <c r="X34" s="710"/>
      <c r="Y34" s="374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6"/>
      <c r="Q35" s="1351" t="str">
        <f t="shared" si="11"/>
        <v>建筑结构</v>
      </c>
      <c r="R35" s="705" t="s">
        <v>14</v>
      </c>
      <c r="S35" s="706">
        <f t="shared" si="12"/>
        <v>100</v>
      </c>
      <c r="T35" s="705" t="s">
        <v>14</v>
      </c>
      <c r="U35" s="706">
        <f t="shared" si="13"/>
        <v>100</v>
      </c>
      <c r="V35" s="705" t="s">
        <v>14</v>
      </c>
      <c r="W35" s="706">
        <f t="shared" si="14"/>
        <v>100</v>
      </c>
      <c r="X35" s="1354"/>
      <c r="Y35" s="374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6"/>
      <c r="Q36" s="1351" t="str">
        <f t="shared" si="11"/>
        <v>公共部分装修</v>
      </c>
      <c r="R36" s="705" t="s">
        <v>14</v>
      </c>
      <c r="S36" s="706">
        <f t="shared" si="12"/>
        <v>100</v>
      </c>
      <c r="T36" s="705" t="s">
        <v>14</v>
      </c>
      <c r="U36" s="706">
        <f t="shared" si="13"/>
        <v>100</v>
      </c>
      <c r="V36" s="705" t="s">
        <v>14</v>
      </c>
      <c r="W36" s="706">
        <f t="shared" si="14"/>
        <v>100</v>
      </c>
      <c r="X36" s="1354"/>
      <c r="Y36" s="374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6"/>
      <c r="Q37" s="1351" t="str">
        <f t="shared" si="11"/>
        <v>成新度</v>
      </c>
      <c r="R37" s="705" t="s">
        <v>14</v>
      </c>
      <c r="S37" s="706" t="e">
        <f t="shared" si="12"/>
        <v>#N/A</v>
      </c>
      <c r="T37" s="705" t="s">
        <v>14</v>
      </c>
      <c r="U37" s="706" t="e">
        <f t="shared" si="13"/>
        <v>#N/A</v>
      </c>
      <c r="V37" s="705" t="s">
        <v>14</v>
      </c>
      <c r="W37" s="706" t="e">
        <f t="shared" si="14"/>
        <v>#N/A</v>
      </c>
      <c r="X37" s="1354"/>
      <c r="Y37" s="374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6"/>
      <c r="Q38" s="1342" t="str">
        <f t="shared" si="11"/>
        <v>写字楼等级</v>
      </c>
      <c r="R38" s="701" t="s">
        <v>14</v>
      </c>
      <c r="S38" s="702">
        <f t="shared" si="12"/>
        <v>100</v>
      </c>
      <c r="T38" s="701" t="s">
        <v>14</v>
      </c>
      <c r="U38" s="702">
        <f t="shared" si="13"/>
        <v>100</v>
      </c>
      <c r="V38" s="701" t="s">
        <v>14</v>
      </c>
      <c r="W38" s="702">
        <f t="shared" si="14"/>
        <v>100</v>
      </c>
      <c r="X38" s="703"/>
      <c r="Y38" s="374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6" t="s">
        <v>1696</v>
      </c>
      <c r="Q39" s="1351" t="str">
        <f t="shared" si="11"/>
        <v>物业管理</v>
      </c>
      <c r="R39" s="705" t="s">
        <v>14</v>
      </c>
      <c r="S39" s="706">
        <f t="shared" si="12"/>
        <v>100</v>
      </c>
      <c r="T39" s="705" t="s">
        <v>14</v>
      </c>
      <c r="U39" s="706">
        <f t="shared" si="13"/>
        <v>100</v>
      </c>
      <c r="V39" s="705" t="s">
        <v>14</v>
      </c>
      <c r="W39" s="706">
        <f t="shared" si="14"/>
        <v>100</v>
      </c>
      <c r="X39" s="1354"/>
      <c r="Y39" s="374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6"/>
      <c r="Q40" s="1351" t="str">
        <f t="shared" si="11"/>
        <v>市政基础设施</v>
      </c>
      <c r="R40" s="705" t="s">
        <v>14</v>
      </c>
      <c r="S40" s="706">
        <f t="shared" si="12"/>
        <v>100</v>
      </c>
      <c r="T40" s="705" t="s">
        <v>14</v>
      </c>
      <c r="U40" s="706">
        <f t="shared" si="13"/>
        <v>100</v>
      </c>
      <c r="V40" s="705" t="s">
        <v>14</v>
      </c>
      <c r="W40" s="706">
        <f t="shared" si="14"/>
        <v>100</v>
      </c>
      <c r="X40" s="1354"/>
      <c r="Y40" s="374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6"/>
      <c r="Q41" s="1351" t="str">
        <f t="shared" si="11"/>
        <v>层高</v>
      </c>
      <c r="R41" s="705" t="s">
        <v>14</v>
      </c>
      <c r="S41" s="706">
        <f t="shared" si="12"/>
        <v>100</v>
      </c>
      <c r="T41" s="705" t="s">
        <v>14</v>
      </c>
      <c r="U41" s="706">
        <f t="shared" si="13"/>
        <v>100</v>
      </c>
      <c r="V41" s="705" t="s">
        <v>14</v>
      </c>
      <c r="W41" s="706">
        <f t="shared" si="14"/>
        <v>100</v>
      </c>
      <c r="X41" s="1354"/>
      <c r="Y41" s="374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6"/>
      <c r="Q42" s="707" t="str">
        <f t="shared" si="11"/>
        <v>单套建筑面积</v>
      </c>
      <c r="R42" s="708" t="s">
        <v>14</v>
      </c>
      <c r="S42" s="709">
        <f t="shared" si="12"/>
        <v>100</v>
      </c>
      <c r="T42" s="708" t="s">
        <v>14</v>
      </c>
      <c r="U42" s="709">
        <f t="shared" si="13"/>
        <v>100</v>
      </c>
      <c r="V42" s="708" t="s">
        <v>14</v>
      </c>
      <c r="W42" s="709">
        <f t="shared" si="14"/>
        <v>100</v>
      </c>
      <c r="X42" s="710"/>
      <c r="Y42" s="374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6"/>
      <c r="Q43" s="1351" t="str">
        <f t="shared" si="11"/>
        <v>内部装修</v>
      </c>
      <c r="R43" s="705" t="s">
        <v>14</v>
      </c>
      <c r="S43" s="706">
        <f t="shared" si="12"/>
        <v>100</v>
      </c>
      <c r="T43" s="705" t="s">
        <v>14</v>
      </c>
      <c r="U43" s="706">
        <f t="shared" si="13"/>
        <v>100</v>
      </c>
      <c r="V43" s="705" t="s">
        <v>14</v>
      </c>
      <c r="W43" s="706">
        <f t="shared" si="14"/>
        <v>100</v>
      </c>
      <c r="X43" s="1354"/>
      <c r="Y43" s="3748"/>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6"/>
      <c r="Q44" s="1351" t="str">
        <f t="shared" si="11"/>
        <v>内部装修维护情况</v>
      </c>
      <c r="R44" s="705" t="s">
        <v>14</v>
      </c>
      <c r="S44" s="706">
        <f t="shared" si="12"/>
        <v>100</v>
      </c>
      <c r="T44" s="705" t="s">
        <v>14</v>
      </c>
      <c r="U44" s="706">
        <f t="shared" si="13"/>
        <v>100</v>
      </c>
      <c r="V44" s="705" t="s">
        <v>14</v>
      </c>
      <c r="W44" s="706">
        <f t="shared" si="14"/>
        <v>100</v>
      </c>
      <c r="X44" s="1354"/>
      <c r="Y44" s="374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6"/>
      <c r="Q45" s="1342">
        <f t="shared" si="11"/>
        <v>111</v>
      </c>
      <c r="R45" s="701" t="s">
        <v>14</v>
      </c>
      <c r="S45" s="702">
        <f t="shared" si="12"/>
        <v>100</v>
      </c>
      <c r="T45" s="701" t="s">
        <v>14</v>
      </c>
      <c r="U45" s="702">
        <f t="shared" si="13"/>
        <v>100</v>
      </c>
      <c r="V45" s="701" t="s">
        <v>14</v>
      </c>
      <c r="W45" s="702">
        <f t="shared" si="14"/>
        <v>100</v>
      </c>
      <c r="X45" s="703"/>
      <c r="Y45" s="3748"/>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6"/>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7"/>
      <c r="Q47" s="1351">
        <f t="shared" si="11"/>
        <v>111</v>
      </c>
      <c r="R47" s="705" t="s">
        <v>14</v>
      </c>
      <c r="S47" s="706">
        <f t="shared" si="12"/>
        <v>100</v>
      </c>
      <c r="T47" s="705" t="s">
        <v>14</v>
      </c>
      <c r="U47" s="706">
        <f t="shared" si="13"/>
        <v>100</v>
      </c>
      <c r="V47" s="705" t="s">
        <v>14</v>
      </c>
      <c r="W47" s="706">
        <f t="shared" si="14"/>
        <v>100</v>
      </c>
      <c r="X47" s="1354"/>
      <c r="Y47" s="3749"/>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4"/>
      <c r="L48" s="2723"/>
      <c r="M48" s="2715"/>
      <c r="N48" s="2715"/>
      <c r="O48" s="2715"/>
      <c r="P48" s="3723" t="str">
        <f>A48</f>
        <v>成交单价（元/平方米）</v>
      </c>
      <c r="Q48" s="3741"/>
      <c r="R48" s="3742">
        <f>E48</f>
        <v>0</v>
      </c>
      <c r="S48" s="3742"/>
      <c r="T48" s="3742">
        <f>G48</f>
        <v>0</v>
      </c>
      <c r="U48" s="3742"/>
      <c r="V48" s="3742">
        <f>I48</f>
        <v>0</v>
      </c>
      <c r="W48" s="3742"/>
      <c r="X48" s="397"/>
      <c r="Y48" s="712"/>
      <c r="Z48" s="397"/>
      <c r="AA48" s="397"/>
      <c r="AB48" s="397"/>
      <c r="AC48" s="578"/>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23" t="str">
        <f>A49</f>
        <v>比较价值（元/平方米）</v>
      </c>
      <c r="Q49" s="3741"/>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3"/>
      <c r="M50" s="2715"/>
      <c r="N50" s="2715"/>
      <c r="O50" s="2715"/>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3" t="str">
        <f>YEAR(C7)&amp;"-"&amp;MONTH(C7)</f>
        <v>2024-8</v>
      </c>
      <c r="D59" s="1184">
        <f>EDATE(C59,-1)</f>
        <v>45474</v>
      </c>
      <c r="E59" s="1184">
        <f>EDATE(D59,-1)</f>
        <v>45444</v>
      </c>
      <c r="F59" s="1184">
        <f t="shared" ref="F59:O59" si="16">EDATE(E59,-1)</f>
        <v>45413</v>
      </c>
      <c r="G59" s="1184">
        <f t="shared" si="16"/>
        <v>45383</v>
      </c>
      <c r="H59" s="1184">
        <f t="shared" si="16"/>
        <v>45352</v>
      </c>
      <c r="I59" s="1184">
        <f t="shared" si="16"/>
        <v>45323</v>
      </c>
      <c r="J59" s="1184">
        <f t="shared" si="16"/>
        <v>45292</v>
      </c>
      <c r="K59" s="1184">
        <f t="shared" si="16"/>
        <v>45261</v>
      </c>
      <c r="L59" s="1184">
        <f t="shared" si="16"/>
        <v>45231</v>
      </c>
      <c r="M59" s="1184">
        <f t="shared" si="16"/>
        <v>45200</v>
      </c>
      <c r="N59" s="1184">
        <f t="shared" si="16"/>
        <v>45170</v>
      </c>
      <c r="O59" s="1184">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估价对象为北京市房地产，为所有。根据《国有土地使用证》[]，估价对象（分摊）出让国有建设用地使用权面积为0平方米，建筑面积为207.28平方米。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估价对象为北京市房地产,属开发建设的商业项目，该项目尚在开发建设中。根据《国有土地使用证》[]，估价对象（分摊）出让国有建设用地使用权面积为0平方米，规划建筑面积为207.28平方米。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2024年8月6日（评估专业人员实地查勘之日）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207.28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4" t="s">
        <v>1770</v>
      </c>
      <c r="D4" s="3725"/>
      <c r="E4" s="3726" t="s">
        <v>1771</v>
      </c>
      <c r="F4" s="3727"/>
      <c r="G4" s="3724" t="s">
        <v>1772</v>
      </c>
      <c r="H4" s="3725"/>
      <c r="I4" s="3724" t="s">
        <v>1773</v>
      </c>
      <c r="J4" s="3725"/>
      <c r="K4" s="559" t="s">
        <v>1774</v>
      </c>
      <c r="L4" s="913"/>
      <c r="M4" s="914"/>
      <c r="N4" s="914"/>
      <c r="O4" s="914"/>
      <c r="P4" s="3728" t="s">
        <v>1775</v>
      </c>
      <c r="Q4" s="3729"/>
      <c r="R4" s="3711" t="s">
        <v>1771</v>
      </c>
      <c r="S4" s="3712"/>
      <c r="T4" s="3711" t="s">
        <v>1772</v>
      </c>
      <c r="U4" s="3712"/>
      <c r="V4" s="3736" t="s">
        <v>1773</v>
      </c>
      <c r="W4" s="3736"/>
      <c r="X4" s="1354"/>
      <c r="Y4" s="3711" t="s">
        <v>1775</v>
      </c>
      <c r="Z4" s="3712"/>
      <c r="AA4" s="3706" t="s">
        <v>1771</v>
      </c>
      <c r="AB4" s="3707" t="s">
        <v>1772</v>
      </c>
      <c r="AC4" s="3706" t="s">
        <v>1773</v>
      </c>
    </row>
    <row r="5" spans="1:29">
      <c r="A5" s="358"/>
      <c r="B5" s="359"/>
      <c r="C5" s="3717" t="s">
        <v>1673</v>
      </c>
      <c r="D5" s="3718"/>
      <c r="E5" s="3715" t="s">
        <v>1674</v>
      </c>
      <c r="F5" s="3716"/>
      <c r="G5" s="3717" t="s">
        <v>1675</v>
      </c>
      <c r="H5" s="3718"/>
      <c r="I5" s="3717" t="s">
        <v>1676</v>
      </c>
      <c r="J5" s="3718"/>
      <c r="K5" s="559"/>
      <c r="L5" s="913"/>
      <c r="M5" s="914"/>
      <c r="N5" s="914"/>
      <c r="O5" s="914"/>
      <c r="P5" s="3730"/>
      <c r="Q5" s="3731"/>
      <c r="R5" s="3713"/>
      <c r="S5" s="3714"/>
      <c r="T5" s="3713"/>
      <c r="U5" s="3714"/>
      <c r="V5" s="3736"/>
      <c r="W5" s="3736"/>
      <c r="X5" s="1354"/>
      <c r="Y5" s="3713"/>
      <c r="Z5" s="3714"/>
      <c r="AA5" s="3707"/>
      <c r="AB5" s="3707"/>
      <c r="AC5" s="3707"/>
    </row>
    <row r="6" spans="1:29" ht="15" thickBot="1">
      <c r="A6" s="360"/>
      <c r="B6" s="361"/>
      <c r="C6" s="3719" t="s">
        <v>1677</v>
      </c>
      <c r="D6" s="3720"/>
      <c r="E6" s="3721" t="s">
        <v>1677</v>
      </c>
      <c r="F6" s="3722"/>
      <c r="G6" s="3719" t="s">
        <v>1677</v>
      </c>
      <c r="H6" s="3720"/>
      <c r="I6" s="3719" t="s">
        <v>1677</v>
      </c>
      <c r="J6" s="3720"/>
      <c r="K6" s="559" t="s">
        <v>1678</v>
      </c>
      <c r="L6" s="913"/>
      <c r="M6" s="914"/>
      <c r="N6" s="914"/>
      <c r="O6" s="914"/>
      <c r="P6" s="3732"/>
      <c r="Q6" s="3733"/>
      <c r="R6" s="3713"/>
      <c r="S6" s="3714"/>
      <c r="T6" s="3734"/>
      <c r="U6" s="3735"/>
      <c r="V6" s="3736"/>
      <c r="W6" s="3736"/>
      <c r="X6" s="1354"/>
      <c r="Y6" s="3734"/>
      <c r="Z6" s="3735"/>
      <c r="AA6" s="3708"/>
      <c r="AB6" s="3708"/>
      <c r="AC6" s="3708"/>
    </row>
    <row r="7" spans="1:29" s="108" customFormat="1" ht="15" thickBot="1">
      <c r="A7" s="362" t="s">
        <v>1679</v>
      </c>
      <c r="B7" s="363"/>
      <c r="C7" s="364">
        <f>'数据-取费表'!B2</f>
        <v>45510</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1"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1"/>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1"/>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3" t="s">
        <v>1691</v>
      </c>
      <c r="Q15" s="1351" t="str">
        <f t="shared" si="6"/>
        <v>产业集聚程度</v>
      </c>
      <c r="R15" s="705" t="s">
        <v>14</v>
      </c>
      <c r="S15" s="706">
        <f t="shared" si="0"/>
        <v>100</v>
      </c>
      <c r="T15" s="705" t="s">
        <v>14</v>
      </c>
      <c r="U15" s="706">
        <f t="shared" si="1"/>
        <v>100</v>
      </c>
      <c r="V15" s="705" t="s">
        <v>14</v>
      </c>
      <c r="W15" s="706">
        <f t="shared" si="2"/>
        <v>100</v>
      </c>
      <c r="X15" s="1354"/>
      <c r="Y15" s="374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4"/>
      <c r="Q16" s="1351"/>
      <c r="R16" s="705"/>
      <c r="S16" s="706"/>
      <c r="T16" s="705"/>
      <c r="U16" s="706"/>
      <c r="V16" s="705"/>
      <c r="W16" s="706"/>
      <c r="X16" s="1354"/>
      <c r="Y16" s="3744"/>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4"/>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4"/>
      <c r="Q18" s="1351"/>
      <c r="R18" s="705"/>
      <c r="S18" s="706"/>
      <c r="T18" s="705"/>
      <c r="U18" s="706"/>
      <c r="V18" s="705"/>
      <c r="W18" s="706"/>
      <c r="X18" s="1354"/>
      <c r="Y18" s="3744"/>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4"/>
      <c r="Q19" s="1351" t="str">
        <f>B19</f>
        <v>公共配套设施</v>
      </c>
      <c r="R19" s="705" t="s">
        <v>14</v>
      </c>
      <c r="S19" s="706">
        <f>F19</f>
        <v>100</v>
      </c>
      <c r="T19" s="705" t="s">
        <v>14</v>
      </c>
      <c r="U19" s="706">
        <f>H19</f>
        <v>100</v>
      </c>
      <c r="V19" s="705" t="s">
        <v>14</v>
      </c>
      <c r="W19" s="706">
        <f>J19</f>
        <v>100</v>
      </c>
      <c r="X19" s="1354"/>
      <c r="Y19" s="374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4"/>
      <c r="Q20" s="1351"/>
      <c r="R20" s="705"/>
      <c r="S20" s="706"/>
      <c r="T20" s="705"/>
      <c r="U20" s="706"/>
      <c r="V20" s="705"/>
      <c r="W20" s="706"/>
      <c r="X20" s="1354"/>
      <c r="Y20" s="3744"/>
      <c r="Z20" s="1355"/>
      <c r="AA20" s="1352">
        <v>1</v>
      </c>
      <c r="AB20" s="1352">
        <v>1</v>
      </c>
      <c r="AC20" s="1352">
        <v>1</v>
      </c>
    </row>
    <row r="21" spans="1:29" ht="41.4">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4"/>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744"/>
      <c r="Q22" s="1351"/>
      <c r="R22" s="705"/>
      <c r="S22" s="706"/>
      <c r="T22" s="705"/>
      <c r="U22" s="706"/>
      <c r="V22" s="705"/>
      <c r="W22" s="706"/>
      <c r="X22" s="1354"/>
      <c r="Y22" s="3744"/>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4"/>
      <c r="Q23" s="1351" t="str">
        <f>B23</f>
        <v>环境质量</v>
      </c>
      <c r="R23" s="705" t="s">
        <v>14</v>
      </c>
      <c r="S23" s="706">
        <f>F23</f>
        <v>100</v>
      </c>
      <c r="T23" s="705" t="s">
        <v>14</v>
      </c>
      <c r="U23" s="706">
        <f>H23</f>
        <v>100</v>
      </c>
      <c r="V23" s="705" t="s">
        <v>14</v>
      </c>
      <c r="W23" s="706">
        <f>J23</f>
        <v>100</v>
      </c>
      <c r="X23" s="1354"/>
      <c r="Y23" s="374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744"/>
      <c r="Q24" s="1351"/>
      <c r="R24" s="705"/>
      <c r="S24" s="706"/>
      <c r="T24" s="705"/>
      <c r="U24" s="706"/>
      <c r="V24" s="705"/>
      <c r="W24" s="706"/>
      <c r="X24" s="1354"/>
      <c r="Y24" s="374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4"/>
      <c r="Q25" s="1351">
        <f>B25</f>
        <v>111</v>
      </c>
      <c r="R25" s="705" t="s">
        <v>14</v>
      </c>
      <c r="S25" s="706">
        <f>F25</f>
        <v>100</v>
      </c>
      <c r="T25" s="705" t="s">
        <v>14</v>
      </c>
      <c r="U25" s="706">
        <f>H25</f>
        <v>100</v>
      </c>
      <c r="V25" s="705" t="s">
        <v>14</v>
      </c>
      <c r="W25" s="706">
        <f>J25</f>
        <v>100</v>
      </c>
      <c r="X25" s="1354"/>
      <c r="Y25" s="374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4"/>
      <c r="Q26" s="1351">
        <f t="shared" ref="Q26:Q40" si="11">B26</f>
        <v>111</v>
      </c>
      <c r="R26" s="705" t="s">
        <v>14</v>
      </c>
      <c r="S26" s="706">
        <f>F26</f>
        <v>100</v>
      </c>
      <c r="T26" s="705" t="s">
        <v>14</v>
      </c>
      <c r="U26" s="706">
        <f>H26</f>
        <v>100</v>
      </c>
      <c r="V26" s="705" t="s">
        <v>14</v>
      </c>
      <c r="W26" s="706">
        <f>J26</f>
        <v>100</v>
      </c>
      <c r="X26" s="1354"/>
      <c r="Y26" s="374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4"/>
      <c r="Q27" s="1342">
        <f t="shared" si="11"/>
        <v>111</v>
      </c>
      <c r="R27" s="701" t="s">
        <v>14</v>
      </c>
      <c r="S27" s="702">
        <f>F27</f>
        <v>100</v>
      </c>
      <c r="T27" s="701" t="s">
        <v>14</v>
      </c>
      <c r="U27" s="702">
        <f>H27</f>
        <v>100</v>
      </c>
      <c r="V27" s="701" t="s">
        <v>14</v>
      </c>
      <c r="W27" s="702">
        <f>J27</f>
        <v>100</v>
      </c>
      <c r="X27" s="703"/>
      <c r="Y27" s="3744"/>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4"/>
      <c r="Q28" s="1351">
        <f t="shared" si="11"/>
        <v>111</v>
      </c>
      <c r="R28" s="705" t="s">
        <v>14</v>
      </c>
      <c r="S28" s="706">
        <f t="shared" ref="S28:S40" si="12">F28</f>
        <v>100</v>
      </c>
      <c r="T28" s="705" t="s">
        <v>14</v>
      </c>
      <c r="U28" s="706">
        <f t="shared" ref="U28:U40" si="13">H28</f>
        <v>100</v>
      </c>
      <c r="V28" s="705" t="s">
        <v>14</v>
      </c>
      <c r="W28" s="706">
        <f t="shared" ref="W28:W40" si="14">J28</f>
        <v>100</v>
      </c>
      <c r="X28" s="1354"/>
      <c r="Y28" s="3744"/>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9" t="s">
        <v>1696</v>
      </c>
      <c r="Q29" s="1351" t="str">
        <f t="shared" si="11"/>
        <v>建筑类型</v>
      </c>
      <c r="R29" s="705" t="s">
        <v>14</v>
      </c>
      <c r="S29" s="706">
        <f t="shared" si="12"/>
        <v>100</v>
      </c>
      <c r="T29" s="705" t="s">
        <v>14</v>
      </c>
      <c r="U29" s="706">
        <f t="shared" si="13"/>
        <v>100</v>
      </c>
      <c r="V29" s="705" t="s">
        <v>14</v>
      </c>
      <c r="W29" s="706">
        <f t="shared" si="14"/>
        <v>100</v>
      </c>
      <c r="X29" s="1354"/>
      <c r="Y29" s="374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8"/>
      <c r="Q30" s="707" t="str">
        <f t="shared" si="11"/>
        <v>项目建筑规模</v>
      </c>
      <c r="R30" s="708" t="s">
        <v>14</v>
      </c>
      <c r="S30" s="709" t="e">
        <f t="shared" si="12"/>
        <v>#N/A</v>
      </c>
      <c r="T30" s="708" t="s">
        <v>14</v>
      </c>
      <c r="U30" s="709" t="e">
        <f t="shared" si="13"/>
        <v>#N/A</v>
      </c>
      <c r="V30" s="708" t="s">
        <v>14</v>
      </c>
      <c r="W30" s="709" t="e">
        <f t="shared" si="14"/>
        <v>#N/A</v>
      </c>
      <c r="X30" s="710"/>
      <c r="Y30" s="374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8"/>
      <c r="Q31" s="1351" t="str">
        <f t="shared" si="11"/>
        <v>建筑结构</v>
      </c>
      <c r="R31" s="705" t="s">
        <v>14</v>
      </c>
      <c r="S31" s="706">
        <f t="shared" si="12"/>
        <v>100</v>
      </c>
      <c r="T31" s="705" t="s">
        <v>14</v>
      </c>
      <c r="U31" s="706">
        <f t="shared" si="13"/>
        <v>100</v>
      </c>
      <c r="V31" s="705" t="s">
        <v>14</v>
      </c>
      <c r="W31" s="706">
        <f t="shared" si="14"/>
        <v>100</v>
      </c>
      <c r="X31" s="1354"/>
      <c r="Y31" s="374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8"/>
      <c r="Q32" s="1351" t="str">
        <f t="shared" si="11"/>
        <v>公共部分装修</v>
      </c>
      <c r="R32" s="705" t="s">
        <v>14</v>
      </c>
      <c r="S32" s="706">
        <f t="shared" si="12"/>
        <v>100</v>
      </c>
      <c r="T32" s="705" t="s">
        <v>14</v>
      </c>
      <c r="U32" s="706">
        <f t="shared" si="13"/>
        <v>100</v>
      </c>
      <c r="V32" s="705" t="s">
        <v>14</v>
      </c>
      <c r="W32" s="706">
        <f t="shared" si="14"/>
        <v>100</v>
      </c>
      <c r="X32" s="1354"/>
      <c r="Y32" s="374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8"/>
      <c r="Q33" s="1351" t="str">
        <f t="shared" si="11"/>
        <v>成新度</v>
      </c>
      <c r="R33" s="705" t="s">
        <v>14</v>
      </c>
      <c r="S33" s="706" t="e">
        <f t="shared" si="12"/>
        <v>#N/A</v>
      </c>
      <c r="T33" s="705" t="s">
        <v>14</v>
      </c>
      <c r="U33" s="706" t="e">
        <f t="shared" si="13"/>
        <v>#N/A</v>
      </c>
      <c r="V33" s="705" t="s">
        <v>14</v>
      </c>
      <c r="W33" s="706" t="e">
        <f t="shared" si="14"/>
        <v>#N/A</v>
      </c>
      <c r="X33" s="1354"/>
      <c r="Y33" s="374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8"/>
      <c r="Q34" s="1342" t="str">
        <f t="shared" si="11"/>
        <v>物业管理</v>
      </c>
      <c r="R34" s="701" t="s">
        <v>14</v>
      </c>
      <c r="S34" s="702">
        <f t="shared" si="12"/>
        <v>100</v>
      </c>
      <c r="T34" s="701" t="s">
        <v>14</v>
      </c>
      <c r="U34" s="702">
        <f t="shared" si="13"/>
        <v>100</v>
      </c>
      <c r="V34" s="701" t="s">
        <v>14</v>
      </c>
      <c r="W34" s="702">
        <f t="shared" si="14"/>
        <v>100</v>
      </c>
      <c r="X34" s="703"/>
      <c r="Y34" s="374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8" t="s">
        <v>1696</v>
      </c>
      <c r="Q35" s="1351" t="str">
        <f t="shared" si="11"/>
        <v>市政基础设施</v>
      </c>
      <c r="R35" s="705" t="s">
        <v>14</v>
      </c>
      <c r="S35" s="706">
        <f t="shared" si="12"/>
        <v>100</v>
      </c>
      <c r="T35" s="705" t="s">
        <v>14</v>
      </c>
      <c r="U35" s="706">
        <f t="shared" si="13"/>
        <v>100</v>
      </c>
      <c r="V35" s="705" t="s">
        <v>14</v>
      </c>
      <c r="W35" s="706">
        <f t="shared" si="14"/>
        <v>100</v>
      </c>
      <c r="X35" s="1354"/>
      <c r="Y35" s="374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8"/>
      <c r="Q36" s="1351" t="str">
        <f t="shared" si="11"/>
        <v>内部装修</v>
      </c>
      <c r="R36" s="705" t="s">
        <v>14</v>
      </c>
      <c r="S36" s="706">
        <f t="shared" si="12"/>
        <v>100</v>
      </c>
      <c r="T36" s="705" t="s">
        <v>14</v>
      </c>
      <c r="U36" s="706">
        <f t="shared" si="13"/>
        <v>100</v>
      </c>
      <c r="V36" s="705" t="s">
        <v>14</v>
      </c>
      <c r="W36" s="706">
        <f t="shared" si="14"/>
        <v>100</v>
      </c>
      <c r="X36" s="1354"/>
      <c r="Y36" s="374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8"/>
      <c r="Q37" s="1351" t="str">
        <f t="shared" si="11"/>
        <v>内部装修状况</v>
      </c>
      <c r="R37" s="705" t="s">
        <v>14</v>
      </c>
      <c r="S37" s="706">
        <f t="shared" si="12"/>
        <v>100</v>
      </c>
      <c r="T37" s="705" t="s">
        <v>14</v>
      </c>
      <c r="U37" s="706">
        <f t="shared" si="13"/>
        <v>100</v>
      </c>
      <c r="V37" s="705" t="s">
        <v>14</v>
      </c>
      <c r="W37" s="706">
        <f t="shared" si="14"/>
        <v>100</v>
      </c>
      <c r="X37" s="1354"/>
      <c r="Y37" s="374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8"/>
      <c r="Q38" s="707">
        <f t="shared" si="11"/>
        <v>111</v>
      </c>
      <c r="R38" s="708" t="s">
        <v>14</v>
      </c>
      <c r="S38" s="709">
        <f t="shared" si="12"/>
        <v>100</v>
      </c>
      <c r="T38" s="708" t="s">
        <v>14</v>
      </c>
      <c r="U38" s="709">
        <f t="shared" si="13"/>
        <v>100</v>
      </c>
      <c r="V38" s="708" t="s">
        <v>14</v>
      </c>
      <c r="W38" s="709">
        <f t="shared" si="14"/>
        <v>100</v>
      </c>
      <c r="X38" s="710"/>
      <c r="Y38" s="374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8"/>
      <c r="Q39" s="1351">
        <f t="shared" si="11"/>
        <v>111</v>
      </c>
      <c r="R39" s="705" t="s">
        <v>14</v>
      </c>
      <c r="S39" s="706">
        <f t="shared" si="12"/>
        <v>100</v>
      </c>
      <c r="T39" s="705" t="s">
        <v>14</v>
      </c>
      <c r="U39" s="706">
        <f t="shared" si="13"/>
        <v>100</v>
      </c>
      <c r="V39" s="705" t="s">
        <v>14</v>
      </c>
      <c r="W39" s="706">
        <f t="shared" si="14"/>
        <v>100</v>
      </c>
      <c r="X39" s="1354"/>
      <c r="Y39" s="3748"/>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9"/>
      <c r="Q40" s="1351">
        <f t="shared" si="11"/>
        <v>111</v>
      </c>
      <c r="R40" s="705" t="s">
        <v>14</v>
      </c>
      <c r="S40" s="706">
        <f t="shared" si="12"/>
        <v>100</v>
      </c>
      <c r="T40" s="705" t="s">
        <v>14</v>
      </c>
      <c r="U40" s="706">
        <f t="shared" si="13"/>
        <v>100</v>
      </c>
      <c r="V40" s="705" t="s">
        <v>14</v>
      </c>
      <c r="W40" s="706">
        <f t="shared" si="14"/>
        <v>100</v>
      </c>
      <c r="X40" s="1354"/>
      <c r="Y40" s="3749"/>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741" t="str">
        <f>A41</f>
        <v>成交单价（元/平方米）</v>
      </c>
      <c r="Q41" s="3741"/>
      <c r="R41" s="3742">
        <f>E41</f>
        <v>0</v>
      </c>
      <c r="S41" s="3742"/>
      <c r="T41" s="3742">
        <f>G41</f>
        <v>0</v>
      </c>
      <c r="U41" s="3742"/>
      <c r="V41" s="3742">
        <f>I41</f>
        <v>0</v>
      </c>
      <c r="W41" s="3742"/>
      <c r="X41" s="690"/>
      <c r="Y41" s="712"/>
      <c r="Z41" s="690"/>
      <c r="AA41" s="690"/>
      <c r="AB41" s="690"/>
      <c r="AC41" s="690"/>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2024-8</v>
      </c>
      <c r="D52" s="1184">
        <f>EDATE(C52,-1)</f>
        <v>45474</v>
      </c>
      <c r="E52" s="1184">
        <f t="shared" ref="E52:O52" si="16">EDATE(D52,-1)</f>
        <v>45444</v>
      </c>
      <c r="F52" s="1184">
        <f t="shared" si="16"/>
        <v>45413</v>
      </c>
      <c r="G52" s="1184">
        <f t="shared" si="16"/>
        <v>45383</v>
      </c>
      <c r="H52" s="1184">
        <f t="shared" si="16"/>
        <v>45352</v>
      </c>
      <c r="I52" s="1184">
        <f t="shared" si="16"/>
        <v>45323</v>
      </c>
      <c r="J52" s="1184">
        <f t="shared" si="16"/>
        <v>45292</v>
      </c>
      <c r="K52" s="1184">
        <f t="shared" si="16"/>
        <v>45261</v>
      </c>
      <c r="L52" s="1184">
        <f t="shared" si="16"/>
        <v>45231</v>
      </c>
      <c r="M52" s="1184">
        <f t="shared" si="16"/>
        <v>45200</v>
      </c>
      <c r="N52" s="1184">
        <f t="shared" si="16"/>
        <v>45170</v>
      </c>
      <c r="O52" s="1184">
        <f t="shared" si="16"/>
        <v>45139</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4.4">
      <c r="A4" s="355" t="s">
        <v>1769</v>
      </c>
      <c r="B4" s="356"/>
      <c r="C4" s="3724" t="s">
        <v>1770</v>
      </c>
      <c r="D4" s="3725"/>
      <c r="E4" s="3726" t="s">
        <v>1771</v>
      </c>
      <c r="F4" s="3727"/>
      <c r="G4" s="3724" t="s">
        <v>1772</v>
      </c>
      <c r="H4" s="3725"/>
      <c r="I4" s="3724" t="s">
        <v>1773</v>
      </c>
      <c r="J4" s="3725"/>
      <c r="K4" s="559" t="s">
        <v>1774</v>
      </c>
      <c r="L4" s="2714"/>
      <c r="M4" s="2715"/>
      <c r="N4" s="2715"/>
      <c r="O4" s="2715"/>
      <c r="P4" s="3728" t="s">
        <v>1775</v>
      </c>
      <c r="Q4" s="3729"/>
      <c r="R4" s="3711" t="s">
        <v>1771</v>
      </c>
      <c r="S4" s="3712"/>
      <c r="T4" s="3711" t="s">
        <v>1772</v>
      </c>
      <c r="U4" s="3712"/>
      <c r="V4" s="3736" t="s">
        <v>1773</v>
      </c>
      <c r="W4" s="3736"/>
      <c r="X4" s="1354"/>
      <c r="Y4" s="3711" t="s">
        <v>1775</v>
      </c>
      <c r="Z4" s="3712"/>
      <c r="AA4" s="3706" t="s">
        <v>1771</v>
      </c>
      <c r="AB4" s="3707" t="s">
        <v>1772</v>
      </c>
      <c r="AC4" s="3706" t="s">
        <v>1773</v>
      </c>
    </row>
    <row r="5" spans="1:29">
      <c r="A5" s="358"/>
      <c r="B5" s="359"/>
      <c r="C5" s="3717" t="s">
        <v>1673</v>
      </c>
      <c r="D5" s="3718"/>
      <c r="E5" s="3715" t="s">
        <v>1674</v>
      </c>
      <c r="F5" s="3716"/>
      <c r="G5" s="3717" t="s">
        <v>1675</v>
      </c>
      <c r="H5" s="3718"/>
      <c r="I5" s="3717" t="s">
        <v>1676</v>
      </c>
      <c r="J5" s="3718"/>
      <c r="K5" s="559"/>
      <c r="L5" s="2714"/>
      <c r="M5" s="2715"/>
      <c r="N5" s="2715"/>
      <c r="O5" s="2715"/>
      <c r="P5" s="3730"/>
      <c r="Q5" s="3731"/>
      <c r="R5" s="3713"/>
      <c r="S5" s="3714"/>
      <c r="T5" s="3713"/>
      <c r="U5" s="3714"/>
      <c r="V5" s="3736"/>
      <c r="W5" s="3736"/>
      <c r="X5" s="1354"/>
      <c r="Y5" s="3713"/>
      <c r="Z5" s="3714"/>
      <c r="AA5" s="3707"/>
      <c r="AB5" s="3707"/>
      <c r="AC5" s="3707"/>
    </row>
    <row r="6" spans="1:29" ht="15" thickBot="1">
      <c r="A6" s="360"/>
      <c r="B6" s="361"/>
      <c r="C6" s="3719" t="s">
        <v>1677</v>
      </c>
      <c r="D6" s="3720"/>
      <c r="E6" s="3721" t="s">
        <v>1677</v>
      </c>
      <c r="F6" s="3722"/>
      <c r="G6" s="3719" t="s">
        <v>1677</v>
      </c>
      <c r="H6" s="3720"/>
      <c r="I6" s="3719" t="s">
        <v>1677</v>
      </c>
      <c r="J6" s="3720"/>
      <c r="K6" s="559" t="s">
        <v>1678</v>
      </c>
      <c r="L6" s="2714"/>
      <c r="M6" s="2715"/>
      <c r="N6" s="2715"/>
      <c r="O6" s="2715"/>
      <c r="P6" s="3732"/>
      <c r="Q6" s="3733"/>
      <c r="R6" s="3713"/>
      <c r="S6" s="3714"/>
      <c r="T6" s="3734"/>
      <c r="U6" s="3735"/>
      <c r="V6" s="3736"/>
      <c r="W6" s="3736"/>
      <c r="X6" s="1354"/>
      <c r="Y6" s="3734"/>
      <c r="Z6" s="3735"/>
      <c r="AA6" s="3708"/>
      <c r="AB6" s="3708"/>
      <c r="AC6" s="3708"/>
    </row>
    <row r="7" spans="1:29" s="108" customFormat="1" ht="15" thickBot="1">
      <c r="A7" s="362" t="s">
        <v>1679</v>
      </c>
      <c r="B7" s="363"/>
      <c r="C7" s="364">
        <f>'数据-取费表'!B2</f>
        <v>45510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1680</v>
      </c>
      <c r="Q7" s="3737"/>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1" t="s">
        <v>1686</v>
      </c>
      <c r="Q9" s="1342" t="str">
        <f t="shared" ref="Q9:Q14" si="6">B9</f>
        <v>用途</v>
      </c>
      <c r="R9" s="701" t="s">
        <v>14</v>
      </c>
      <c r="S9" s="702">
        <f t="shared" si="0"/>
        <v>100</v>
      </c>
      <c r="T9" s="701" t="s">
        <v>14</v>
      </c>
      <c r="U9" s="702">
        <f t="shared" si="1"/>
        <v>100</v>
      </c>
      <c r="V9" s="701" t="s">
        <v>14</v>
      </c>
      <c r="W9" s="702">
        <f t="shared" si="2"/>
        <v>100</v>
      </c>
      <c r="X9" s="703"/>
      <c r="Y9" s="3653"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1"/>
      <c r="Q11" s="1342">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3" t="s">
        <v>1691</v>
      </c>
      <c r="Q14" s="1351" t="str">
        <f t="shared" si="6"/>
        <v>交通便捷度</v>
      </c>
      <c r="R14" s="705" t="s">
        <v>14</v>
      </c>
      <c r="S14" s="706">
        <f t="shared" si="0"/>
        <v>100</v>
      </c>
      <c r="T14" s="705" t="s">
        <v>14</v>
      </c>
      <c r="U14" s="706">
        <f t="shared" si="1"/>
        <v>100</v>
      </c>
      <c r="V14" s="705" t="s">
        <v>14</v>
      </c>
      <c r="W14" s="706">
        <f t="shared" si="2"/>
        <v>100</v>
      </c>
      <c r="X14" s="1354"/>
      <c r="Y14" s="374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4"/>
      <c r="Q15" s="1351"/>
      <c r="R15" s="705"/>
      <c r="S15" s="706"/>
      <c r="T15" s="705"/>
      <c r="U15" s="706"/>
      <c r="V15" s="705"/>
      <c r="W15" s="706"/>
      <c r="X15" s="1354"/>
      <c r="Y15" s="3744"/>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4"/>
      <c r="Q16" s="1351" t="str">
        <f>B16</f>
        <v>公共配套设施</v>
      </c>
      <c r="R16" s="705" t="s">
        <v>14</v>
      </c>
      <c r="S16" s="706">
        <f>F16</f>
        <v>100</v>
      </c>
      <c r="T16" s="705" t="s">
        <v>14</v>
      </c>
      <c r="U16" s="706">
        <f>H16</f>
        <v>100</v>
      </c>
      <c r="V16" s="705" t="s">
        <v>14</v>
      </c>
      <c r="W16" s="706">
        <f>J16</f>
        <v>100</v>
      </c>
      <c r="X16" s="1354"/>
      <c r="Y16" s="374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4"/>
      <c r="Q17" s="1351"/>
      <c r="R17" s="705"/>
      <c r="S17" s="706"/>
      <c r="T17" s="705"/>
      <c r="U17" s="706"/>
      <c r="V17" s="705"/>
      <c r="W17" s="706"/>
      <c r="X17" s="1354"/>
      <c r="Y17" s="3744"/>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4"/>
      <c r="Q18" s="1351" t="str">
        <f>B18</f>
        <v>基础设施水平</v>
      </c>
      <c r="R18" s="705" t="s">
        <v>14</v>
      </c>
      <c r="S18" s="706">
        <f>F18</f>
        <v>100</v>
      </c>
      <c r="T18" s="705" t="s">
        <v>14</v>
      </c>
      <c r="U18" s="706">
        <f>H18</f>
        <v>100</v>
      </c>
      <c r="V18" s="705" t="s">
        <v>14</v>
      </c>
      <c r="W18" s="706">
        <f>J18</f>
        <v>100</v>
      </c>
      <c r="X18" s="1354"/>
      <c r="Y18" s="374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44"/>
      <c r="Q19" s="1351"/>
      <c r="R19" s="705"/>
      <c r="S19" s="706"/>
      <c r="T19" s="705"/>
      <c r="U19" s="706"/>
      <c r="V19" s="705"/>
      <c r="W19" s="706"/>
      <c r="X19" s="1354"/>
      <c r="Y19" s="3744"/>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4"/>
      <c r="Q20" s="1351" t="str">
        <f>B20</f>
        <v>自然及人文环境</v>
      </c>
      <c r="R20" s="705" t="s">
        <v>14</v>
      </c>
      <c r="S20" s="706">
        <f>F20</f>
        <v>100</v>
      </c>
      <c r="T20" s="705" t="s">
        <v>14</v>
      </c>
      <c r="U20" s="706">
        <f>H20</f>
        <v>100</v>
      </c>
      <c r="V20" s="705" t="s">
        <v>14</v>
      </c>
      <c r="W20" s="706">
        <f>J20</f>
        <v>100</v>
      </c>
      <c r="X20" s="1354"/>
      <c r="Y20" s="374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4"/>
      <c r="Q21" s="1351"/>
      <c r="R21" s="705"/>
      <c r="S21" s="706"/>
      <c r="T21" s="705"/>
      <c r="U21" s="706"/>
      <c r="V21" s="705"/>
      <c r="W21" s="706"/>
      <c r="X21" s="1354"/>
      <c r="Y21" s="374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4"/>
      <c r="Q22" s="1351" t="str">
        <f>B22</f>
        <v>楼层</v>
      </c>
      <c r="R22" s="705" t="s">
        <v>14</v>
      </c>
      <c r="S22" s="706">
        <f>F22</f>
        <v>100</v>
      </c>
      <c r="T22" s="705" t="s">
        <v>14</v>
      </c>
      <c r="U22" s="706">
        <f>H22</f>
        <v>100</v>
      </c>
      <c r="V22" s="705" t="s">
        <v>14</v>
      </c>
      <c r="W22" s="706">
        <f>J22</f>
        <v>100</v>
      </c>
      <c r="X22" s="1354"/>
      <c r="Y22" s="374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4"/>
      <c r="Q23" s="1351">
        <f>B23</f>
        <v>111</v>
      </c>
      <c r="R23" s="705" t="s">
        <v>14</v>
      </c>
      <c r="S23" s="706">
        <f>F23</f>
        <v>100</v>
      </c>
      <c r="T23" s="705" t="s">
        <v>14</v>
      </c>
      <c r="U23" s="706">
        <f>H23</f>
        <v>100</v>
      </c>
      <c r="V23" s="705" t="s">
        <v>14</v>
      </c>
      <c r="W23" s="706">
        <f>J23</f>
        <v>100</v>
      </c>
      <c r="X23" s="1354"/>
      <c r="Y23" s="374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4"/>
      <c r="Q24" s="1351">
        <f t="shared" ref="Q24:Q36" si="11">B24</f>
        <v>111</v>
      </c>
      <c r="R24" s="705" t="s">
        <v>14</v>
      </c>
      <c r="S24" s="706">
        <f>F24</f>
        <v>100</v>
      </c>
      <c r="T24" s="705" t="s">
        <v>14</v>
      </c>
      <c r="U24" s="706">
        <f>H24</f>
        <v>100</v>
      </c>
      <c r="V24" s="705" t="s">
        <v>14</v>
      </c>
      <c r="W24" s="706">
        <f>J24</f>
        <v>100</v>
      </c>
      <c r="X24" s="1354"/>
      <c r="Y24" s="3744"/>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4"/>
      <c r="Q25" s="1342">
        <f t="shared" si="11"/>
        <v>111</v>
      </c>
      <c r="R25" s="701" t="s">
        <v>14</v>
      </c>
      <c r="S25" s="702">
        <f>F25</f>
        <v>100</v>
      </c>
      <c r="T25" s="701" t="s">
        <v>14</v>
      </c>
      <c r="U25" s="702">
        <f>H25</f>
        <v>100</v>
      </c>
      <c r="V25" s="701" t="s">
        <v>14</v>
      </c>
      <c r="W25" s="702">
        <f>J25</f>
        <v>100</v>
      </c>
      <c r="X25" s="703"/>
      <c r="Y25" s="3744"/>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8"/>
      <c r="Q27" s="707" t="str">
        <f t="shared" si="11"/>
        <v>项目停车位配比</v>
      </c>
      <c r="R27" s="708" t="s">
        <v>14</v>
      </c>
      <c r="S27" s="709">
        <f t="shared" si="12"/>
        <v>100</v>
      </c>
      <c r="T27" s="708" t="s">
        <v>14</v>
      </c>
      <c r="U27" s="709">
        <f t="shared" si="13"/>
        <v>100</v>
      </c>
      <c r="V27" s="708" t="s">
        <v>14</v>
      </c>
      <c r="W27" s="709">
        <f t="shared" si="14"/>
        <v>100</v>
      </c>
      <c r="X27" s="710"/>
      <c r="Y27" s="374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8"/>
      <c r="Q28" s="1351" t="str">
        <f t="shared" si="11"/>
        <v>公共部分装修</v>
      </c>
      <c r="R28" s="705" t="s">
        <v>14</v>
      </c>
      <c r="S28" s="706">
        <f t="shared" si="12"/>
        <v>100</v>
      </c>
      <c r="T28" s="705" t="s">
        <v>14</v>
      </c>
      <c r="U28" s="706">
        <f t="shared" si="13"/>
        <v>100</v>
      </c>
      <c r="V28" s="705" t="s">
        <v>14</v>
      </c>
      <c r="W28" s="706">
        <f t="shared" si="14"/>
        <v>100</v>
      </c>
      <c r="X28" s="1354"/>
      <c r="Y28" s="374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8"/>
      <c r="Q29" s="1351" t="str">
        <f t="shared" si="11"/>
        <v>成新率</v>
      </c>
      <c r="R29" s="705" t="s">
        <v>14</v>
      </c>
      <c r="S29" s="706" t="e">
        <f t="shared" si="12"/>
        <v>#N/A</v>
      </c>
      <c r="T29" s="705" t="s">
        <v>14</v>
      </c>
      <c r="U29" s="706" t="e">
        <f t="shared" si="13"/>
        <v>#N/A</v>
      </c>
      <c r="V29" s="705" t="s">
        <v>14</v>
      </c>
      <c r="W29" s="706" t="e">
        <f t="shared" si="14"/>
        <v>#N/A</v>
      </c>
      <c r="X29" s="1354"/>
      <c r="Y29" s="374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8"/>
      <c r="Q30" s="1351" t="str">
        <f t="shared" si="11"/>
        <v>物业等级</v>
      </c>
      <c r="R30" s="705" t="s">
        <v>14</v>
      </c>
      <c r="S30" s="706">
        <f t="shared" si="12"/>
        <v>100</v>
      </c>
      <c r="T30" s="705" t="s">
        <v>14</v>
      </c>
      <c r="U30" s="706">
        <f t="shared" si="13"/>
        <v>100</v>
      </c>
      <c r="V30" s="705" t="s">
        <v>14</v>
      </c>
      <c r="W30" s="706">
        <f t="shared" si="14"/>
        <v>100</v>
      </c>
      <c r="X30" s="1354"/>
      <c r="Y30" s="374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8"/>
      <c r="Q31" s="1342" t="str">
        <f t="shared" si="11"/>
        <v>停车位面积</v>
      </c>
      <c r="R31" s="701" t="s">
        <v>14</v>
      </c>
      <c r="S31" s="702" t="e">
        <f t="shared" si="12"/>
        <v>#N/A</v>
      </c>
      <c r="T31" s="701" t="s">
        <v>14</v>
      </c>
      <c r="U31" s="702" t="e">
        <f t="shared" si="13"/>
        <v>#N/A</v>
      </c>
      <c r="V31" s="701" t="s">
        <v>14</v>
      </c>
      <c r="W31" s="702" t="e">
        <f t="shared" si="14"/>
        <v>#N/A</v>
      </c>
      <c r="X31" s="703"/>
      <c r="Y31" s="374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8" t="s">
        <v>1696</v>
      </c>
      <c r="Q32" s="1351" t="str">
        <f t="shared" si="11"/>
        <v>车位类型</v>
      </c>
      <c r="R32" s="705" t="s">
        <v>14</v>
      </c>
      <c r="S32" s="706">
        <f t="shared" si="12"/>
        <v>100</v>
      </c>
      <c r="T32" s="705" t="s">
        <v>14</v>
      </c>
      <c r="U32" s="706">
        <f t="shared" si="13"/>
        <v>100</v>
      </c>
      <c r="V32" s="705" t="s">
        <v>14</v>
      </c>
      <c r="W32" s="706">
        <f t="shared" si="14"/>
        <v>100</v>
      </c>
      <c r="X32" s="1354"/>
      <c r="Y32" s="374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8"/>
      <c r="Q33" s="1351" t="str">
        <f t="shared" si="11"/>
        <v>是否直接入户</v>
      </c>
      <c r="R33" s="705" t="s">
        <v>14</v>
      </c>
      <c r="S33" s="706">
        <f t="shared" si="12"/>
        <v>100</v>
      </c>
      <c r="T33" s="705" t="s">
        <v>14</v>
      </c>
      <c r="U33" s="706">
        <f t="shared" si="13"/>
        <v>100</v>
      </c>
      <c r="V33" s="705" t="s">
        <v>14</v>
      </c>
      <c r="W33" s="706">
        <f t="shared" si="14"/>
        <v>100</v>
      </c>
      <c r="X33" s="1354"/>
      <c r="Y33" s="374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8"/>
      <c r="Q34" s="1351">
        <f t="shared" si="11"/>
        <v>111</v>
      </c>
      <c r="R34" s="705" t="s">
        <v>14</v>
      </c>
      <c r="S34" s="706">
        <f t="shared" si="12"/>
        <v>100</v>
      </c>
      <c r="T34" s="705" t="s">
        <v>14</v>
      </c>
      <c r="U34" s="706">
        <f t="shared" si="13"/>
        <v>100</v>
      </c>
      <c r="V34" s="705" t="s">
        <v>14</v>
      </c>
      <c r="W34" s="706">
        <f t="shared" si="14"/>
        <v>100</v>
      </c>
      <c r="X34" s="1354"/>
      <c r="Y34" s="374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8"/>
      <c r="Q35" s="707">
        <f t="shared" si="11"/>
        <v>111</v>
      </c>
      <c r="R35" s="708" t="s">
        <v>14</v>
      </c>
      <c r="S35" s="709">
        <f t="shared" si="12"/>
        <v>100</v>
      </c>
      <c r="T35" s="708" t="s">
        <v>14</v>
      </c>
      <c r="U35" s="709">
        <f t="shared" si="13"/>
        <v>100</v>
      </c>
      <c r="V35" s="708" t="s">
        <v>14</v>
      </c>
      <c r="W35" s="709">
        <f t="shared" si="14"/>
        <v>100</v>
      </c>
      <c r="X35" s="710"/>
      <c r="Y35" s="3748"/>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8"/>
      <c r="Q36" s="1351">
        <f t="shared" si="11"/>
        <v>111</v>
      </c>
      <c r="R36" s="705" t="s">
        <v>14</v>
      </c>
      <c r="S36" s="706">
        <f t="shared" si="12"/>
        <v>100</v>
      </c>
      <c r="T36" s="705" t="s">
        <v>14</v>
      </c>
      <c r="U36" s="706">
        <f t="shared" si="13"/>
        <v>100</v>
      </c>
      <c r="V36" s="705" t="s">
        <v>14</v>
      </c>
      <c r="W36" s="706">
        <f t="shared" si="14"/>
        <v>100</v>
      </c>
      <c r="X36" s="1354"/>
      <c r="Y36" s="3748"/>
      <c r="Z36" s="1355">
        <f t="shared" si="15"/>
        <v>111</v>
      </c>
      <c r="AA36" s="1352">
        <f t="shared" si="3"/>
        <v>1</v>
      </c>
      <c r="AB36" s="1352">
        <f t="shared" si="4"/>
        <v>1</v>
      </c>
      <c r="AC36" s="1352">
        <f t="shared" si="5"/>
        <v>1</v>
      </c>
    </row>
    <row r="37" spans="1:29" ht="14.4">
      <c r="A37" s="430" t="s">
        <v>1844</v>
      </c>
      <c r="B37" s="1972" t="s">
        <v>3357</v>
      </c>
      <c r="C37" s="1153" t="s">
        <v>0</v>
      </c>
      <c r="D37" s="1154"/>
      <c r="E37" s="1155"/>
      <c r="F37" s="1156"/>
      <c r="G37" s="1157"/>
      <c r="H37" s="1158"/>
      <c r="I37" s="1155"/>
      <c r="J37" s="1158"/>
      <c r="K37" s="568"/>
      <c r="L37" s="2723"/>
      <c r="M37" s="2724"/>
      <c r="N37" s="2715"/>
      <c r="O37" s="2724"/>
      <c r="P37" s="3741" t="str">
        <f>A37</f>
        <v>成交单价</v>
      </c>
      <c r="Q37" s="3741"/>
      <c r="R37" s="3742">
        <f>E37</f>
        <v>0</v>
      </c>
      <c r="S37" s="3742"/>
      <c r="T37" s="3742">
        <f>G37</f>
        <v>0</v>
      </c>
      <c r="U37" s="3742"/>
      <c r="V37" s="3742">
        <f>I37</f>
        <v>0</v>
      </c>
      <c r="W37" s="3742"/>
      <c r="X37" s="690"/>
      <c r="Y37" s="712"/>
      <c r="Z37" s="690"/>
      <c r="AA37" s="690"/>
      <c r="AB37" s="690"/>
      <c r="AC37" s="690"/>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3"/>
      <c r="M39" s="2724"/>
      <c r="N39" s="2724"/>
      <c r="O39" s="2724"/>
      <c r="P39" s="3738" t="str">
        <f>A39</f>
        <v>估价对象XX用房的比较价值（楼面单价，元/平方米）</v>
      </c>
      <c r="Q39" s="3739"/>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3" t="str">
        <f>YEAR(C7)&amp;"-"&amp;MONTH(C7)</f>
        <v>2024-8</v>
      </c>
      <c r="D48" s="1184">
        <f>EDATE(C48,-1)</f>
        <v>45474</v>
      </c>
      <c r="E48" s="1184">
        <f t="shared" ref="E48:O48" si="16">EDATE(D48,-1)</f>
        <v>45444</v>
      </c>
      <c r="F48" s="1184">
        <f t="shared" si="16"/>
        <v>45413</v>
      </c>
      <c r="G48" s="1184">
        <f t="shared" si="16"/>
        <v>45383</v>
      </c>
      <c r="H48" s="1184">
        <f t="shared" si="16"/>
        <v>45352</v>
      </c>
      <c r="I48" s="1184">
        <f t="shared" si="16"/>
        <v>45323</v>
      </c>
      <c r="J48" s="1184">
        <f t="shared" si="16"/>
        <v>45292</v>
      </c>
      <c r="K48" s="1184">
        <f t="shared" si="16"/>
        <v>45261</v>
      </c>
      <c r="L48" s="1184">
        <f t="shared" si="16"/>
        <v>45231</v>
      </c>
      <c r="M48" s="1184">
        <f t="shared" si="16"/>
        <v>45200</v>
      </c>
      <c r="N48" s="1184">
        <f t="shared" si="16"/>
        <v>45170</v>
      </c>
      <c r="O48" s="1184">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24" t="s">
        <v>1770</v>
      </c>
      <c r="D4" s="3725"/>
      <c r="E4" s="3726" t="s">
        <v>1771</v>
      </c>
      <c r="F4" s="3727"/>
      <c r="G4" s="3724" t="s">
        <v>1772</v>
      </c>
      <c r="H4" s="3725"/>
      <c r="I4" s="3724" t="s">
        <v>1773</v>
      </c>
      <c r="J4" s="3725"/>
      <c r="K4" s="559" t="s">
        <v>1774</v>
      </c>
      <c r="L4" s="2714"/>
      <c r="M4" s="2715"/>
      <c r="N4" s="2715"/>
      <c r="O4" s="2715"/>
      <c r="P4" s="3728" t="s">
        <v>1775</v>
      </c>
      <c r="Q4" s="3729"/>
      <c r="R4" s="3711" t="s">
        <v>1771</v>
      </c>
      <c r="S4" s="3712"/>
      <c r="T4" s="3711" t="s">
        <v>1772</v>
      </c>
      <c r="U4" s="3712"/>
      <c r="V4" s="3736" t="s">
        <v>1773</v>
      </c>
      <c r="W4" s="3736"/>
      <c r="X4" s="1354"/>
      <c r="Y4" s="3711" t="s">
        <v>1775</v>
      </c>
      <c r="Z4" s="3712"/>
      <c r="AA4" s="3706" t="s">
        <v>1771</v>
      </c>
      <c r="AB4" s="3707" t="s">
        <v>1772</v>
      </c>
      <c r="AC4" s="3706" t="s">
        <v>1773</v>
      </c>
    </row>
    <row r="5" spans="1:29">
      <c r="A5" s="358"/>
      <c r="B5" s="359"/>
      <c r="C5" s="3717" t="s">
        <v>1673</v>
      </c>
      <c r="D5" s="3718"/>
      <c r="E5" s="3715" t="s">
        <v>1674</v>
      </c>
      <c r="F5" s="3716"/>
      <c r="G5" s="3717" t="s">
        <v>1675</v>
      </c>
      <c r="H5" s="3718"/>
      <c r="I5" s="3717" t="s">
        <v>1676</v>
      </c>
      <c r="J5" s="3718"/>
      <c r="K5" s="559"/>
      <c r="L5" s="2714"/>
      <c r="M5" s="2715"/>
      <c r="N5" s="2715"/>
      <c r="O5" s="2715"/>
      <c r="P5" s="3730"/>
      <c r="Q5" s="3731"/>
      <c r="R5" s="3713"/>
      <c r="S5" s="3714"/>
      <c r="T5" s="3713"/>
      <c r="U5" s="3714"/>
      <c r="V5" s="3736"/>
      <c r="W5" s="3736"/>
      <c r="X5" s="1354"/>
      <c r="Y5" s="3713"/>
      <c r="Z5" s="3714"/>
      <c r="AA5" s="3707"/>
      <c r="AB5" s="3707"/>
      <c r="AC5" s="3707"/>
    </row>
    <row r="6" spans="1:29" ht="15" thickBot="1">
      <c r="A6" s="360"/>
      <c r="B6" s="361"/>
      <c r="C6" s="3719" t="s">
        <v>1677</v>
      </c>
      <c r="D6" s="3720"/>
      <c r="E6" s="3721" t="s">
        <v>1677</v>
      </c>
      <c r="F6" s="3722"/>
      <c r="G6" s="3719" t="s">
        <v>1677</v>
      </c>
      <c r="H6" s="3720"/>
      <c r="I6" s="3719" t="s">
        <v>1677</v>
      </c>
      <c r="J6" s="3720"/>
      <c r="K6" s="559" t="s">
        <v>1678</v>
      </c>
      <c r="L6" s="2714"/>
      <c r="M6" s="2715"/>
      <c r="N6" s="2715"/>
      <c r="O6" s="2715"/>
      <c r="P6" s="3732"/>
      <c r="Q6" s="3733"/>
      <c r="R6" s="3713"/>
      <c r="S6" s="3714"/>
      <c r="T6" s="3734"/>
      <c r="U6" s="3735"/>
      <c r="V6" s="3736"/>
      <c r="W6" s="3736"/>
      <c r="X6" s="1354"/>
      <c r="Y6" s="3734"/>
      <c r="Z6" s="3735"/>
      <c r="AA6" s="3708"/>
      <c r="AB6" s="3708"/>
      <c r="AC6" s="3708"/>
    </row>
    <row r="7" spans="1:29" s="108" customFormat="1" ht="15" thickBot="1">
      <c r="A7" s="362" t="s">
        <v>1679</v>
      </c>
      <c r="B7" s="363"/>
      <c r="C7" s="364">
        <f>'数据-取费表'!B2</f>
        <v>45510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9" t="s">
        <v>1680</v>
      </c>
      <c r="Q7" s="3737"/>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1" t="s">
        <v>1686</v>
      </c>
      <c r="Q9" s="1342" t="str">
        <f t="shared" ref="Q9:Q14" si="6">B9</f>
        <v>用途</v>
      </c>
      <c r="R9" s="701" t="s">
        <v>14</v>
      </c>
      <c r="S9" s="702">
        <f t="shared" si="0"/>
        <v>100</v>
      </c>
      <c r="T9" s="701" t="s">
        <v>14</v>
      </c>
      <c r="U9" s="702">
        <f t="shared" si="1"/>
        <v>100</v>
      </c>
      <c r="V9" s="701" t="s">
        <v>14</v>
      </c>
      <c r="W9" s="702">
        <f t="shared" si="2"/>
        <v>100</v>
      </c>
      <c r="X9" s="703"/>
      <c r="Y9" s="3653"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1"/>
      <c r="Q11" s="1342">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3" t="s">
        <v>1691</v>
      </c>
      <c r="Q14" s="1351" t="str">
        <f t="shared" si="6"/>
        <v>交通便捷度</v>
      </c>
      <c r="R14" s="705" t="s">
        <v>14</v>
      </c>
      <c r="S14" s="706">
        <f t="shared" si="0"/>
        <v>100</v>
      </c>
      <c r="T14" s="705" t="s">
        <v>14</v>
      </c>
      <c r="U14" s="706">
        <f t="shared" si="1"/>
        <v>100</v>
      </c>
      <c r="V14" s="705" t="s">
        <v>14</v>
      </c>
      <c r="W14" s="706">
        <f t="shared" si="2"/>
        <v>100</v>
      </c>
      <c r="X14" s="1354"/>
      <c r="Y14" s="374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4"/>
      <c r="Q15" s="1351"/>
      <c r="R15" s="705"/>
      <c r="S15" s="706"/>
      <c r="T15" s="705"/>
      <c r="U15" s="706"/>
      <c r="V15" s="705"/>
      <c r="W15" s="706"/>
      <c r="X15" s="1354"/>
      <c r="Y15" s="3744"/>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4"/>
      <c r="Q16" s="1351" t="str">
        <f>B16</f>
        <v>公共配套设施</v>
      </c>
      <c r="R16" s="705" t="s">
        <v>14</v>
      </c>
      <c r="S16" s="706">
        <f>F16</f>
        <v>100</v>
      </c>
      <c r="T16" s="705" t="s">
        <v>14</v>
      </c>
      <c r="U16" s="706">
        <f>H16</f>
        <v>100</v>
      </c>
      <c r="V16" s="705" t="s">
        <v>14</v>
      </c>
      <c r="W16" s="706">
        <f>J16</f>
        <v>100</v>
      </c>
      <c r="X16" s="1354"/>
      <c r="Y16" s="374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4"/>
      <c r="Q17" s="1351"/>
      <c r="R17" s="705"/>
      <c r="S17" s="706"/>
      <c r="T17" s="705"/>
      <c r="U17" s="706"/>
      <c r="V17" s="705"/>
      <c r="W17" s="706"/>
      <c r="X17" s="1354"/>
      <c r="Y17" s="3744"/>
      <c r="Z17" s="1355"/>
      <c r="AA17" s="1352">
        <v>1</v>
      </c>
      <c r="AB17" s="1352">
        <v>1</v>
      </c>
      <c r="AC17" s="1352">
        <v>1</v>
      </c>
    </row>
    <row r="18" spans="1:29" ht="41.4">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4"/>
      <c r="Q18" s="1351" t="str">
        <f>B18</f>
        <v>基础设施水平</v>
      </c>
      <c r="R18" s="705" t="s">
        <v>14</v>
      </c>
      <c r="S18" s="706">
        <f>F18</f>
        <v>100</v>
      </c>
      <c r="T18" s="705" t="s">
        <v>14</v>
      </c>
      <c r="U18" s="706">
        <f>H18</f>
        <v>100</v>
      </c>
      <c r="V18" s="705" t="s">
        <v>14</v>
      </c>
      <c r="W18" s="706">
        <f>J18</f>
        <v>100</v>
      </c>
      <c r="X18" s="1354"/>
      <c r="Y18" s="374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44"/>
      <c r="Q19" s="1351"/>
      <c r="R19" s="705"/>
      <c r="S19" s="706"/>
      <c r="T19" s="705"/>
      <c r="U19" s="706"/>
      <c r="V19" s="705"/>
      <c r="W19" s="706"/>
      <c r="X19" s="1354"/>
      <c r="Y19" s="3744"/>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4"/>
      <c r="Q20" s="1351" t="str">
        <f>B20</f>
        <v>自然及人文环境</v>
      </c>
      <c r="R20" s="705" t="s">
        <v>14</v>
      </c>
      <c r="S20" s="706">
        <f>F20</f>
        <v>100</v>
      </c>
      <c r="T20" s="705" t="s">
        <v>14</v>
      </c>
      <c r="U20" s="706">
        <f>H20</f>
        <v>100</v>
      </c>
      <c r="V20" s="705" t="s">
        <v>14</v>
      </c>
      <c r="W20" s="706">
        <f>J20</f>
        <v>100</v>
      </c>
      <c r="X20" s="1354"/>
      <c r="Y20" s="374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4"/>
      <c r="Q21" s="1351"/>
      <c r="R21" s="705"/>
      <c r="S21" s="706"/>
      <c r="T21" s="705"/>
      <c r="U21" s="706"/>
      <c r="V21" s="705"/>
      <c r="W21" s="706"/>
      <c r="X21" s="1354"/>
      <c r="Y21" s="374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4"/>
      <c r="Q22" s="1351" t="str">
        <f>B22</f>
        <v>楼层</v>
      </c>
      <c r="R22" s="705" t="s">
        <v>14</v>
      </c>
      <c r="S22" s="706">
        <f>F22</f>
        <v>100</v>
      </c>
      <c r="T22" s="705" t="s">
        <v>14</v>
      </c>
      <c r="U22" s="706">
        <f>H22</f>
        <v>100</v>
      </c>
      <c r="V22" s="705" t="s">
        <v>14</v>
      </c>
      <c r="W22" s="706">
        <f>J22</f>
        <v>100</v>
      </c>
      <c r="X22" s="1354"/>
      <c r="Y22" s="374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4"/>
      <c r="Q23" s="1351">
        <f>B23</f>
        <v>111</v>
      </c>
      <c r="R23" s="705" t="s">
        <v>14</v>
      </c>
      <c r="S23" s="706">
        <f>F23</f>
        <v>100</v>
      </c>
      <c r="T23" s="705" t="s">
        <v>14</v>
      </c>
      <c r="U23" s="706">
        <f>H23</f>
        <v>100</v>
      </c>
      <c r="V23" s="705" t="s">
        <v>14</v>
      </c>
      <c r="W23" s="706">
        <f>J23</f>
        <v>100</v>
      </c>
      <c r="X23" s="1354"/>
      <c r="Y23" s="374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4"/>
      <c r="Q24" s="1351">
        <f t="shared" ref="Q24:Q34" si="11">B24</f>
        <v>111</v>
      </c>
      <c r="R24" s="705" t="s">
        <v>14</v>
      </c>
      <c r="S24" s="706">
        <f>F24</f>
        <v>100</v>
      </c>
      <c r="T24" s="705" t="s">
        <v>14</v>
      </c>
      <c r="U24" s="706">
        <f>H24</f>
        <v>100</v>
      </c>
      <c r="V24" s="705" t="s">
        <v>14</v>
      </c>
      <c r="W24" s="706">
        <f>J24</f>
        <v>100</v>
      </c>
      <c r="X24" s="1354"/>
      <c r="Y24" s="3744"/>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4"/>
      <c r="Q25" s="1342">
        <f t="shared" si="11"/>
        <v>111</v>
      </c>
      <c r="R25" s="701" t="s">
        <v>14</v>
      </c>
      <c r="S25" s="702">
        <f>F25</f>
        <v>100</v>
      </c>
      <c r="T25" s="701" t="s">
        <v>14</v>
      </c>
      <c r="U25" s="702">
        <f>H25</f>
        <v>100</v>
      </c>
      <c r="V25" s="701" t="s">
        <v>14</v>
      </c>
      <c r="W25" s="702">
        <f>J25</f>
        <v>100</v>
      </c>
      <c r="X25" s="703"/>
      <c r="Y25" s="3744"/>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8"/>
      <c r="Q27" s="707" t="str">
        <f t="shared" si="11"/>
        <v>成新率</v>
      </c>
      <c r="R27" s="708" t="s">
        <v>14</v>
      </c>
      <c r="S27" s="709" t="e">
        <f t="shared" si="12"/>
        <v>#N/A</v>
      </c>
      <c r="T27" s="708" t="s">
        <v>14</v>
      </c>
      <c r="U27" s="709" t="e">
        <f t="shared" si="13"/>
        <v>#N/A</v>
      </c>
      <c r="V27" s="708" t="s">
        <v>14</v>
      </c>
      <c r="W27" s="709" t="e">
        <f t="shared" si="14"/>
        <v>#N/A</v>
      </c>
      <c r="X27" s="710"/>
      <c r="Y27" s="374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8"/>
      <c r="Q28" s="1351" t="str">
        <f t="shared" si="11"/>
        <v>物业等级</v>
      </c>
      <c r="R28" s="705" t="s">
        <v>14</v>
      </c>
      <c r="S28" s="706">
        <f t="shared" si="12"/>
        <v>100</v>
      </c>
      <c r="T28" s="705" t="s">
        <v>14</v>
      </c>
      <c r="U28" s="706">
        <f t="shared" si="13"/>
        <v>100</v>
      </c>
      <c r="V28" s="705" t="s">
        <v>14</v>
      </c>
      <c r="W28" s="706">
        <f t="shared" si="14"/>
        <v>100</v>
      </c>
      <c r="X28" s="1354"/>
      <c r="Y28" s="374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8"/>
      <c r="Q29" s="1351" t="str">
        <f t="shared" si="11"/>
        <v>有无电梯</v>
      </c>
      <c r="R29" s="705" t="s">
        <v>14</v>
      </c>
      <c r="S29" s="706">
        <f t="shared" si="12"/>
        <v>100</v>
      </c>
      <c r="T29" s="705" t="s">
        <v>14</v>
      </c>
      <c r="U29" s="706">
        <f t="shared" si="13"/>
        <v>100</v>
      </c>
      <c r="V29" s="705" t="s">
        <v>14</v>
      </c>
      <c r="W29" s="706">
        <f t="shared" si="14"/>
        <v>100</v>
      </c>
      <c r="X29" s="1354"/>
      <c r="Y29" s="374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8"/>
      <c r="Q30" s="1351" t="str">
        <f t="shared" si="11"/>
        <v>建筑面积</v>
      </c>
      <c r="R30" s="705" t="s">
        <v>14</v>
      </c>
      <c r="S30" s="706" t="e">
        <f t="shared" si="12"/>
        <v>#N/A</v>
      </c>
      <c r="T30" s="705" t="s">
        <v>14</v>
      </c>
      <c r="U30" s="706" t="e">
        <f t="shared" si="13"/>
        <v>#N/A</v>
      </c>
      <c r="V30" s="705" t="s">
        <v>14</v>
      </c>
      <c r="W30" s="706" t="e">
        <f t="shared" si="14"/>
        <v>#N/A</v>
      </c>
      <c r="X30" s="1354"/>
      <c r="Y30" s="374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8"/>
      <c r="Q31" s="1342" t="str">
        <f t="shared" si="11"/>
        <v>是否封闭</v>
      </c>
      <c r="R31" s="701" t="s">
        <v>14</v>
      </c>
      <c r="S31" s="702">
        <f t="shared" si="12"/>
        <v>100</v>
      </c>
      <c r="T31" s="701" t="s">
        <v>14</v>
      </c>
      <c r="U31" s="702">
        <f t="shared" si="13"/>
        <v>100</v>
      </c>
      <c r="V31" s="701" t="s">
        <v>14</v>
      </c>
      <c r="W31" s="702">
        <f t="shared" si="14"/>
        <v>100</v>
      </c>
      <c r="X31" s="703"/>
      <c r="Y31" s="374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8" t="s">
        <v>1696</v>
      </c>
      <c r="Q32" s="1351">
        <f t="shared" si="11"/>
        <v>111</v>
      </c>
      <c r="R32" s="705" t="s">
        <v>14</v>
      </c>
      <c r="S32" s="706">
        <f t="shared" si="12"/>
        <v>100</v>
      </c>
      <c r="T32" s="705" t="s">
        <v>14</v>
      </c>
      <c r="U32" s="706">
        <f t="shared" si="13"/>
        <v>100</v>
      </c>
      <c r="V32" s="705" t="s">
        <v>14</v>
      </c>
      <c r="W32" s="706">
        <f t="shared" si="14"/>
        <v>100</v>
      </c>
      <c r="X32" s="1354"/>
      <c r="Y32" s="374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8"/>
      <c r="Q33" s="1351">
        <f t="shared" si="11"/>
        <v>111</v>
      </c>
      <c r="R33" s="705" t="s">
        <v>14</v>
      </c>
      <c r="S33" s="706">
        <f t="shared" si="12"/>
        <v>100</v>
      </c>
      <c r="T33" s="705" t="s">
        <v>14</v>
      </c>
      <c r="U33" s="706">
        <f t="shared" si="13"/>
        <v>100</v>
      </c>
      <c r="V33" s="705" t="s">
        <v>14</v>
      </c>
      <c r="W33" s="706">
        <f t="shared" si="14"/>
        <v>100</v>
      </c>
      <c r="X33" s="1354"/>
      <c r="Y33" s="3748"/>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48"/>
      <c r="Q34" s="1351">
        <f t="shared" si="11"/>
        <v>111</v>
      </c>
      <c r="R34" s="705" t="s">
        <v>14</v>
      </c>
      <c r="S34" s="706">
        <f t="shared" si="12"/>
        <v>100</v>
      </c>
      <c r="T34" s="705" t="s">
        <v>14</v>
      </c>
      <c r="U34" s="706">
        <f t="shared" si="13"/>
        <v>100</v>
      </c>
      <c r="V34" s="705" t="s">
        <v>14</v>
      </c>
      <c r="W34" s="706">
        <f t="shared" si="14"/>
        <v>100</v>
      </c>
      <c r="X34" s="1354"/>
      <c r="Y34" s="3748"/>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3"/>
      <c r="M35" s="2724"/>
      <c r="N35" s="2715"/>
      <c r="O35" s="2724"/>
      <c r="P35" s="3741" t="str">
        <f>A35</f>
        <v>成交单价（元/平方米）</v>
      </c>
      <c r="Q35" s="3741"/>
      <c r="R35" s="3742">
        <f>E35</f>
        <v>0</v>
      </c>
      <c r="S35" s="3742"/>
      <c r="T35" s="3742">
        <f>G35</f>
        <v>0</v>
      </c>
      <c r="U35" s="3742"/>
      <c r="V35" s="3742">
        <f>I35</f>
        <v>0</v>
      </c>
      <c r="W35" s="3742"/>
      <c r="X35" s="690"/>
      <c r="Y35" s="712"/>
      <c r="Z35" s="690"/>
      <c r="AA35" s="690"/>
      <c r="AB35" s="690"/>
      <c r="AC35" s="690"/>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3"/>
      <c r="M37" s="2724"/>
      <c r="N37" s="2724"/>
      <c r="O37" s="2724"/>
      <c r="P37" s="3738" t="str">
        <f>A37</f>
        <v>估价对象XX用房的比较价值（楼面单价，元/平方米）</v>
      </c>
      <c r="Q37" s="3739"/>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3" t="str">
        <f>YEAR(C7)&amp;"-"&amp;MONTH(C7)</f>
        <v>2024-8</v>
      </c>
      <c r="D46" s="1184">
        <f>EDATE(C46,-1)</f>
        <v>45474</v>
      </c>
      <c r="E46" s="1184">
        <f t="shared" ref="E46:O46" si="16">EDATE(D46,-1)</f>
        <v>45444</v>
      </c>
      <c r="F46" s="1184">
        <f t="shared" si="16"/>
        <v>45413</v>
      </c>
      <c r="G46" s="1184">
        <f t="shared" si="16"/>
        <v>45383</v>
      </c>
      <c r="H46" s="1184">
        <f t="shared" si="16"/>
        <v>45352</v>
      </c>
      <c r="I46" s="1184">
        <f t="shared" si="16"/>
        <v>45323</v>
      </c>
      <c r="J46" s="1184">
        <f t="shared" si="16"/>
        <v>45292</v>
      </c>
      <c r="K46" s="1184">
        <f t="shared" si="16"/>
        <v>45261</v>
      </c>
      <c r="L46" s="1184">
        <f t="shared" si="16"/>
        <v>45231</v>
      </c>
      <c r="M46" s="1184">
        <f t="shared" si="16"/>
        <v>45200</v>
      </c>
      <c r="N46" s="1184">
        <f t="shared" si="16"/>
        <v>45170</v>
      </c>
      <c r="O46" s="1184">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24" t="s">
        <v>1770</v>
      </c>
      <c r="D4" s="3725"/>
      <c r="E4" s="3726" t="s">
        <v>1771</v>
      </c>
      <c r="F4" s="3727"/>
      <c r="G4" s="3724" t="s">
        <v>1772</v>
      </c>
      <c r="H4" s="3725"/>
      <c r="I4" s="3724" t="s">
        <v>1773</v>
      </c>
      <c r="J4" s="3725"/>
      <c r="K4" s="559" t="s">
        <v>1774</v>
      </c>
      <c r="L4" s="2714"/>
      <c r="M4" s="2715"/>
      <c r="N4" s="2715"/>
      <c r="O4" s="2715"/>
      <c r="P4" s="3728" t="s">
        <v>1775</v>
      </c>
      <c r="Q4" s="3729"/>
      <c r="R4" s="3711" t="s">
        <v>1771</v>
      </c>
      <c r="S4" s="3712"/>
      <c r="T4" s="3711" t="s">
        <v>1772</v>
      </c>
      <c r="U4" s="3712"/>
      <c r="V4" s="3736" t="s">
        <v>1773</v>
      </c>
      <c r="W4" s="3736"/>
      <c r="X4" s="1354"/>
      <c r="Y4" s="3711" t="s">
        <v>1775</v>
      </c>
      <c r="Z4" s="3712"/>
      <c r="AA4" s="3706" t="s">
        <v>1771</v>
      </c>
      <c r="AB4" s="3707" t="s">
        <v>1772</v>
      </c>
      <c r="AC4" s="3706" t="s">
        <v>1773</v>
      </c>
    </row>
    <row r="5" spans="1:30">
      <c r="A5" s="358"/>
      <c r="B5" s="359"/>
      <c r="C5" s="3717" t="s">
        <v>1673</v>
      </c>
      <c r="D5" s="3718"/>
      <c r="E5" s="3715" t="s">
        <v>1674</v>
      </c>
      <c r="F5" s="3716"/>
      <c r="G5" s="3717" t="s">
        <v>1675</v>
      </c>
      <c r="H5" s="3718"/>
      <c r="I5" s="3717" t="s">
        <v>1676</v>
      </c>
      <c r="J5" s="3718"/>
      <c r="K5" s="559"/>
      <c r="L5" s="2714"/>
      <c r="M5" s="2715"/>
      <c r="N5" s="2715"/>
      <c r="O5" s="2715"/>
      <c r="P5" s="3730"/>
      <c r="Q5" s="3731"/>
      <c r="R5" s="3713"/>
      <c r="S5" s="3714"/>
      <c r="T5" s="3713"/>
      <c r="U5" s="3714"/>
      <c r="V5" s="3736"/>
      <c r="W5" s="3736"/>
      <c r="X5" s="1354"/>
      <c r="Y5" s="3713"/>
      <c r="Z5" s="3714"/>
      <c r="AA5" s="3707"/>
      <c r="AB5" s="3707"/>
      <c r="AC5" s="3707"/>
    </row>
    <row r="6" spans="1:30" ht="15" thickBot="1">
      <c r="A6" s="360"/>
      <c r="B6" s="361"/>
      <c r="C6" s="3719" t="s">
        <v>1677</v>
      </c>
      <c r="D6" s="3720"/>
      <c r="E6" s="3721" t="s">
        <v>1677</v>
      </c>
      <c r="F6" s="3722"/>
      <c r="G6" s="3719" t="s">
        <v>1677</v>
      </c>
      <c r="H6" s="3720"/>
      <c r="I6" s="3719" t="s">
        <v>1677</v>
      </c>
      <c r="J6" s="3720"/>
      <c r="K6" s="559" t="s">
        <v>1678</v>
      </c>
      <c r="L6" s="2714"/>
      <c r="M6" s="2715"/>
      <c r="N6" s="2715"/>
      <c r="O6" s="2715"/>
      <c r="P6" s="3732"/>
      <c r="Q6" s="3733"/>
      <c r="R6" s="3713"/>
      <c r="S6" s="3714"/>
      <c r="T6" s="3734"/>
      <c r="U6" s="3735"/>
      <c r="V6" s="3736"/>
      <c r="W6" s="3736"/>
      <c r="X6" s="1354"/>
      <c r="Y6" s="3734"/>
      <c r="Z6" s="3735"/>
      <c r="AA6" s="3708"/>
      <c r="AB6" s="3708"/>
      <c r="AC6" s="3708"/>
    </row>
    <row r="7" spans="1:30" s="108" customFormat="1" ht="15" thickBot="1">
      <c r="A7" s="362" t="s">
        <v>1679</v>
      </c>
      <c r="B7" s="363"/>
      <c r="C7" s="364">
        <f>'数据-取费表'!B2</f>
        <v>45510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41"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152</v>
      </c>
      <c r="G10" s="414"/>
      <c r="H10" s="127">
        <f>ROUND(100/'数据-取费表'!G16,0)</f>
        <v>152</v>
      </c>
      <c r="I10" s="414"/>
      <c r="J10" s="127">
        <f>ROUND(100/'数据-取费表'!G16,0)</f>
        <v>152</v>
      </c>
      <c r="K10" s="620"/>
      <c r="L10" s="2718"/>
      <c r="M10" s="2719"/>
      <c r="N10" s="2719"/>
      <c r="O10" s="2772"/>
      <c r="P10" s="3741"/>
      <c r="Q10" s="1342" t="str">
        <f t="shared" si="6"/>
        <v>土地使用年限（年）</v>
      </c>
      <c r="R10" s="701" t="s">
        <v>14</v>
      </c>
      <c r="S10" s="702">
        <f t="shared" si="0"/>
        <v>152</v>
      </c>
      <c r="T10" s="701" t="s">
        <v>14</v>
      </c>
      <c r="U10" s="702">
        <f t="shared" si="1"/>
        <v>152</v>
      </c>
      <c r="V10" s="701" t="s">
        <v>14</v>
      </c>
      <c r="W10" s="702">
        <f t="shared" si="2"/>
        <v>152</v>
      </c>
      <c r="X10" s="703"/>
      <c r="Y10" s="3653"/>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41"/>
      <c r="Q11" s="1342"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1"/>
      <c r="Q12" s="1342" t="str">
        <f t="shared" si="6"/>
        <v>配建</v>
      </c>
      <c r="R12" s="701" t="s">
        <v>14</v>
      </c>
      <c r="S12" s="702">
        <f t="shared" si="0"/>
        <v>100</v>
      </c>
      <c r="T12" s="701" t="s">
        <v>14</v>
      </c>
      <c r="U12" s="702">
        <f t="shared" si="1"/>
        <v>100</v>
      </c>
      <c r="V12" s="701" t="s">
        <v>14</v>
      </c>
      <c r="W12" s="702">
        <f t="shared" si="2"/>
        <v>100</v>
      </c>
      <c r="X12" s="703"/>
      <c r="Y12" s="365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1"/>
      <c r="Q14" s="1342">
        <f t="shared" si="6"/>
        <v>111</v>
      </c>
      <c r="R14" s="701" t="s">
        <v>14</v>
      </c>
      <c r="S14" s="702">
        <f t="shared" si="0"/>
        <v>100</v>
      </c>
      <c r="T14" s="701" t="s">
        <v>14</v>
      </c>
      <c r="U14" s="702">
        <f t="shared" si="1"/>
        <v>100</v>
      </c>
      <c r="V14" s="701" t="s">
        <v>14</v>
      </c>
      <c r="W14" s="702">
        <f t="shared" si="2"/>
        <v>100</v>
      </c>
      <c r="X14" s="703"/>
      <c r="Y14" s="3653"/>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3" t="s">
        <v>1691</v>
      </c>
      <c r="Q15" s="1351" t="str">
        <f t="shared" si="6"/>
        <v>居住社区成熟度</v>
      </c>
      <c r="R15" s="705" t="s">
        <v>14</v>
      </c>
      <c r="S15" s="706">
        <f t="shared" si="0"/>
        <v>100</v>
      </c>
      <c r="T15" s="705" t="s">
        <v>14</v>
      </c>
      <c r="U15" s="706">
        <f t="shared" si="1"/>
        <v>100</v>
      </c>
      <c r="V15" s="705" t="s">
        <v>14</v>
      </c>
      <c r="W15" s="706">
        <f t="shared" si="2"/>
        <v>100</v>
      </c>
      <c r="X15" s="1354"/>
      <c r="Y15" s="374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4"/>
      <c r="Q16" s="1351"/>
      <c r="R16" s="705"/>
      <c r="S16" s="706"/>
      <c r="T16" s="705"/>
      <c r="U16" s="706"/>
      <c r="V16" s="705"/>
      <c r="W16" s="706"/>
      <c r="X16" s="1354"/>
      <c r="Y16" s="3744"/>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4"/>
      <c r="Q17" s="1351" t="str">
        <f>B17</f>
        <v>商业繁华度</v>
      </c>
      <c r="R17" s="705" t="s">
        <v>14</v>
      </c>
      <c r="S17" s="706">
        <f>F17</f>
        <v>100</v>
      </c>
      <c r="T17" s="705" t="s">
        <v>14</v>
      </c>
      <c r="U17" s="706">
        <f>H17</f>
        <v>100</v>
      </c>
      <c r="V17" s="705" t="s">
        <v>14</v>
      </c>
      <c r="W17" s="706">
        <f>J17</f>
        <v>100</v>
      </c>
      <c r="X17" s="1354"/>
      <c r="Y17" s="374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4"/>
      <c r="Q18" s="1351"/>
      <c r="R18" s="705"/>
      <c r="S18" s="706"/>
      <c r="T18" s="705"/>
      <c r="U18" s="706"/>
      <c r="V18" s="705"/>
      <c r="W18" s="706"/>
      <c r="X18" s="1354"/>
      <c r="Y18" s="3744"/>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4"/>
      <c r="Q19" s="1351" t="str">
        <f>B19</f>
        <v>办公集聚程度</v>
      </c>
      <c r="R19" s="705" t="s">
        <v>14</v>
      </c>
      <c r="S19" s="706">
        <f>F19</f>
        <v>100</v>
      </c>
      <c r="T19" s="705" t="s">
        <v>14</v>
      </c>
      <c r="U19" s="706">
        <f>H19</f>
        <v>100</v>
      </c>
      <c r="V19" s="705" t="s">
        <v>14</v>
      </c>
      <c r="W19" s="706">
        <f>J19</f>
        <v>100</v>
      </c>
      <c r="X19" s="1354"/>
      <c r="Y19" s="374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4"/>
      <c r="Q20" s="1351"/>
      <c r="R20" s="705"/>
      <c r="S20" s="706"/>
      <c r="T20" s="705"/>
      <c r="U20" s="706"/>
      <c r="V20" s="705"/>
      <c r="W20" s="706"/>
      <c r="X20" s="1354"/>
      <c r="Y20" s="3744"/>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4"/>
      <c r="Q21" s="1351" t="str">
        <f>B21</f>
        <v>交通便捷度</v>
      </c>
      <c r="R21" s="705" t="s">
        <v>14</v>
      </c>
      <c r="S21" s="706">
        <f>F21</f>
        <v>100</v>
      </c>
      <c r="T21" s="705" t="s">
        <v>14</v>
      </c>
      <c r="U21" s="706">
        <f>H21</f>
        <v>100</v>
      </c>
      <c r="V21" s="705" t="s">
        <v>14</v>
      </c>
      <c r="W21" s="706">
        <f>J21</f>
        <v>100</v>
      </c>
      <c r="X21" s="1354"/>
      <c r="Y21" s="374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44"/>
      <c r="Q22" s="1351"/>
      <c r="R22" s="705"/>
      <c r="S22" s="706"/>
      <c r="T22" s="705"/>
      <c r="U22" s="706"/>
      <c r="V22" s="705"/>
      <c r="W22" s="706"/>
      <c r="X22" s="1354"/>
      <c r="Y22" s="3744"/>
      <c r="Z22" s="1355"/>
      <c r="AA22" s="1352">
        <v>1</v>
      </c>
      <c r="AB22" s="1352">
        <v>1</v>
      </c>
      <c r="AC22" s="1352">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4"/>
      <c r="Q23" s="1351" t="str">
        <f t="shared" ref="Q23:Q37" si="8">B23</f>
        <v>区域土地利用方向</v>
      </c>
      <c r="R23" s="705" t="s">
        <v>14</v>
      </c>
      <c r="S23" s="706">
        <f>F23</f>
        <v>100</v>
      </c>
      <c r="T23" s="705" t="s">
        <v>14</v>
      </c>
      <c r="U23" s="706">
        <f>H23</f>
        <v>100</v>
      </c>
      <c r="V23" s="705" t="s">
        <v>14</v>
      </c>
      <c r="W23" s="706">
        <f>J23</f>
        <v>100</v>
      </c>
      <c r="X23" s="1354"/>
      <c r="Y23" s="374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44"/>
      <c r="Q24" s="1351"/>
      <c r="R24" s="705"/>
      <c r="S24" s="706"/>
      <c r="T24" s="705"/>
      <c r="U24" s="706"/>
      <c r="V24" s="705"/>
      <c r="W24" s="706"/>
      <c r="X24" s="1354"/>
      <c r="Y24" s="3744"/>
      <c r="Z24" s="1355"/>
      <c r="AA24" s="1352"/>
      <c r="AB24" s="1352"/>
      <c r="AC24" s="1352"/>
    </row>
    <row r="25" spans="1:29" ht="55.2">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4"/>
      <c r="Q25" s="1351" t="str">
        <f t="shared" si="8"/>
        <v>自然及人文环境状况</v>
      </c>
      <c r="R25" s="705" t="s">
        <v>14</v>
      </c>
      <c r="S25" s="706">
        <f>F25</f>
        <v>100</v>
      </c>
      <c r="T25" s="705" t="s">
        <v>14</v>
      </c>
      <c r="U25" s="706">
        <f>H25</f>
        <v>100</v>
      </c>
      <c r="V25" s="705" t="s">
        <v>14</v>
      </c>
      <c r="W25" s="706">
        <f>J25</f>
        <v>100</v>
      </c>
      <c r="X25" s="1354"/>
      <c r="Y25" s="374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4"/>
      <c r="Q26" s="1351"/>
      <c r="R26" s="705"/>
      <c r="S26" s="706"/>
      <c r="T26" s="705"/>
      <c r="U26" s="706"/>
      <c r="V26" s="705"/>
      <c r="W26" s="706"/>
      <c r="X26" s="1354"/>
      <c r="Y26" s="3744"/>
      <c r="Z26" s="1355"/>
      <c r="AA26" s="1352">
        <v>1</v>
      </c>
      <c r="AB26" s="1352">
        <v>1</v>
      </c>
      <c r="AC26" s="1352">
        <v>1</v>
      </c>
    </row>
    <row r="27" spans="1:29" s="108" customFormat="1" ht="41.4">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4"/>
      <c r="Q27" s="1342" t="str">
        <f t="shared" si="8"/>
        <v>公共配套设施</v>
      </c>
      <c r="R27" s="701" t="s">
        <v>14</v>
      </c>
      <c r="S27" s="702">
        <f>F27</f>
        <v>100</v>
      </c>
      <c r="T27" s="701" t="s">
        <v>14</v>
      </c>
      <c r="U27" s="702">
        <f>H27</f>
        <v>100</v>
      </c>
      <c r="V27" s="701" t="s">
        <v>14</v>
      </c>
      <c r="W27" s="702">
        <f>J27</f>
        <v>100</v>
      </c>
      <c r="X27" s="703"/>
      <c r="Y27" s="374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4"/>
      <c r="Q28" s="1342"/>
      <c r="R28" s="701"/>
      <c r="S28" s="702"/>
      <c r="T28" s="701"/>
      <c r="U28" s="702"/>
      <c r="V28" s="701"/>
      <c r="W28" s="702"/>
      <c r="X28" s="703"/>
      <c r="Y28" s="3744"/>
      <c r="Z28" s="52"/>
      <c r="AA28" s="1352">
        <v>1</v>
      </c>
      <c r="AB28" s="1352">
        <v>1</v>
      </c>
      <c r="AC28" s="1352">
        <v>1</v>
      </c>
    </row>
    <row r="29" spans="1:29" s="108" customFormat="1" ht="41.4">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4"/>
      <c r="Q29" s="1342" t="str">
        <f t="shared" ref="Q29" si="9">B29</f>
        <v>基础设施水平</v>
      </c>
      <c r="R29" s="701" t="s">
        <v>14</v>
      </c>
      <c r="S29" s="702">
        <f>F29</f>
        <v>100</v>
      </c>
      <c r="T29" s="701" t="s">
        <v>14</v>
      </c>
      <c r="U29" s="702">
        <f>H29</f>
        <v>100</v>
      </c>
      <c r="V29" s="701" t="s">
        <v>14</v>
      </c>
      <c r="W29" s="702">
        <f>J29</f>
        <v>100</v>
      </c>
      <c r="X29" s="703"/>
      <c r="Y29" s="374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4"/>
      <c r="Q30" s="1342"/>
      <c r="R30" s="701"/>
      <c r="S30" s="702"/>
      <c r="T30" s="701"/>
      <c r="U30" s="702"/>
      <c r="V30" s="701"/>
      <c r="W30" s="702"/>
      <c r="X30" s="703"/>
      <c r="Y30" s="374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4"/>
      <c r="Z31" s="1355" t="str">
        <f t="shared" ref="Z31:Z45" si="13">Q31</f>
        <v>临街状况</v>
      </c>
      <c r="AA31" s="1352">
        <f t="shared" si="3"/>
        <v>1</v>
      </c>
      <c r="AB31" s="1352">
        <f t="shared" si="4"/>
        <v>1</v>
      </c>
      <c r="AC31" s="1352">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4"/>
      <c r="Q32" s="1351" t="str">
        <f t="shared" si="8"/>
        <v>毗邻道路的类型与等级</v>
      </c>
      <c r="R32" s="705" t="s">
        <v>14</v>
      </c>
      <c r="S32" s="706">
        <f t="shared" si="10"/>
        <v>100</v>
      </c>
      <c r="T32" s="705" t="s">
        <v>14</v>
      </c>
      <c r="U32" s="706">
        <f t="shared" si="11"/>
        <v>100</v>
      </c>
      <c r="V32" s="705" t="s">
        <v>14</v>
      </c>
      <c r="W32" s="706">
        <f t="shared" si="12"/>
        <v>100</v>
      </c>
      <c r="X32" s="1354"/>
      <c r="Y32" s="374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4"/>
      <c r="Q33" s="1351"/>
      <c r="R33" s="705"/>
      <c r="S33" s="706"/>
      <c r="T33" s="705"/>
      <c r="U33" s="706"/>
      <c r="V33" s="705"/>
      <c r="W33" s="706"/>
      <c r="X33" s="1354"/>
      <c r="Y33" s="374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4"/>
      <c r="Q34" s="1351" t="str">
        <f t="shared" si="8"/>
        <v>土地级别</v>
      </c>
      <c r="R34" s="705" t="s">
        <v>14</v>
      </c>
      <c r="S34" s="706">
        <f t="shared" si="10"/>
        <v>100</v>
      </c>
      <c r="T34" s="705" t="s">
        <v>14</v>
      </c>
      <c r="U34" s="706">
        <f t="shared" si="11"/>
        <v>100</v>
      </c>
      <c r="V34" s="705" t="s">
        <v>14</v>
      </c>
      <c r="W34" s="706">
        <f t="shared" si="12"/>
        <v>100</v>
      </c>
      <c r="X34" s="1354"/>
      <c r="Y34" s="374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4"/>
      <c r="Q35" s="1351">
        <f t="shared" si="8"/>
        <v>111</v>
      </c>
      <c r="R35" s="705" t="s">
        <v>14</v>
      </c>
      <c r="S35" s="706">
        <f t="shared" si="10"/>
        <v>100</v>
      </c>
      <c r="T35" s="705" t="s">
        <v>14</v>
      </c>
      <c r="U35" s="706">
        <f t="shared" si="11"/>
        <v>100</v>
      </c>
      <c r="V35" s="705" t="s">
        <v>14</v>
      </c>
      <c r="W35" s="706">
        <f t="shared" si="12"/>
        <v>100</v>
      </c>
      <c r="X35" s="1354"/>
      <c r="Y35" s="374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9" t="s">
        <v>1696</v>
      </c>
      <c r="Q36" s="1351">
        <f t="shared" si="8"/>
        <v>111</v>
      </c>
      <c r="R36" s="705" t="s">
        <v>14</v>
      </c>
      <c r="S36" s="706">
        <f t="shared" si="10"/>
        <v>100</v>
      </c>
      <c r="T36" s="705" t="s">
        <v>14</v>
      </c>
      <c r="U36" s="706">
        <f t="shared" si="11"/>
        <v>100</v>
      </c>
      <c r="V36" s="705" t="s">
        <v>14</v>
      </c>
      <c r="W36" s="706">
        <f t="shared" si="12"/>
        <v>100</v>
      </c>
      <c r="X36" s="1354"/>
      <c r="Y36" s="3748" t="s">
        <v>1696</v>
      </c>
      <c r="Z36" s="1355">
        <f t="shared" si="13"/>
        <v>111</v>
      </c>
      <c r="AA36" s="1352">
        <f t="shared" si="3"/>
        <v>1</v>
      </c>
      <c r="AB36" s="1352">
        <f t="shared" si="4"/>
        <v>1</v>
      </c>
      <c r="AC36" s="1352">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8"/>
      <c r="Q37" s="1351">
        <f t="shared" si="8"/>
        <v>111</v>
      </c>
      <c r="R37" s="708" t="s">
        <v>14</v>
      </c>
      <c r="S37" s="709">
        <f t="shared" si="10"/>
        <v>100</v>
      </c>
      <c r="T37" s="708" t="s">
        <v>14</v>
      </c>
      <c r="U37" s="709">
        <f t="shared" si="11"/>
        <v>100</v>
      </c>
      <c r="V37" s="708" t="s">
        <v>14</v>
      </c>
      <c r="W37" s="709">
        <f t="shared" si="12"/>
        <v>100</v>
      </c>
      <c r="X37" s="710"/>
      <c r="Y37" s="3748"/>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8"/>
      <c r="Q38" s="1351" t="str">
        <f>B38</f>
        <v>宗地面积</v>
      </c>
      <c r="R38" s="705" t="s">
        <v>14</v>
      </c>
      <c r="S38" s="706" t="e">
        <f t="shared" si="10"/>
        <v>#N/A</v>
      </c>
      <c r="T38" s="705" t="s">
        <v>14</v>
      </c>
      <c r="U38" s="706" t="e">
        <f t="shared" si="11"/>
        <v>#N/A</v>
      </c>
      <c r="V38" s="705" t="s">
        <v>14</v>
      </c>
      <c r="W38" s="706" t="e">
        <f t="shared" si="12"/>
        <v>#N/A</v>
      </c>
      <c r="X38" s="1354"/>
      <c r="Y38" s="374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48"/>
      <c r="Q39" s="1351" t="str">
        <f t="shared" ref="Q39:Q45" si="14">B39</f>
        <v>宗地形状</v>
      </c>
      <c r="R39" s="705" t="s">
        <v>14</v>
      </c>
      <c r="S39" s="706">
        <f t="shared" si="10"/>
        <v>100</v>
      </c>
      <c r="T39" s="705" t="s">
        <v>14</v>
      </c>
      <c r="U39" s="706">
        <f t="shared" si="11"/>
        <v>100</v>
      </c>
      <c r="V39" s="705" t="s">
        <v>14</v>
      </c>
      <c r="W39" s="706">
        <f t="shared" si="12"/>
        <v>100</v>
      </c>
      <c r="X39" s="1354"/>
      <c r="Y39" s="374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48"/>
      <c r="Q40" s="1351" t="str">
        <f t="shared" si="14"/>
        <v>临街宽度及深度</v>
      </c>
      <c r="R40" s="705" t="s">
        <v>14</v>
      </c>
      <c r="S40" s="706">
        <f t="shared" si="10"/>
        <v>100</v>
      </c>
      <c r="T40" s="705" t="s">
        <v>14</v>
      </c>
      <c r="U40" s="706">
        <f t="shared" si="11"/>
        <v>100</v>
      </c>
      <c r="V40" s="705" t="s">
        <v>14</v>
      </c>
      <c r="W40" s="706">
        <f t="shared" si="12"/>
        <v>100</v>
      </c>
      <c r="X40" s="1354"/>
      <c r="Y40" s="374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48"/>
      <c r="Q41" s="1351" t="str">
        <f t="shared" si="14"/>
        <v>宗地开发程度</v>
      </c>
      <c r="R41" s="701" t="s">
        <v>14</v>
      </c>
      <c r="S41" s="702">
        <f t="shared" si="10"/>
        <v>100</v>
      </c>
      <c r="T41" s="701" t="s">
        <v>14</v>
      </c>
      <c r="U41" s="702">
        <f t="shared" si="11"/>
        <v>100</v>
      </c>
      <c r="V41" s="701" t="s">
        <v>14</v>
      </c>
      <c r="W41" s="702">
        <f t="shared" si="12"/>
        <v>100</v>
      </c>
      <c r="X41" s="703"/>
      <c r="Y41" s="374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48" t="s">
        <v>1696</v>
      </c>
      <c r="Q42" s="1351" t="str">
        <f t="shared" si="14"/>
        <v>工程地质条件</v>
      </c>
      <c r="R42" s="705" t="s">
        <v>14</v>
      </c>
      <c r="S42" s="706">
        <f t="shared" si="10"/>
        <v>100</v>
      </c>
      <c r="T42" s="705" t="s">
        <v>14</v>
      </c>
      <c r="U42" s="706">
        <f t="shared" si="11"/>
        <v>100</v>
      </c>
      <c r="V42" s="705" t="s">
        <v>14</v>
      </c>
      <c r="W42" s="706">
        <f t="shared" si="12"/>
        <v>100</v>
      </c>
      <c r="X42" s="1354"/>
      <c r="Y42" s="374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8"/>
      <c r="Q43" s="1351">
        <f t="shared" si="14"/>
        <v>111</v>
      </c>
      <c r="R43" s="705" t="s">
        <v>14</v>
      </c>
      <c r="S43" s="706">
        <f t="shared" si="10"/>
        <v>100</v>
      </c>
      <c r="T43" s="705" t="s">
        <v>14</v>
      </c>
      <c r="U43" s="706">
        <f t="shared" si="11"/>
        <v>100</v>
      </c>
      <c r="V43" s="705" t="s">
        <v>14</v>
      </c>
      <c r="W43" s="706">
        <f t="shared" si="12"/>
        <v>100</v>
      </c>
      <c r="X43" s="1354"/>
      <c r="Y43" s="374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8"/>
      <c r="Q44" s="1351">
        <f t="shared" si="14"/>
        <v>111</v>
      </c>
      <c r="R44" s="705" t="s">
        <v>14</v>
      </c>
      <c r="S44" s="706">
        <f t="shared" si="10"/>
        <v>100</v>
      </c>
      <c r="T44" s="705" t="s">
        <v>14</v>
      </c>
      <c r="U44" s="706">
        <f t="shared" si="11"/>
        <v>100</v>
      </c>
      <c r="V44" s="705" t="s">
        <v>14</v>
      </c>
      <c r="W44" s="706">
        <f t="shared" si="12"/>
        <v>100</v>
      </c>
      <c r="X44" s="1354"/>
      <c r="Y44" s="3748"/>
      <c r="Z44" s="1355">
        <f t="shared" si="13"/>
        <v>111</v>
      </c>
      <c r="AA44" s="1352">
        <f t="shared" si="3"/>
        <v>1</v>
      </c>
      <c r="AB44" s="1352">
        <f t="shared" si="4"/>
        <v>1</v>
      </c>
      <c r="AC44" s="1352">
        <f t="shared" si="5"/>
        <v>1</v>
      </c>
    </row>
    <row r="45" spans="1:29" s="422" customFormat="1" ht="15.6"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8"/>
      <c r="Q45" s="1351">
        <f t="shared" si="14"/>
        <v>111</v>
      </c>
      <c r="R45" s="708" t="s">
        <v>14</v>
      </c>
      <c r="S45" s="709">
        <f t="shared" si="10"/>
        <v>100</v>
      </c>
      <c r="T45" s="708" t="s">
        <v>14</v>
      </c>
      <c r="U45" s="709">
        <f t="shared" si="11"/>
        <v>100</v>
      </c>
      <c r="V45" s="708" t="s">
        <v>14</v>
      </c>
      <c r="W45" s="709">
        <f t="shared" si="12"/>
        <v>100</v>
      </c>
      <c r="X45" s="710"/>
      <c r="Y45" s="3748"/>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3"/>
      <c r="M46" s="2724"/>
      <c r="N46" s="2715"/>
      <c r="O46" s="2724"/>
      <c r="P46" s="3741" t="str">
        <f>A46</f>
        <v>成交单价</v>
      </c>
      <c r="Q46" s="3741"/>
      <c r="R46" s="3736">
        <f>E46</f>
        <v>0</v>
      </c>
      <c r="S46" s="3736"/>
      <c r="T46" s="3736">
        <f>G46</f>
        <v>0</v>
      </c>
      <c r="U46" s="3736"/>
      <c r="V46" s="3736">
        <f>I46</f>
        <v>0</v>
      </c>
      <c r="W46" s="3736"/>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41" t="str">
        <f>A47</f>
        <v>比较价值（元/平方米）</v>
      </c>
      <c r="Q47" s="3741"/>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38" t="str">
        <f>A48</f>
        <v>估价对象XX用房的比较价值（楼面单价，元/平方米）</v>
      </c>
      <c r="Q48" s="3739"/>
      <c r="R48" s="3772" t="e">
        <f>ROUND(IF(D47="简单平均",AVERAGE(R47:W47),R47*F47+T47*H47+V47*J47),0)</f>
        <v>#DIV/0!</v>
      </c>
      <c r="S48" s="3772"/>
      <c r="T48" s="3772"/>
      <c r="U48" s="3772"/>
      <c r="V48" s="3772"/>
      <c r="W48" s="377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24" t="s">
        <v>1887</v>
      </c>
      <c r="H55" s="377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207.28</v>
      </c>
      <c r="F56" s="886" t="e">
        <f t="shared" ref="F56:F64" si="15">ROUND(B56*E56/10000,0)</f>
        <v>#DIV/0!</v>
      </c>
      <c r="G56" s="3723"/>
      <c r="H56" s="374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八级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八级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八级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6" t="s">
        <v>1892</v>
      </c>
      <c r="H63" s="887" t="str">
        <f>项目基本情况!B37</f>
        <v>八级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207.28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24" t="s">
        <v>1770</v>
      </c>
      <c r="D4" s="3725"/>
      <c r="E4" s="3726" t="s">
        <v>1771</v>
      </c>
      <c r="F4" s="3727"/>
      <c r="G4" s="3724" t="s">
        <v>1772</v>
      </c>
      <c r="H4" s="3725"/>
      <c r="I4" s="3724" t="s">
        <v>1773</v>
      </c>
      <c r="J4" s="3725"/>
      <c r="K4" s="559" t="s">
        <v>1774</v>
      </c>
      <c r="L4" s="2714"/>
      <c r="M4" s="2715"/>
      <c r="N4" s="2715"/>
      <c r="O4" s="2715"/>
      <c r="P4" s="3728" t="s">
        <v>1775</v>
      </c>
      <c r="Q4" s="3729"/>
      <c r="R4" s="3711" t="s">
        <v>1771</v>
      </c>
      <c r="S4" s="3712"/>
      <c r="T4" s="3711" t="s">
        <v>1772</v>
      </c>
      <c r="U4" s="3712"/>
      <c r="V4" s="3736" t="s">
        <v>1773</v>
      </c>
      <c r="W4" s="3736"/>
      <c r="X4" s="1354"/>
      <c r="Y4" s="3711" t="s">
        <v>1775</v>
      </c>
      <c r="Z4" s="3712"/>
      <c r="AA4" s="3706" t="s">
        <v>1771</v>
      </c>
      <c r="AB4" s="3707" t="s">
        <v>1772</v>
      </c>
      <c r="AC4" s="3706" t="s">
        <v>1773</v>
      </c>
    </row>
    <row r="5" spans="1:29">
      <c r="A5" s="358"/>
      <c r="B5" s="359"/>
      <c r="C5" s="3717" t="s">
        <v>1673</v>
      </c>
      <c r="D5" s="3718"/>
      <c r="E5" s="3715" t="s">
        <v>1674</v>
      </c>
      <c r="F5" s="3716"/>
      <c r="G5" s="3717" t="s">
        <v>1675</v>
      </c>
      <c r="H5" s="3718"/>
      <c r="I5" s="3717" t="s">
        <v>1676</v>
      </c>
      <c r="J5" s="3718"/>
      <c r="K5" s="559"/>
      <c r="L5" s="2714"/>
      <c r="M5" s="2715"/>
      <c r="N5" s="2715"/>
      <c r="O5" s="2715"/>
      <c r="P5" s="3730"/>
      <c r="Q5" s="3731"/>
      <c r="R5" s="3713"/>
      <c r="S5" s="3714"/>
      <c r="T5" s="3713"/>
      <c r="U5" s="3714"/>
      <c r="V5" s="3736"/>
      <c r="W5" s="3736"/>
      <c r="X5" s="1354"/>
      <c r="Y5" s="3713"/>
      <c r="Z5" s="3714"/>
      <c r="AA5" s="3707"/>
      <c r="AB5" s="3707"/>
      <c r="AC5" s="3707"/>
    </row>
    <row r="6" spans="1:29" ht="15" thickBot="1">
      <c r="A6" s="360"/>
      <c r="B6" s="361"/>
      <c r="C6" s="3774" t="s">
        <v>1919</v>
      </c>
      <c r="D6" s="3775"/>
      <c r="E6" s="3776" t="s">
        <v>1919</v>
      </c>
      <c r="F6" s="3777"/>
      <c r="G6" s="3774" t="s">
        <v>1919</v>
      </c>
      <c r="H6" s="3775"/>
      <c r="I6" s="3774" t="s">
        <v>1919</v>
      </c>
      <c r="J6" s="3775"/>
      <c r="K6" s="559" t="s">
        <v>1678</v>
      </c>
      <c r="L6" s="2714"/>
      <c r="M6" s="2715"/>
      <c r="N6" s="2715"/>
      <c r="O6" s="2715"/>
      <c r="P6" s="3732"/>
      <c r="Q6" s="3733"/>
      <c r="R6" s="3713"/>
      <c r="S6" s="3714"/>
      <c r="T6" s="3734"/>
      <c r="U6" s="3735"/>
      <c r="V6" s="3736"/>
      <c r="W6" s="3736"/>
      <c r="X6" s="1354"/>
      <c r="Y6" s="3734"/>
      <c r="Z6" s="3735"/>
      <c r="AA6" s="3708"/>
      <c r="AB6" s="3708"/>
      <c r="AC6" s="3708"/>
    </row>
    <row r="7" spans="1:29" s="108" customFormat="1" ht="15" thickBot="1">
      <c r="A7" s="362" t="s">
        <v>1679</v>
      </c>
      <c r="B7" s="363"/>
      <c r="C7" s="364">
        <f>'数据-取费表'!B2</f>
        <v>45510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41"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152</v>
      </c>
      <c r="G10" s="383"/>
      <c r="H10" s="127">
        <f>ROUND(100/'数据-取费表'!G16,0)</f>
        <v>152</v>
      </c>
      <c r="I10" s="383"/>
      <c r="J10" s="127">
        <f>ROUND(100/'数据-取费表'!G16,0)</f>
        <v>152</v>
      </c>
      <c r="K10" s="620"/>
      <c r="L10" s="2718"/>
      <c r="M10" s="2719"/>
      <c r="N10" s="2719"/>
      <c r="O10" s="2772"/>
      <c r="P10" s="3741"/>
      <c r="Q10" s="1342" t="str">
        <f t="shared" si="6"/>
        <v>土地使用年限（年）</v>
      </c>
      <c r="R10" s="701" t="s">
        <v>14</v>
      </c>
      <c r="S10" s="702">
        <f t="shared" si="0"/>
        <v>152</v>
      </c>
      <c r="T10" s="701" t="s">
        <v>14</v>
      </c>
      <c r="U10" s="702">
        <f t="shared" si="1"/>
        <v>152</v>
      </c>
      <c r="V10" s="701" t="s">
        <v>14</v>
      </c>
      <c r="W10" s="702">
        <f t="shared" si="2"/>
        <v>152</v>
      </c>
      <c r="X10" s="703"/>
      <c r="Y10" s="3653"/>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41"/>
      <c r="Q11" s="1342"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1"/>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3" t="s">
        <v>1691</v>
      </c>
      <c r="Q15" s="1351" t="str">
        <f t="shared" si="6"/>
        <v>产业集聚程度</v>
      </c>
      <c r="R15" s="705" t="s">
        <v>14</v>
      </c>
      <c r="S15" s="706">
        <f t="shared" si="0"/>
        <v>100</v>
      </c>
      <c r="T15" s="705" t="s">
        <v>14</v>
      </c>
      <c r="U15" s="706">
        <f t="shared" si="1"/>
        <v>100</v>
      </c>
      <c r="V15" s="705" t="s">
        <v>14</v>
      </c>
      <c r="W15" s="706">
        <f t="shared" si="2"/>
        <v>100</v>
      </c>
      <c r="X15" s="1354"/>
      <c r="Y15" s="374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44"/>
      <c r="Q16" s="1351"/>
      <c r="R16" s="705"/>
      <c r="S16" s="706"/>
      <c r="T16" s="705"/>
      <c r="U16" s="706"/>
      <c r="V16" s="705"/>
      <c r="W16" s="706"/>
      <c r="X16" s="1354"/>
      <c r="Y16" s="3744"/>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4"/>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44"/>
      <c r="Q18" s="1351"/>
      <c r="R18" s="705"/>
      <c r="S18" s="706"/>
      <c r="T18" s="705"/>
      <c r="U18" s="706"/>
      <c r="V18" s="705"/>
      <c r="W18" s="706"/>
      <c r="X18" s="1354"/>
      <c r="Y18" s="3744"/>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4"/>
      <c r="Q19" s="1351" t="str">
        <f t="shared" ref="Q19:Q33" si="8">B19</f>
        <v>区域土地利用方向</v>
      </c>
      <c r="R19" s="705" t="s">
        <v>14</v>
      </c>
      <c r="S19" s="706">
        <f>F19</f>
        <v>100</v>
      </c>
      <c r="T19" s="705" t="s">
        <v>14</v>
      </c>
      <c r="U19" s="706">
        <f>H19</f>
        <v>100</v>
      </c>
      <c r="V19" s="705" t="s">
        <v>14</v>
      </c>
      <c r="W19" s="706">
        <f>J19</f>
        <v>100</v>
      </c>
      <c r="X19" s="1354"/>
      <c r="Y19" s="374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44"/>
      <c r="Q20" s="1351"/>
      <c r="R20" s="705"/>
      <c r="S20" s="706"/>
      <c r="T20" s="705"/>
      <c r="U20" s="706"/>
      <c r="V20" s="705"/>
      <c r="W20" s="706"/>
      <c r="X20" s="1354"/>
      <c r="Y20" s="3744"/>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4"/>
      <c r="Q21" s="1351" t="str">
        <f t="shared" si="8"/>
        <v>环境状况</v>
      </c>
      <c r="R21" s="705" t="s">
        <v>14</v>
      </c>
      <c r="S21" s="706">
        <f>F21</f>
        <v>100</v>
      </c>
      <c r="T21" s="705" t="s">
        <v>14</v>
      </c>
      <c r="U21" s="706">
        <f>H21</f>
        <v>100</v>
      </c>
      <c r="V21" s="705" t="s">
        <v>14</v>
      </c>
      <c r="W21" s="706">
        <f>J21</f>
        <v>100</v>
      </c>
      <c r="X21" s="1354"/>
      <c r="Y21" s="374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44"/>
      <c r="Q22" s="1351"/>
      <c r="R22" s="705"/>
      <c r="S22" s="706"/>
      <c r="T22" s="705"/>
      <c r="U22" s="706"/>
      <c r="V22" s="705"/>
      <c r="W22" s="706"/>
      <c r="X22" s="1354"/>
      <c r="Y22" s="3744"/>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4"/>
      <c r="Q23" s="1342" t="str">
        <f t="shared" si="8"/>
        <v>公共配套设施</v>
      </c>
      <c r="R23" s="701" t="s">
        <v>14</v>
      </c>
      <c r="S23" s="702">
        <f>F23</f>
        <v>100</v>
      </c>
      <c r="T23" s="701" t="s">
        <v>14</v>
      </c>
      <c r="U23" s="702">
        <f>H23</f>
        <v>100</v>
      </c>
      <c r="V23" s="701" t="s">
        <v>14</v>
      </c>
      <c r="W23" s="702">
        <f>J23</f>
        <v>100</v>
      </c>
      <c r="X23" s="703"/>
      <c r="Y23" s="374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44"/>
      <c r="Q24" s="1342"/>
      <c r="R24" s="701"/>
      <c r="S24" s="702"/>
      <c r="T24" s="701"/>
      <c r="U24" s="702"/>
      <c r="V24" s="701"/>
      <c r="W24" s="702"/>
      <c r="X24" s="703"/>
      <c r="Y24" s="3744"/>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4"/>
      <c r="Q25" s="1342" t="str">
        <f t="shared" ref="Q25" si="9">B25</f>
        <v>基础设施水平</v>
      </c>
      <c r="R25" s="701" t="s">
        <v>14</v>
      </c>
      <c r="S25" s="702">
        <f>F25</f>
        <v>100</v>
      </c>
      <c r="T25" s="701" t="s">
        <v>14</v>
      </c>
      <c r="U25" s="702">
        <f>H25</f>
        <v>100</v>
      </c>
      <c r="V25" s="701" t="s">
        <v>14</v>
      </c>
      <c r="W25" s="702">
        <f>J25</f>
        <v>100</v>
      </c>
      <c r="X25" s="703"/>
      <c r="Y25" s="374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44"/>
      <c r="Q26" s="1342"/>
      <c r="R26" s="701"/>
      <c r="S26" s="702"/>
      <c r="T26" s="701"/>
      <c r="U26" s="702"/>
      <c r="V26" s="701"/>
      <c r="W26" s="702"/>
      <c r="X26" s="703"/>
      <c r="Y26" s="374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4"/>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4"/>
      <c r="Q28" s="1351" t="str">
        <f t="shared" si="8"/>
        <v>毗邻道路的类型与等级</v>
      </c>
      <c r="R28" s="705" t="s">
        <v>14</v>
      </c>
      <c r="S28" s="706">
        <f t="shared" si="10"/>
        <v>100</v>
      </c>
      <c r="T28" s="705" t="s">
        <v>14</v>
      </c>
      <c r="U28" s="706">
        <f t="shared" si="11"/>
        <v>100</v>
      </c>
      <c r="V28" s="705" t="s">
        <v>14</v>
      </c>
      <c r="W28" s="706">
        <f t="shared" si="12"/>
        <v>100</v>
      </c>
      <c r="X28" s="1354"/>
      <c r="Y28" s="374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4"/>
      <c r="Q29" s="1351"/>
      <c r="R29" s="705"/>
      <c r="S29" s="706"/>
      <c r="T29" s="705"/>
      <c r="U29" s="706"/>
      <c r="V29" s="705"/>
      <c r="W29" s="706"/>
      <c r="X29" s="1354"/>
      <c r="Y29" s="374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4"/>
      <c r="Q30" s="1351" t="str">
        <f t="shared" si="8"/>
        <v>土地级别</v>
      </c>
      <c r="R30" s="705" t="s">
        <v>14</v>
      </c>
      <c r="S30" s="706">
        <f t="shared" si="10"/>
        <v>100</v>
      </c>
      <c r="T30" s="705" t="s">
        <v>14</v>
      </c>
      <c r="U30" s="706">
        <f t="shared" si="11"/>
        <v>100</v>
      </c>
      <c r="V30" s="705" t="s">
        <v>14</v>
      </c>
      <c r="W30" s="706">
        <f t="shared" si="12"/>
        <v>100</v>
      </c>
      <c r="X30" s="1354"/>
      <c r="Y30" s="374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4"/>
      <c r="Q31" s="1351">
        <f t="shared" si="8"/>
        <v>111</v>
      </c>
      <c r="R31" s="705" t="s">
        <v>14</v>
      </c>
      <c r="S31" s="706">
        <f t="shared" si="10"/>
        <v>100</v>
      </c>
      <c r="T31" s="705" t="s">
        <v>14</v>
      </c>
      <c r="U31" s="706">
        <f t="shared" si="11"/>
        <v>100</v>
      </c>
      <c r="V31" s="705" t="s">
        <v>14</v>
      </c>
      <c r="W31" s="706">
        <f t="shared" si="12"/>
        <v>100</v>
      </c>
      <c r="X31" s="1354"/>
      <c r="Y31" s="374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9" t="s">
        <v>1696</v>
      </c>
      <c r="Q32" s="1351">
        <f t="shared" si="8"/>
        <v>111</v>
      </c>
      <c r="R32" s="705" t="s">
        <v>14</v>
      </c>
      <c r="S32" s="706">
        <f t="shared" si="10"/>
        <v>100</v>
      </c>
      <c r="T32" s="705" t="s">
        <v>14</v>
      </c>
      <c r="U32" s="706">
        <f t="shared" si="11"/>
        <v>100</v>
      </c>
      <c r="V32" s="705" t="s">
        <v>14</v>
      </c>
      <c r="W32" s="706">
        <f t="shared" si="12"/>
        <v>100</v>
      </c>
      <c r="X32" s="1354"/>
      <c r="Y32" s="3748"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8"/>
      <c r="Q33" s="1351">
        <f t="shared" si="8"/>
        <v>111</v>
      </c>
      <c r="R33" s="708" t="s">
        <v>14</v>
      </c>
      <c r="S33" s="709">
        <f t="shared" si="10"/>
        <v>100</v>
      </c>
      <c r="T33" s="708" t="s">
        <v>14</v>
      </c>
      <c r="U33" s="709">
        <f t="shared" si="11"/>
        <v>100</v>
      </c>
      <c r="V33" s="708" t="s">
        <v>14</v>
      </c>
      <c r="W33" s="709">
        <f t="shared" si="12"/>
        <v>100</v>
      </c>
      <c r="X33" s="710"/>
      <c r="Y33" s="374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8"/>
      <c r="Q34" s="1351" t="str">
        <f>B34</f>
        <v>宗地面积</v>
      </c>
      <c r="R34" s="705" t="s">
        <v>14</v>
      </c>
      <c r="S34" s="706" t="e">
        <f t="shared" si="10"/>
        <v>#N/A</v>
      </c>
      <c r="T34" s="705" t="s">
        <v>14</v>
      </c>
      <c r="U34" s="706" t="e">
        <f t="shared" si="11"/>
        <v>#N/A</v>
      </c>
      <c r="V34" s="705" t="s">
        <v>14</v>
      </c>
      <c r="W34" s="706" t="e">
        <f t="shared" si="12"/>
        <v>#N/A</v>
      </c>
      <c r="X34" s="1354"/>
      <c r="Y34" s="374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48"/>
      <c r="Q35" s="1351" t="str">
        <f t="shared" ref="Q35:Q40" si="14">B35</f>
        <v>宗地形状</v>
      </c>
      <c r="R35" s="705" t="s">
        <v>14</v>
      </c>
      <c r="S35" s="706">
        <f t="shared" si="10"/>
        <v>100</v>
      </c>
      <c r="T35" s="705" t="s">
        <v>14</v>
      </c>
      <c r="U35" s="706">
        <f t="shared" si="11"/>
        <v>100</v>
      </c>
      <c r="V35" s="705" t="s">
        <v>14</v>
      </c>
      <c r="W35" s="706">
        <f t="shared" si="12"/>
        <v>100</v>
      </c>
      <c r="X35" s="1354"/>
      <c r="Y35" s="374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48"/>
      <c r="Q36" s="1351" t="str">
        <f t="shared" si="14"/>
        <v>宗地开发程度</v>
      </c>
      <c r="R36" s="701" t="s">
        <v>14</v>
      </c>
      <c r="S36" s="702">
        <f t="shared" si="10"/>
        <v>100</v>
      </c>
      <c r="T36" s="701" t="s">
        <v>14</v>
      </c>
      <c r="U36" s="702">
        <f t="shared" si="11"/>
        <v>100</v>
      </c>
      <c r="V36" s="701" t="s">
        <v>14</v>
      </c>
      <c r="W36" s="702">
        <f t="shared" si="12"/>
        <v>100</v>
      </c>
      <c r="X36" s="703"/>
      <c r="Y36" s="374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48" t="s">
        <v>1696</v>
      </c>
      <c r="Q37" s="1351" t="str">
        <f t="shared" si="14"/>
        <v>工程地质条件</v>
      </c>
      <c r="R37" s="705" t="s">
        <v>14</v>
      </c>
      <c r="S37" s="706">
        <f t="shared" si="10"/>
        <v>100</v>
      </c>
      <c r="T37" s="705" t="s">
        <v>14</v>
      </c>
      <c r="U37" s="706">
        <f t="shared" si="11"/>
        <v>100</v>
      </c>
      <c r="V37" s="705" t="s">
        <v>14</v>
      </c>
      <c r="W37" s="706">
        <f t="shared" si="12"/>
        <v>100</v>
      </c>
      <c r="X37" s="1354"/>
      <c r="Y37" s="374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8"/>
      <c r="Q38" s="1351">
        <f t="shared" si="14"/>
        <v>111</v>
      </c>
      <c r="R38" s="705" t="s">
        <v>14</v>
      </c>
      <c r="S38" s="706">
        <f t="shared" si="10"/>
        <v>100</v>
      </c>
      <c r="T38" s="705" t="s">
        <v>14</v>
      </c>
      <c r="U38" s="706">
        <f t="shared" si="11"/>
        <v>100</v>
      </c>
      <c r="V38" s="705" t="s">
        <v>14</v>
      </c>
      <c r="W38" s="706">
        <f t="shared" si="12"/>
        <v>100</v>
      </c>
      <c r="X38" s="1354"/>
      <c r="Y38" s="374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8"/>
      <c r="Q39" s="1351">
        <f t="shared" si="14"/>
        <v>111</v>
      </c>
      <c r="R39" s="705" t="s">
        <v>14</v>
      </c>
      <c r="S39" s="706">
        <f t="shared" si="10"/>
        <v>100</v>
      </c>
      <c r="T39" s="705" t="s">
        <v>14</v>
      </c>
      <c r="U39" s="706">
        <f t="shared" si="11"/>
        <v>100</v>
      </c>
      <c r="V39" s="705" t="s">
        <v>14</v>
      </c>
      <c r="W39" s="706">
        <f t="shared" si="12"/>
        <v>100</v>
      </c>
      <c r="X39" s="1354"/>
      <c r="Y39" s="3748"/>
      <c r="Z39" s="1355">
        <f t="shared" si="13"/>
        <v>111</v>
      </c>
      <c r="AA39" s="1352">
        <f t="shared" si="3"/>
        <v>1</v>
      </c>
      <c r="AB39" s="1352">
        <f t="shared" si="4"/>
        <v>1</v>
      </c>
      <c r="AC39" s="1352">
        <f t="shared" si="5"/>
        <v>1</v>
      </c>
    </row>
    <row r="40" spans="1:31" s="422" customFormat="1" ht="15.6"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8"/>
      <c r="Q40" s="1351">
        <f t="shared" si="14"/>
        <v>111</v>
      </c>
      <c r="R40" s="708" t="s">
        <v>14</v>
      </c>
      <c r="S40" s="709">
        <f t="shared" si="10"/>
        <v>100</v>
      </c>
      <c r="T40" s="708" t="s">
        <v>14</v>
      </c>
      <c r="U40" s="709">
        <f t="shared" si="11"/>
        <v>100</v>
      </c>
      <c r="V40" s="708" t="s">
        <v>14</v>
      </c>
      <c r="W40" s="709">
        <f t="shared" si="12"/>
        <v>100</v>
      </c>
      <c r="X40" s="710"/>
      <c r="Y40" s="3748"/>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3"/>
      <c r="M41" s="2715"/>
      <c r="N41" s="2715"/>
      <c r="O41" s="2724"/>
      <c r="P41" s="3741" t="str">
        <f>A41</f>
        <v>成交单价</v>
      </c>
      <c r="Q41" s="3741"/>
      <c r="R41" s="3736">
        <f>E41</f>
        <v>0</v>
      </c>
      <c r="S41" s="3736"/>
      <c r="T41" s="3736">
        <f>G41</f>
        <v>0</v>
      </c>
      <c r="U41" s="3736"/>
      <c r="V41" s="3736">
        <f>I41</f>
        <v>0</v>
      </c>
      <c r="W41" s="3736"/>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41" t="str">
        <f>A42</f>
        <v>比较价值（元/平方米）</v>
      </c>
      <c r="Q42" s="3741"/>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38" t="str">
        <f>A43</f>
        <v>估价对象XX用房的比较价值（楼面单价，元/平方米）</v>
      </c>
      <c r="Q43" s="3739"/>
      <c r="R43" s="3772" t="e">
        <f>ROUND(IF(D42="简单平均",AVERAGE(R42:W42),R42*F42+T42*H42+V42*J42),0)</f>
        <v>#DIV/0!</v>
      </c>
      <c r="S43" s="3772"/>
      <c r="T43" s="3772"/>
      <c r="U43" s="3772"/>
      <c r="V43" s="3772"/>
      <c r="W43" s="377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724" t="s">
        <v>1887</v>
      </c>
      <c r="H50" s="377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207.28</v>
      </c>
      <c r="F51" s="639" t="e">
        <f t="shared" ref="F51:F60" si="15">ROUND(B51*E51/10000,0)</f>
        <v>#DIV/0!</v>
      </c>
      <c r="G51" s="3723"/>
      <c r="H51" s="374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八级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八级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八级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6" t="s">
        <v>1892</v>
      </c>
      <c r="H59" s="887" t="str">
        <f>项目基本情况!B37</f>
        <v>八级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1" t="s">
        <v>2084</v>
      </c>
      <c r="D1" s="3782"/>
      <c r="E1" s="3782"/>
      <c r="F1" s="3782"/>
      <c r="G1" s="3782"/>
      <c r="H1" s="3782"/>
      <c r="I1" s="3782"/>
      <c r="J1" s="3782"/>
      <c r="K1" s="3782"/>
      <c r="L1" s="3782"/>
      <c r="M1" s="3782"/>
      <c r="N1" s="3782"/>
      <c r="O1" s="3782"/>
      <c r="P1" s="3782"/>
      <c r="Q1" s="3782"/>
      <c r="R1" s="3782"/>
      <c r="S1" s="378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148</v>
      </c>
      <c r="C2" s="2144" t="s">
        <v>2074</v>
      </c>
      <c r="D2" s="2144" t="s">
        <v>2075</v>
      </c>
      <c r="E2" s="2611">
        <f ca="1">SUMIF(E6:E13,"&lt;&gt;#ref!",E6:E13)</f>
        <v>207.28</v>
      </c>
      <c r="F2" s="2792"/>
      <c r="G2" s="2792"/>
      <c r="H2" s="2792"/>
      <c r="I2" s="2792"/>
      <c r="J2" s="2792"/>
      <c r="K2" s="2792"/>
      <c r="L2" s="2792"/>
      <c r="M2" s="2792"/>
      <c r="N2" s="2792"/>
      <c r="O2" s="2792"/>
      <c r="P2" s="2792"/>
    </row>
    <row r="3" spans="1:16" ht="15.6">
      <c r="A3" s="2144" t="s">
        <v>2076</v>
      </c>
      <c r="B3" s="2601">
        <f ca="1">ROUND(B2*10000/E2,0)</f>
        <v>7140</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148</v>
      </c>
      <c r="C6" s="2144" t="s">
        <v>2074</v>
      </c>
      <c r="D6" s="2792"/>
      <c r="E6" s="2611">
        <f ca="1">SUMIF(INDIRECT("'"&amp;A6&amp;"'"&amp;"!C:C"),"建筑面积",INDIRECT("'"&amp;A6&amp;"'"&amp;"!D:D"))</f>
        <v>207.28</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F3" sqref="F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207.28</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148</v>
      </c>
      <c r="C2" s="1998" t="s">
        <v>1935</v>
      </c>
      <c r="D2" s="1999" t="s">
        <v>1936</v>
      </c>
      <c r="E2" s="3421"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Ⅷ-怀1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8931</v>
      </c>
      <c r="U2" s="1212"/>
      <c r="V2" s="3360">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7140</v>
      </c>
      <c r="C3" s="1998" t="s">
        <v>1941</v>
      </c>
      <c r="D3" s="1999" t="s">
        <v>1942</v>
      </c>
      <c r="E3" s="3419" t="s">
        <v>2443</v>
      </c>
      <c r="F3" s="2003" t="s">
        <v>3490</v>
      </c>
      <c r="G3" s="752">
        <f>IF(F3="宗地容积率",'数据-汇总表'!I4,IF(F3="估价对象容积率",'数据-汇总表'!I6,'数据-汇总表'!I7))</f>
        <v>1</v>
      </c>
      <c r="H3" s="170" t="s">
        <v>1943</v>
      </c>
      <c r="I3" s="775">
        <v>1</v>
      </c>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1.1883999999999999</v>
      </c>
      <c r="T3" s="3360">
        <f t="shared" si="0"/>
        <v>6884</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91"/>
      <c r="B4" s="3792"/>
      <c r="C4" s="3792"/>
      <c r="D4" s="3793"/>
      <c r="E4" s="3793"/>
      <c r="F4" s="3793"/>
      <c r="G4" s="3793"/>
      <c r="H4" s="3793"/>
      <c r="I4" s="3793"/>
      <c r="J4" s="3794"/>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0.96940000000000004</v>
      </c>
      <c r="T4" s="3360">
        <f t="shared" si="0"/>
        <v>5616</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7630</v>
      </c>
      <c r="D5" s="1338">
        <f>ROUND(C6*C17+C20,0)</f>
        <v>7630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0.82299999999999995</v>
      </c>
      <c r="T5" s="3360">
        <f t="shared" si="0"/>
        <v>4767</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7610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0.74980000000000002</v>
      </c>
      <c r="T6" s="3360">
        <f t="shared" si="0"/>
        <v>4343</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3241</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1</v>
      </c>
      <c r="AA7" s="1215"/>
      <c r="AB7" s="1215"/>
      <c r="AC7" s="1216"/>
      <c r="AD7" s="1217"/>
      <c r="AE7" s="1217"/>
      <c r="AF7" s="1217"/>
      <c r="AG7" s="1217"/>
      <c r="AH7" s="1217"/>
      <c r="AI7" s="1217"/>
      <c r="AJ7" s="1218"/>
    </row>
    <row r="8" spans="1:36" ht="26.4">
      <c r="A8" s="3298"/>
      <c r="B8" s="170" t="s">
        <v>1957</v>
      </c>
      <c r="C8" s="2025" t="s">
        <v>3480</v>
      </c>
      <c r="D8" s="756" t="s">
        <v>112</v>
      </c>
      <c r="E8" s="757" t="e">
        <f>ROUND(C11/E7,4)</f>
        <v>#DIV/0!</v>
      </c>
      <c r="F8" s="2026" t="s">
        <v>1958</v>
      </c>
      <c r="G8" s="2027"/>
      <c r="H8" s="2027"/>
      <c r="I8" s="2027"/>
      <c r="J8" s="2028"/>
      <c r="K8" s="1118"/>
      <c r="L8" s="2002" t="s">
        <v>1959</v>
      </c>
      <c r="M8" s="864">
        <f>SUMPRODUCT((区片价!B234:B276=I2)*(区片价!C3:G3=E2)*(区片价!C234:G276))</f>
        <v>7610</v>
      </c>
      <c r="N8" s="866">
        <f>SUMPRODUCT((因素修正幅度!B234:B276=I2)*(因素修正幅度!C3:G3=E2)*(因素修正幅度!C234:G276))</f>
        <v>0.14399999999999999</v>
      </c>
      <c r="O8" s="1118"/>
      <c r="P8" s="1118"/>
      <c r="Q8" s="1118"/>
      <c r="R8" s="1211">
        <v>7</v>
      </c>
      <c r="S8" s="1212"/>
      <c r="T8" s="3360">
        <f t="shared" si="0"/>
        <v>0</v>
      </c>
      <c r="U8" s="1212"/>
      <c r="V8" s="3360">
        <f t="shared" si="1"/>
        <v>0</v>
      </c>
      <c r="W8" s="3788" t="s">
        <v>1960</v>
      </c>
      <c r="X8" s="378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90"/>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9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3242</v>
      </c>
      <c r="B12" s="3304" t="s">
        <v>3243</v>
      </c>
      <c r="C12" s="3305"/>
      <c r="D12" s="3306" t="s">
        <v>3244</v>
      </c>
      <c r="E12" s="3307" t="s">
        <v>3245</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3246</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3252</v>
      </c>
      <c r="E18" s="3328"/>
      <c r="F18" s="3323" t="s">
        <v>3255</v>
      </c>
      <c r="G18" s="3327">
        <f>ROUND(1-(1/(POWER(1+G24,E18))),4)</f>
        <v>0</v>
      </c>
      <c r="H18" s="3323" t="s">
        <v>3257</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95" t="s">
        <v>3258</v>
      </c>
      <c r="B20" s="167" t="s">
        <v>1994</v>
      </c>
      <c r="C20" s="3324">
        <f>ROUND(IF(F21="与级别开发程度一致",0,(G21-E21)/C21),0)</f>
        <v>20</v>
      </c>
      <c r="D20" s="3340" t="s">
        <v>1998</v>
      </c>
      <c r="E20" s="3341"/>
      <c r="F20" s="3801" t="s">
        <v>1995</v>
      </c>
      <c r="G20" s="3802"/>
      <c r="H20" s="3325" t="s">
        <v>3483</v>
      </c>
      <c r="I20" s="3325" t="s">
        <v>3484</v>
      </c>
      <c r="J20" s="3326" t="s">
        <v>3485</v>
      </c>
      <c r="K20" s="2046" t="s">
        <v>3486</v>
      </c>
      <c r="L20" s="2046" t="s">
        <v>3487</v>
      </c>
      <c r="M20" s="2046" t="s">
        <v>3488</v>
      </c>
      <c r="N20" s="2046" t="s">
        <v>3489</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796"/>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3482</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10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3" t="s">
        <v>2002</v>
      </c>
      <c r="E23" s="761">
        <v>44197</v>
      </c>
      <c r="F23" s="2053" t="s">
        <v>2003</v>
      </c>
      <c r="G23" s="762">
        <f>'数据-取费表'!B2</f>
        <v>45510</v>
      </c>
      <c r="H23" s="3342" t="s">
        <v>3259</v>
      </c>
      <c r="I23" s="3343" t="str">
        <f>IF(H23="季度增幅（自定义）",SUMIF(N25:N28,E2,O25:O28),"")</f>
        <v/>
      </c>
      <c r="J23" s="3445" t="s">
        <v>3481</v>
      </c>
      <c r="K23" s="1124"/>
      <c r="L23" s="2054" t="s">
        <v>2004</v>
      </c>
      <c r="M23" s="1327">
        <f>ROUND(SUMIF(地价!B2:G2,E2,地价!B16:G16),0)</f>
        <v>350</v>
      </c>
      <c r="N23" s="2055" t="s">
        <v>2005</v>
      </c>
      <c r="O23" s="763">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2006</v>
      </c>
      <c r="C24" s="764">
        <f>ROUND(POWER(1+G24,J24-I24)*(POWER(1+G24,I24)-1)/(POWER(1+G24,J24)-1),4)</f>
        <v>0.68049999999999999</v>
      </c>
      <c r="D24" s="2059" t="s">
        <v>2007</v>
      </c>
      <c r="E24" s="1334">
        <f>存贷款利率!E24/100</f>
        <v>4.3499999999999997E-2</v>
      </c>
      <c r="F24" s="2059" t="s">
        <v>1999</v>
      </c>
      <c r="G24" s="768">
        <f>SUMIF(M30:Q30,E2,M33:Q33)</f>
        <v>5.5E-2</v>
      </c>
      <c r="H24" s="2059" t="s">
        <v>2008</v>
      </c>
      <c r="I24" s="769">
        <f>SUMIF('数据-取费表'!C6:C15,E2,'数据-取费表'!F6:F15)/COUNTIF('数据-取费表'!C6:C15,E2)</f>
        <v>17.14</v>
      </c>
      <c r="J24" s="770">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3338</v>
      </c>
      <c r="C25" s="771">
        <f>IF(B25="容积率修正",IF(G3&lt;10,D26,J26),C27)</f>
        <v>1.2333000000000001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2014</v>
      </c>
      <c r="B26" s="2069" t="s">
        <v>2015</v>
      </c>
      <c r="C26" s="3344" t="s">
        <v>3260</v>
      </c>
      <c r="D26" s="1351">
        <f>IF(E26=G26,F26,IF(G3&lt;10,ROUND(F26+(H26-F26)*(G3-E26)/(G26-E26),4),"——"))</f>
        <v>1.2333000000000001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1">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2020</v>
      </c>
      <c r="C28" s="760">
        <f>SUMIF(A47:A101,E2,B47:B101)</f>
        <v>1.0661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2024</v>
      </c>
      <c r="C30" s="2320">
        <f>IF(B25="容积率修正",E33+SUM(E37:E42),SUM(V2:V16)+SUM(E37:E42))</f>
        <v>148</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2030</v>
      </c>
      <c r="C33" s="175">
        <f>ROUND(C5*C22*C23*C24*C25*C28,0)</f>
        <v>7144</v>
      </c>
      <c r="D33" s="2097">
        <f>'数据-汇总表'!E19</f>
        <v>207.28</v>
      </c>
      <c r="E33" s="773">
        <f>ROUND(C33*D33/10000,0)</f>
        <v>148</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2031</v>
      </c>
      <c r="C34" s="187">
        <f>ROUND(IF(E2="工业",C33*M42,IF(B25="楼层修正",SUM(V2:V16)*M41*10000/D34,C33*M41)),0)</f>
        <v>1786</v>
      </c>
      <c r="D34" s="2102"/>
      <c r="E34" s="773">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3268</v>
      </c>
      <c r="L36" s="3446">
        <f>'数据-取费表'!B40</f>
        <v>3.3500000000000002E-2</v>
      </c>
      <c r="M36" s="3357">
        <f>ROUND($L$36*(1+M31),3)</f>
        <v>4.2000000000000003E-2</v>
      </c>
      <c r="N36" s="3357">
        <f>ROUND($L$36*(1+N31),3)</f>
        <v>0.04</v>
      </c>
      <c r="O36" s="3357">
        <f>ROUND($L$36*(1+O31),3)</f>
        <v>3.9E-2</v>
      </c>
      <c r="P36" s="3357">
        <f>ROUND($L$36*(1+P31),3)</f>
        <v>3.6999999999999998E-2</v>
      </c>
      <c r="Q36" s="3357">
        <f>ROUND($L$36*(1+Q31),3)</f>
        <v>3.9E-2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99"/>
      <c r="B37" s="2112" t="s">
        <v>2036</v>
      </c>
      <c r="C37" s="175">
        <f>ROUND(D5*C22*C23*C24*C28*F37,0)</f>
        <v>2896</v>
      </c>
      <c r="D37" s="2097"/>
      <c r="E37" s="171">
        <f>ROUND(C37*D37/10000,0)</f>
        <v>0</v>
      </c>
      <c r="F37" s="171">
        <f>SUMIF(修正!A57:A68,G2,修正!B57:B68)</f>
        <v>0.5</v>
      </c>
      <c r="G37" s="171">
        <f>ROUND(IF(E2="工业",C37*$M$42,C37*$M$41),0)</f>
        <v>724</v>
      </c>
      <c r="H37" s="171">
        <f>D37</f>
        <v>0</v>
      </c>
      <c r="I37" s="171">
        <f>ROUND(G37*H37/10000,0)</f>
        <v>0</v>
      </c>
      <c r="J37" s="3011"/>
      <c r="K37" s="3358" t="s">
        <v>3269</v>
      </c>
      <c r="L37" s="3356">
        <f>L36+K38</f>
        <v>3.85E-2</v>
      </c>
      <c r="M37" s="3357">
        <f>ROUND($L$37*(1+M31),3)</f>
        <v>4.8000000000000001E-2</v>
      </c>
      <c r="N37" s="3357">
        <f t="shared" ref="N37:Q37" si="3">ROUND($L$37*(1+N31),3)</f>
        <v>4.5999999999999999E-2</v>
      </c>
      <c r="O37" s="3357">
        <f t="shared" si="3"/>
        <v>4.3999999999999997E-2</v>
      </c>
      <c r="P37" s="3357">
        <f t="shared" si="3"/>
        <v>4.2000000000000003E-2</v>
      </c>
      <c r="Q37" s="3357">
        <f t="shared" si="3"/>
        <v>4.3999999999999997E-2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00"/>
      <c r="B38" s="2040" t="s">
        <v>2037</v>
      </c>
      <c r="C38" s="175">
        <f>ROUND(D5*C22*C23*C24*C28*F38,0)</f>
        <v>1159</v>
      </c>
      <c r="D38" s="2097"/>
      <c r="E38" s="171">
        <f t="shared" ref="E38:E42" si="4">ROUND(C38*D38/10000,0)</f>
        <v>0</v>
      </c>
      <c r="F38" s="171">
        <f>SUMIF(修正!A57:A68,G2,修正!C57:C68)</f>
        <v>0.2</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800"/>
      <c r="B39" s="2040" t="s">
        <v>3262</v>
      </c>
      <c r="C39" s="175">
        <f>ROUND(D5*C22*C23*C24*C28*F39,0)</f>
        <v>1159</v>
      </c>
      <c r="D39" s="2097"/>
      <c r="E39" s="171">
        <f t="shared" si="4"/>
        <v>0</v>
      </c>
      <c r="F39" s="171">
        <f>SUMIF(修正!A57:A68,G2,修正!D57:D68)</f>
        <v>0.2</v>
      </c>
      <c r="G39" s="171">
        <f>ROUND(IF(E2="工业",C39*$M$42,C39*$M$41),0)</f>
        <v>290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1159</v>
      </c>
      <c r="D40" s="2097"/>
      <c r="E40" s="171">
        <f t="shared" si="4"/>
        <v>0</v>
      </c>
      <c r="F40" s="175">
        <f>SUMIF(修正!A57:A68,G2,修正!E57:E68)</f>
        <v>0.2</v>
      </c>
      <c r="G40" s="171">
        <f>ROUND(IF(E2="工业",C40*$M$42,C40*$M$41),0)</f>
        <v>290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8"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2043</v>
      </c>
      <c r="B48" s="2126">
        <f>1+E50</f>
        <v>1.0661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9" t="s">
        <v>2052</v>
      </c>
      <c r="B50" s="2132" t="str">
        <f>估价对象房地状况!C4</f>
        <v>估价对象位于XX商圈，周边商业氛围成熟，人流量大，商业繁华度好</v>
      </c>
      <c r="C50" s="2043" t="s">
        <v>3411</v>
      </c>
      <c r="D50" s="1065">
        <f t="shared" ref="D50:D58" si="7">SUMIF($J$49:$N$49,C50,J50:N50)</f>
        <v>2.1600000000000001E-2</v>
      </c>
      <c r="E50" s="744">
        <f>ROUND(SUM(D50:D58),4)</f>
        <v>6.6100000000000006E-2</v>
      </c>
      <c r="F50" s="1813">
        <f>IF(E2="商业",SUMIF(L1:L12,G2,N1:N12),"——")</f>
        <v>0.14399999999999999</v>
      </c>
      <c r="G50" s="1063">
        <v>2.1600000000000001E-2</v>
      </c>
      <c r="H50" s="1066">
        <f t="shared" ref="H50:H58" si="8">IFERROR(ROUNDDOWN($F$50*I50/2,4),"——")</f>
        <v>2.1600000000000001E-2</v>
      </c>
      <c r="I50" s="3366">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19"/>
      <c r="AB50" s="1119"/>
      <c r="AC50" s="1119"/>
      <c r="AD50" s="1119"/>
      <c r="AE50" s="1119"/>
      <c r="AF50" s="1119"/>
      <c r="AG50" s="1119"/>
      <c r="AH50" s="1119"/>
      <c r="AI50" s="1119"/>
      <c r="AJ50" s="1119"/>
      <c r="AK50" s="1119"/>
    </row>
    <row r="51" spans="1:37" s="1118" customFormat="1" ht="52.8">
      <c r="A51" s="2129" t="s">
        <v>2053</v>
      </c>
      <c r="B51" s="2133" t="str">
        <f>估价对象房地状况!C18</f>
        <v>估价对象周边道路状况、公共交通通达情况、停车便捷程度，综合评价交通便捷度较好</v>
      </c>
      <c r="C51" s="2043" t="s">
        <v>3411</v>
      </c>
      <c r="D51" s="1065">
        <f t="shared" si="7"/>
        <v>1.5800000000000002E-2</v>
      </c>
      <c r="E51" s="745"/>
      <c r="F51" s="1813"/>
      <c r="G51" s="1063">
        <v>1.5800000000000002E-2</v>
      </c>
      <c r="H51" s="1066">
        <f t="shared" si="8"/>
        <v>1.5800000000000002E-2</v>
      </c>
      <c r="I51" s="3366">
        <v>0.22</v>
      </c>
      <c r="J51" s="1064">
        <f t="shared" si="9"/>
        <v>3.1600000000000003E-2</v>
      </c>
      <c r="K51" s="1064">
        <f t="shared" si="10"/>
        <v>1.5800000000000002E-2</v>
      </c>
      <c r="L51" s="1064">
        <v>0</v>
      </c>
      <c r="M51" s="1064">
        <f t="shared" si="11"/>
        <v>-1.5800000000000002E-2</v>
      </c>
      <c r="N51" s="1064">
        <f t="shared" si="11"/>
        <v>-3.1600000000000003E-2</v>
      </c>
      <c r="AA51" s="1119"/>
      <c r="AB51" s="1119"/>
      <c r="AC51" s="1119"/>
      <c r="AD51" s="1119"/>
      <c r="AE51" s="1119"/>
      <c r="AF51" s="1119"/>
      <c r="AG51" s="1119"/>
      <c r="AH51" s="1119"/>
      <c r="AI51" s="1119"/>
      <c r="AJ51" s="1119"/>
      <c r="AK51" s="1119"/>
    </row>
    <row r="52" spans="1:37" s="1118" customFormat="1" ht="48">
      <c r="A52" s="3368" t="s">
        <v>3272</v>
      </c>
      <c r="B52" s="2133">
        <f>估价对象房地状况!C19</f>
        <v>0</v>
      </c>
      <c r="C52" s="2043" t="s">
        <v>3411</v>
      </c>
      <c r="D52" s="1065">
        <f t="shared" si="7"/>
        <v>8.6E-3</v>
      </c>
      <c r="E52" s="745"/>
      <c r="F52" s="1813"/>
      <c r="G52" s="1063">
        <v>8.6E-3</v>
      </c>
      <c r="H52" s="1066">
        <f t="shared" si="8"/>
        <v>8.6E-3</v>
      </c>
      <c r="I52" s="3366">
        <v>0.12</v>
      </c>
      <c r="J52" s="1064">
        <f t="shared" si="9"/>
        <v>1.72E-2</v>
      </c>
      <c r="K52" s="1064">
        <f t="shared" si="10"/>
        <v>8.6E-3</v>
      </c>
      <c r="L52" s="1064">
        <v>0</v>
      </c>
      <c r="M52" s="1064">
        <f t="shared" si="11"/>
        <v>-8.6E-3</v>
      </c>
      <c r="N52" s="1064">
        <f t="shared" si="11"/>
        <v>-1.72E-2</v>
      </c>
      <c r="AA52" s="1119"/>
      <c r="AB52" s="1119"/>
      <c r="AC52" s="1119"/>
      <c r="AD52" s="1119"/>
      <c r="AE52" s="1119"/>
      <c r="AF52" s="1119"/>
      <c r="AG52" s="1119"/>
      <c r="AH52" s="1119"/>
      <c r="AI52" s="1119"/>
      <c r="AJ52" s="1119"/>
      <c r="AK52" s="1119"/>
    </row>
    <row r="53" spans="1:37" s="1118" customFormat="1" ht="37.200000000000003">
      <c r="A53" s="2129" t="s">
        <v>2054</v>
      </c>
      <c r="B53" s="2134" t="s">
        <v>2055</v>
      </c>
      <c r="C53" s="2043" t="s">
        <v>3411</v>
      </c>
      <c r="D53" s="1065">
        <f t="shared" si="7"/>
        <v>3.5999999999999999E-3</v>
      </c>
      <c r="E53" s="745"/>
      <c r="F53" s="1813"/>
      <c r="G53" s="1063">
        <v>3.5999999999999999E-3</v>
      </c>
      <c r="H53" s="1066">
        <f t="shared" si="8"/>
        <v>3.5999999999999999E-3</v>
      </c>
      <c r="I53" s="3366">
        <v>0.05</v>
      </c>
      <c r="J53" s="1064">
        <f t="shared" si="9"/>
        <v>7.1999999999999998E-3</v>
      </c>
      <c r="K53" s="1064">
        <f t="shared" si="10"/>
        <v>3.5999999999999999E-3</v>
      </c>
      <c r="L53" s="1064">
        <v>0</v>
      </c>
      <c r="M53" s="1064">
        <f t="shared" si="11"/>
        <v>-3.5999999999999999E-3</v>
      </c>
      <c r="N53" s="1064">
        <f t="shared" si="11"/>
        <v>-7.1999999999999998E-3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3412</v>
      </c>
      <c r="D54" s="1065">
        <f t="shared" si="7"/>
        <v>0</v>
      </c>
      <c r="E54" s="745"/>
      <c r="F54" s="1813"/>
      <c r="G54" s="1063">
        <v>5.7000000000000002E-3</v>
      </c>
      <c r="H54" s="1066">
        <f t="shared" si="8"/>
        <v>5.7000000000000002E-3</v>
      </c>
      <c r="I54" s="3366">
        <v>0.08</v>
      </c>
      <c r="J54" s="1064">
        <f t="shared" si="9"/>
        <v>1.14E-2</v>
      </c>
      <c r="K54" s="1064">
        <f t="shared" si="10"/>
        <v>5.7000000000000002E-3</v>
      </c>
      <c r="L54" s="1064">
        <v>0</v>
      </c>
      <c r="M54" s="1064">
        <f t="shared" si="11"/>
        <v>-5.7000000000000002E-3</v>
      </c>
      <c r="N54" s="1064">
        <f t="shared" si="11"/>
        <v>-1.14E-2</v>
      </c>
      <c r="AA54" s="1119"/>
      <c r="AB54" s="1119"/>
      <c r="AC54" s="1119"/>
      <c r="AD54" s="1119"/>
      <c r="AE54" s="1119"/>
      <c r="AF54" s="1119"/>
      <c r="AG54" s="1119"/>
      <c r="AH54" s="1119"/>
      <c r="AI54" s="1119"/>
      <c r="AJ54" s="1119"/>
      <c r="AK54" s="1119"/>
    </row>
    <row r="55" spans="1:37" s="1118" customFormat="1" ht="36">
      <c r="A55" s="2129" t="s">
        <v>2057</v>
      </c>
      <c r="B55" s="2135" t="s">
        <v>2058</v>
      </c>
      <c r="C55" s="2043" t="s">
        <v>3411</v>
      </c>
      <c r="D55" s="1065">
        <f t="shared" si="7"/>
        <v>3.5999999999999999E-3</v>
      </c>
      <c r="E55" s="745"/>
      <c r="F55" s="1813"/>
      <c r="G55" s="1063">
        <v>3.5999999999999999E-3</v>
      </c>
      <c r="H55" s="1066">
        <f t="shared" si="8"/>
        <v>3.5999999999999999E-3</v>
      </c>
      <c r="I55" s="3366">
        <v>0.05</v>
      </c>
      <c r="J55" s="1064">
        <f t="shared" si="9"/>
        <v>7.1999999999999998E-3</v>
      </c>
      <c r="K55" s="1064">
        <f t="shared" si="10"/>
        <v>3.5999999999999999E-3</v>
      </c>
      <c r="L55" s="1064">
        <v>0</v>
      </c>
      <c r="M55" s="1064">
        <f t="shared" si="11"/>
        <v>-3.5999999999999999E-3</v>
      </c>
      <c r="N55" s="1064">
        <f t="shared" si="11"/>
        <v>-7.1999999999999998E-3</v>
      </c>
      <c r="AA55" s="1119"/>
      <c r="AB55" s="1119"/>
      <c r="AC55" s="1119"/>
      <c r="AD55" s="1119"/>
      <c r="AE55" s="1119"/>
      <c r="AF55" s="1119"/>
      <c r="AG55" s="1119"/>
      <c r="AH55" s="1119"/>
      <c r="AI55" s="1119"/>
      <c r="AJ55" s="1119"/>
      <c r="AK55" s="1119"/>
    </row>
    <row r="56" spans="1:37" s="1118" customFormat="1" ht="26.4">
      <c r="A56" s="2136" t="s">
        <v>2059</v>
      </c>
      <c r="B56" s="1325" t="str">
        <f>估价对象房地状况!C21</f>
        <v>估价对象所在区域公共配套设施齐备情况</v>
      </c>
      <c r="C56" s="2043" t="s">
        <v>3411</v>
      </c>
      <c r="D56" s="1065">
        <f t="shared" si="7"/>
        <v>3.5999999999999999E-3</v>
      </c>
      <c r="E56" s="745"/>
      <c r="F56" s="1813"/>
      <c r="G56" s="1063">
        <v>3.5999999999999999E-3</v>
      </c>
      <c r="H56" s="1066">
        <f t="shared" si="8"/>
        <v>3.5999999999999999E-3</v>
      </c>
      <c r="I56" s="3366">
        <v>0.05</v>
      </c>
      <c r="J56" s="1064">
        <f t="shared" si="9"/>
        <v>7.1999999999999998E-3</v>
      </c>
      <c r="K56" s="1064">
        <f t="shared" si="10"/>
        <v>3.5999999999999999E-3</v>
      </c>
      <c r="L56" s="1064">
        <v>0</v>
      </c>
      <c r="M56" s="1064">
        <f t="shared" si="11"/>
        <v>-3.5999999999999999E-3</v>
      </c>
      <c r="N56" s="1064">
        <f t="shared" si="11"/>
        <v>-7.1999999999999998E-3</v>
      </c>
      <c r="AA56" s="1119"/>
      <c r="AB56" s="1119"/>
      <c r="AC56" s="1119"/>
      <c r="AD56" s="1119"/>
      <c r="AE56" s="1119"/>
      <c r="AF56" s="1119"/>
      <c r="AG56" s="1119"/>
      <c r="AH56" s="1119"/>
      <c r="AI56" s="1119"/>
      <c r="AJ56" s="1119"/>
      <c r="AK56" s="1119"/>
    </row>
    <row r="57" spans="1:37" s="1118" customFormat="1" ht="26.4">
      <c r="A57" s="2136" t="s">
        <v>2060</v>
      </c>
      <c r="B57" s="2133" t="str">
        <f>估价对象房地状况!C22</f>
        <v>估价对象所在区域基础设施水平</v>
      </c>
      <c r="C57" s="2043" t="s">
        <v>3411</v>
      </c>
      <c r="D57" s="1065">
        <f t="shared" si="7"/>
        <v>5.7000000000000002E-3</v>
      </c>
      <c r="E57" s="745"/>
      <c r="F57" s="1813"/>
      <c r="G57" s="1063">
        <v>5.7000000000000002E-3</v>
      </c>
      <c r="H57" s="1066">
        <f t="shared" si="8"/>
        <v>5.7000000000000002E-3</v>
      </c>
      <c r="I57" s="3366">
        <v>0.08</v>
      </c>
      <c r="J57" s="1064">
        <f t="shared" si="9"/>
        <v>1.14E-2</v>
      </c>
      <c r="K57" s="1064">
        <f t="shared" si="10"/>
        <v>5.7000000000000002E-3</v>
      </c>
      <c r="L57" s="1064">
        <v>0</v>
      </c>
      <c r="M57" s="1064">
        <f t="shared" si="11"/>
        <v>-5.7000000000000002E-3</v>
      </c>
      <c r="N57" s="1064">
        <f t="shared" si="11"/>
        <v>-1.14E-2</v>
      </c>
      <c r="AA57" s="1119"/>
      <c r="AB57" s="1119"/>
      <c r="AC57" s="1119"/>
      <c r="AD57" s="1119"/>
      <c r="AE57" s="1119"/>
      <c r="AF57" s="1119"/>
      <c r="AG57" s="1119"/>
      <c r="AH57" s="1119"/>
      <c r="AI57" s="1119"/>
      <c r="AJ57" s="1119"/>
      <c r="AK57" s="1119"/>
    </row>
    <row r="58" spans="1:37" s="1118" customFormat="1" ht="40.200000000000003" thickBot="1">
      <c r="A58" s="2137" t="s">
        <v>2061</v>
      </c>
      <c r="B58" s="2138" t="str">
        <f>估价对象房地状况!C20</f>
        <v>区域自然环境：；人文环境；综合评价环境状况一般</v>
      </c>
      <c r="C58" s="2043" t="s">
        <v>3411</v>
      </c>
      <c r="D58" s="1065">
        <f t="shared" si="7"/>
        <v>3.5999999999999999E-3</v>
      </c>
      <c r="E58" s="746"/>
      <c r="F58" s="1813"/>
      <c r="G58" s="1063">
        <v>3.5999999999999999E-3</v>
      </c>
      <c r="H58" s="1066">
        <f t="shared" si="8"/>
        <v>3.5999999999999999E-3</v>
      </c>
      <c r="I58" s="3367">
        <v>0.05</v>
      </c>
      <c r="J58" s="1064">
        <f t="shared" si="9"/>
        <v>7.1999999999999998E-3</v>
      </c>
      <c r="K58" s="1064">
        <f t="shared" si="10"/>
        <v>3.5999999999999999E-3</v>
      </c>
      <c r="L58" s="1064">
        <v>0</v>
      </c>
      <c r="M58" s="1064">
        <f t="shared" si="11"/>
        <v>-3.5999999999999999E-3</v>
      </c>
      <c r="N58" s="1064">
        <f t="shared" si="11"/>
        <v>-7.1999999999999998E-3</v>
      </c>
      <c r="AA58" s="1119"/>
      <c r="AB58" s="1119"/>
      <c r="AC58" s="1119"/>
      <c r="AD58" s="1119"/>
      <c r="AE58" s="1119"/>
      <c r="AF58" s="1119"/>
      <c r="AG58" s="1119"/>
      <c r="AH58" s="1119"/>
      <c r="AI58" s="1119"/>
      <c r="AJ58" s="1119"/>
      <c r="AK58" s="1119"/>
    </row>
    <row r="59" spans="1:37" s="1118" customFormat="1" ht="14.4">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48">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7.200000000000003">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36">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6.4">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6.4">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4.4">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6" customFormat="1" ht="48">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8"/>
      <c r="P74" s="1118"/>
      <c r="Q74" s="1118"/>
      <c r="AA74" s="2140"/>
      <c r="AB74" s="1119"/>
      <c r="AC74" s="1119"/>
      <c r="AD74" s="1119"/>
      <c r="AE74" s="1119"/>
      <c r="AF74" s="1119"/>
      <c r="AG74" s="1119"/>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8"/>
      <c r="P75" s="1118"/>
      <c r="Q75" s="1996"/>
      <c r="Z75" s="1997"/>
      <c r="AA75" s="2052"/>
      <c r="AG75" s="1120"/>
      <c r="AK75" s="2052"/>
    </row>
    <row r="76" spans="1:37" ht="26.4">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8"/>
      <c r="P76" s="1118"/>
      <c r="Z76" s="1997"/>
      <c r="AA76" s="2052"/>
      <c r="AG76" s="1120"/>
      <c r="AK76" s="2052"/>
    </row>
    <row r="77" spans="1:37" ht="26.4">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8"/>
      <c r="P77" s="1118"/>
      <c r="Z77" s="1997"/>
      <c r="AA77" s="2052"/>
      <c r="AG77" s="1120"/>
      <c r="AK77" s="2052"/>
    </row>
    <row r="78" spans="1:37" ht="36">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0"/>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0"/>
      <c r="AK79" s="2052"/>
    </row>
    <row r="80" spans="1:37" ht="36.6"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0"/>
      <c r="AK80" s="2052"/>
    </row>
    <row r="81" spans="1:37" ht="14.4">
      <c r="A81" s="2125" t="s">
        <v>2069</v>
      </c>
      <c r="B81" s="2126">
        <f>1+E83</f>
        <v>1</v>
      </c>
      <c r="C81" s="741"/>
      <c r="D81" s="741"/>
      <c r="E81" s="742"/>
      <c r="F81" s="2128"/>
      <c r="G81" s="3"/>
      <c r="H81" s="3"/>
      <c r="I81" s="3"/>
      <c r="J81" s="4"/>
      <c r="K81" s="4"/>
      <c r="L81" s="4"/>
      <c r="M81" s="4"/>
      <c r="N81" s="4"/>
      <c r="Z81" s="1997"/>
      <c r="AA81" s="2052"/>
      <c r="AG81" s="1120"/>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0"/>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0"/>
      <c r="AK84" s="2052"/>
    </row>
    <row r="85" spans="1:37" ht="48">
      <c r="A85" s="3368" t="s">
        <v>3273</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0"/>
      <c r="AK85" s="2052"/>
    </row>
    <row r="86" spans="1:37" ht="13.8">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0"/>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3.8">
      <c r="A91" s="3376" t="s">
        <v>2616</v>
      </c>
      <c r="B91" s="3377">
        <f>1+E93</f>
        <v>1</v>
      </c>
      <c r="C91" s="3370"/>
      <c r="D91" s="3371"/>
      <c r="E91" s="1813"/>
      <c r="F91" s="1813"/>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7" t="s">
        <v>3297</v>
      </c>
      <c r="B103" s="3797"/>
      <c r="C103" s="3797"/>
      <c r="D103" s="3797"/>
      <c r="E103" s="3797"/>
      <c r="F103" s="3797"/>
      <c r="G103" s="3797"/>
      <c r="H103" s="3797"/>
      <c r="I103" s="3797"/>
      <c r="J103" s="3797"/>
      <c r="K103" s="3389"/>
      <c r="L103" s="3389"/>
      <c r="M103" s="3389"/>
      <c r="N103" s="3389"/>
    </row>
    <row r="104" spans="1:14">
      <c r="A104" s="3798" t="s">
        <v>3298</v>
      </c>
      <c r="B104" s="3798" t="s">
        <v>3299</v>
      </c>
      <c r="C104" s="3390" t="s">
        <v>3300</v>
      </c>
      <c r="D104" s="3391"/>
      <c r="E104" s="3391"/>
      <c r="F104" s="3391"/>
      <c r="G104" s="3391"/>
      <c r="H104" s="3391"/>
      <c r="I104" s="3391"/>
      <c r="J104" s="3392"/>
      <c r="K104" s="3393"/>
      <c r="L104" s="3393"/>
      <c r="M104" s="3393"/>
      <c r="N104" s="3393"/>
    </row>
    <row r="105" spans="1:14">
      <c r="A105" s="3798"/>
      <c r="B105" s="3798"/>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84"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5"/>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86"/>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87" t="s">
        <v>3314</v>
      </c>
      <c r="B113" s="3787"/>
      <c r="C113" s="3787"/>
      <c r="D113" s="3787"/>
      <c r="E113" s="3787"/>
      <c r="F113" s="3787"/>
      <c r="G113" s="3787"/>
      <c r="H113" s="3787"/>
      <c r="I113" s="3787"/>
      <c r="J113" s="378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1</v>
      </c>
      <c r="C116" s="3399" t="s">
        <v>3316</v>
      </c>
      <c r="D116" s="3400">
        <f>SUMPRODUCT((A118:A122=F116)*(B117:M117=H116)*B118:M122)</f>
        <v>0.8306</v>
      </c>
      <c r="E116" s="1999" t="s">
        <v>3317</v>
      </c>
      <c r="F116" s="3401" t="str">
        <f>E2</f>
        <v>商业</v>
      </c>
      <c r="G116" s="1999" t="s">
        <v>3318</v>
      </c>
      <c r="H116" s="3401" t="str">
        <f>G2</f>
        <v>八级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3332</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3333</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8"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10" t="s">
        <v>2611</v>
      </c>
      <c r="B20" s="3803" t="s">
        <v>2632</v>
      </c>
      <c r="C20" s="3102" t="s">
        <v>2443</v>
      </c>
      <c r="D20" s="3103"/>
      <c r="E20" s="3104">
        <v>1</v>
      </c>
      <c r="F20" s="3105" t="s">
        <v>2444</v>
      </c>
      <c r="G20" s="3105"/>
    </row>
    <row r="21" spans="1:13" ht="19.5" customHeight="1">
      <c r="A21" s="3811"/>
      <c r="B21" s="3804"/>
      <c r="C21" s="3106" t="s">
        <v>2445</v>
      </c>
      <c r="D21" s="3107"/>
      <c r="E21" s="3108">
        <v>1</v>
      </c>
      <c r="F21" s="3105" t="s">
        <v>2446</v>
      </c>
      <c r="G21" s="3105"/>
    </row>
    <row r="22" spans="1:13" ht="19.5" customHeight="1">
      <c r="A22" s="3811"/>
      <c r="B22" s="3804"/>
      <c r="C22" s="3106" t="s">
        <v>2447</v>
      </c>
      <c r="D22" s="3107"/>
      <c r="E22" s="3108">
        <v>0.9</v>
      </c>
      <c r="F22" s="3105" t="s">
        <v>2448</v>
      </c>
      <c r="G22" s="3105"/>
    </row>
    <row r="23" spans="1:13" ht="19.5" customHeight="1">
      <c r="A23" s="3811"/>
      <c r="B23" s="3804"/>
      <c r="C23" s="3106" t="s">
        <v>2449</v>
      </c>
      <c r="D23" s="3107"/>
      <c r="E23" s="3108">
        <v>0.9</v>
      </c>
      <c r="F23" s="3105" t="s">
        <v>2450</v>
      </c>
      <c r="G23" s="3105"/>
    </row>
    <row r="24" spans="1:13" ht="19.5" customHeight="1">
      <c r="A24" s="3811"/>
      <c r="B24" s="3804"/>
      <c r="C24" s="3106" t="s">
        <v>2451</v>
      </c>
      <c r="D24" s="3107"/>
      <c r="E24" s="3108">
        <v>0.8</v>
      </c>
      <c r="F24" s="3105" t="s">
        <v>2452</v>
      </c>
      <c r="G24" s="3105"/>
    </row>
    <row r="25" spans="1:13" ht="19.5" customHeight="1" thickBot="1">
      <c r="A25" s="3812"/>
      <c r="B25" s="3805"/>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06" t="s">
        <v>2635</v>
      </c>
      <c r="B27" s="3803" t="s">
        <v>2616</v>
      </c>
      <c r="C27" s="3102" t="s">
        <v>2456</v>
      </c>
      <c r="D27" s="3103"/>
      <c r="E27" s="3104">
        <v>1</v>
      </c>
      <c r="F27" s="3105" t="s">
        <v>2457</v>
      </c>
      <c r="G27" s="3105"/>
    </row>
    <row r="28" spans="1:13" ht="19.5" customHeight="1">
      <c r="A28" s="3807"/>
      <c r="B28" s="3804"/>
      <c r="C28" s="3106" t="s">
        <v>2458</v>
      </c>
      <c r="D28" s="3107"/>
      <c r="E28" s="3108">
        <v>1</v>
      </c>
      <c r="F28" s="3105" t="s">
        <v>2459</v>
      </c>
      <c r="G28" s="3105"/>
    </row>
    <row r="29" spans="1:13" ht="19.5" customHeight="1">
      <c r="A29" s="3807"/>
      <c r="B29" s="3804"/>
      <c r="C29" s="3106" t="s">
        <v>2460</v>
      </c>
      <c r="D29" s="3107"/>
      <c r="E29" s="3108">
        <v>0.8</v>
      </c>
      <c r="F29" s="3105" t="s">
        <v>2461</v>
      </c>
      <c r="G29" s="3105"/>
    </row>
    <row r="30" spans="1:13" ht="19.5" customHeight="1">
      <c r="A30" s="3807"/>
      <c r="B30" s="3804"/>
      <c r="C30" s="3106" t="s">
        <v>2462</v>
      </c>
      <c r="D30" s="3107"/>
      <c r="E30" s="3108">
        <v>0.8</v>
      </c>
      <c r="F30" s="3105" t="s">
        <v>2463</v>
      </c>
      <c r="G30" s="3105"/>
    </row>
    <row r="31" spans="1:13" ht="19.5" customHeight="1">
      <c r="A31" s="3807"/>
      <c r="B31" s="3804"/>
      <c r="C31" s="3106" t="s">
        <v>2464</v>
      </c>
      <c r="D31" s="3107"/>
      <c r="E31" s="3108">
        <v>0.8</v>
      </c>
      <c r="F31" s="3105" t="s">
        <v>2465</v>
      </c>
      <c r="G31" s="3105"/>
    </row>
    <row r="32" spans="1:13" ht="19.5" customHeight="1">
      <c r="A32" s="3807"/>
      <c r="B32" s="3804"/>
      <c r="C32" s="3106" t="s">
        <v>2466</v>
      </c>
      <c r="D32" s="3107"/>
      <c r="E32" s="3108">
        <v>0.7</v>
      </c>
      <c r="F32" s="3105" t="s">
        <v>2467</v>
      </c>
      <c r="G32" s="3105"/>
    </row>
    <row r="33" spans="1:7" ht="19.5" customHeight="1">
      <c r="A33" s="3807"/>
      <c r="B33" s="3804"/>
      <c r="C33" s="3106" t="s">
        <v>2468</v>
      </c>
      <c r="D33" s="3107"/>
      <c r="E33" s="3108">
        <v>0.8</v>
      </c>
      <c r="F33" s="3105" t="s">
        <v>2469</v>
      </c>
      <c r="G33" s="3105"/>
    </row>
    <row r="34" spans="1:7" ht="19.5" customHeight="1">
      <c r="A34" s="3807"/>
      <c r="B34" s="3804"/>
      <c r="C34" s="3106" t="s">
        <v>2470</v>
      </c>
      <c r="D34" s="3107"/>
      <c r="E34" s="3108">
        <v>0.6</v>
      </c>
      <c r="F34" s="3105" t="s">
        <v>2471</v>
      </c>
      <c r="G34" s="3105"/>
    </row>
    <row r="35" spans="1:7" ht="19.5" customHeight="1">
      <c r="A35" s="3807"/>
      <c r="B35" s="3804"/>
      <c r="C35" s="3106" t="s">
        <v>2472</v>
      </c>
      <c r="D35" s="3107"/>
      <c r="E35" s="3108">
        <v>0.2</v>
      </c>
      <c r="F35" s="3105" t="s">
        <v>2473</v>
      </c>
      <c r="G35" s="3105"/>
    </row>
    <row r="36" spans="1:7" ht="19.5" customHeight="1">
      <c r="A36" s="3807"/>
      <c r="B36" s="3804"/>
      <c r="C36" s="3106" t="s">
        <v>2474</v>
      </c>
      <c r="D36" s="3107"/>
      <c r="E36" s="3108">
        <v>0.2</v>
      </c>
      <c r="F36" s="3105" t="s">
        <v>2475</v>
      </c>
      <c r="G36" s="3105"/>
    </row>
    <row r="37" spans="1:7" ht="19.5" customHeight="1">
      <c r="A37" s="3807"/>
      <c r="B37" s="3809" t="s">
        <v>2636</v>
      </c>
      <c r="C37" s="3106" t="s">
        <v>2476</v>
      </c>
      <c r="D37" s="3107"/>
      <c r="E37" s="3108">
        <v>0.6</v>
      </c>
      <c r="F37" s="3105" t="s">
        <v>2477</v>
      </c>
      <c r="G37" s="3105"/>
    </row>
    <row r="38" spans="1:7" ht="19.5" customHeight="1">
      <c r="A38" s="3807"/>
      <c r="B38" s="3804"/>
      <c r="C38" s="3106" t="s">
        <v>2478</v>
      </c>
      <c r="D38" s="3107"/>
      <c r="E38" s="3108">
        <v>0.6</v>
      </c>
      <c r="F38" s="3105" t="s">
        <v>2479</v>
      </c>
      <c r="G38" s="3105"/>
    </row>
    <row r="39" spans="1:7" ht="19.5" customHeight="1" thickBot="1">
      <c r="A39" s="3808"/>
      <c r="B39" s="3805"/>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10" t="s">
        <v>2614</v>
      </c>
      <c r="B41" s="3803" t="s">
        <v>2638</v>
      </c>
      <c r="C41" s="3102" t="s">
        <v>2483</v>
      </c>
      <c r="D41" s="3103"/>
      <c r="E41" s="3104">
        <v>1</v>
      </c>
      <c r="F41" s="3105" t="s">
        <v>2484</v>
      </c>
      <c r="G41" s="3105"/>
    </row>
    <row r="42" spans="1:7" ht="19.5" customHeight="1">
      <c r="A42" s="3811"/>
      <c r="B42" s="3804"/>
      <c r="C42" s="3106" t="s">
        <v>2485</v>
      </c>
      <c r="D42" s="3107"/>
      <c r="E42" s="3108">
        <v>1</v>
      </c>
      <c r="F42" s="3105" t="s">
        <v>2486</v>
      </c>
      <c r="G42" s="3105"/>
    </row>
    <row r="43" spans="1:7" ht="19.5" customHeight="1">
      <c r="A43" s="3811"/>
      <c r="B43" s="3813"/>
      <c r="C43" s="3106" t="s">
        <v>2487</v>
      </c>
      <c r="D43" s="3107"/>
      <c r="E43" s="3108">
        <v>1.5</v>
      </c>
      <c r="F43" s="3105" t="s">
        <v>2488</v>
      </c>
      <c r="G43" s="3105"/>
    </row>
    <row r="44" spans="1:7" ht="19.5" customHeight="1">
      <c r="A44" s="3811"/>
      <c r="B44" s="3117" t="s">
        <v>2639</v>
      </c>
      <c r="C44" s="3106" t="s">
        <v>2640</v>
      </c>
      <c r="D44" s="3107"/>
      <c r="E44" s="3108">
        <v>2</v>
      </c>
      <c r="F44" s="3105" t="s">
        <v>2489</v>
      </c>
      <c r="G44" s="3105"/>
    </row>
    <row r="45" spans="1:7" ht="19.5" customHeight="1">
      <c r="A45" s="3811"/>
      <c r="B45" s="3809" t="s">
        <v>2641</v>
      </c>
      <c r="C45" s="3106" t="s">
        <v>2490</v>
      </c>
      <c r="D45" s="3107"/>
      <c r="E45" s="3108">
        <v>1</v>
      </c>
      <c r="F45" s="3105" t="s">
        <v>2491</v>
      </c>
      <c r="G45" s="3105"/>
    </row>
    <row r="46" spans="1:7" ht="19.5" customHeight="1">
      <c r="A46" s="3811"/>
      <c r="B46" s="3804"/>
      <c r="C46" s="3106" t="s">
        <v>2492</v>
      </c>
      <c r="D46" s="3107"/>
      <c r="E46" s="3108">
        <v>1</v>
      </c>
      <c r="F46" s="3105" t="s">
        <v>2493</v>
      </c>
      <c r="G46" s="3105"/>
    </row>
    <row r="47" spans="1:7" ht="19.5" customHeight="1">
      <c r="A47" s="3811"/>
      <c r="B47" s="3804"/>
      <c r="C47" s="3106" t="s">
        <v>2494</v>
      </c>
      <c r="D47" s="3107"/>
      <c r="E47" s="3108">
        <v>1</v>
      </c>
      <c r="F47" s="3105" t="s">
        <v>2495</v>
      </c>
      <c r="G47" s="3105"/>
    </row>
    <row r="48" spans="1:7" ht="19.5" customHeight="1">
      <c r="A48" s="3811"/>
      <c r="B48" s="3804"/>
      <c r="C48" s="3106" t="s">
        <v>2496</v>
      </c>
      <c r="D48" s="3107"/>
      <c r="E48" s="3108">
        <v>1</v>
      </c>
      <c r="F48" s="3105" t="s">
        <v>2497</v>
      </c>
      <c r="G48" s="3105"/>
    </row>
    <row r="49" spans="1:7" ht="19.5" customHeight="1">
      <c r="A49" s="3811"/>
      <c r="B49" s="3804"/>
      <c r="C49" s="3106" t="s">
        <v>2498</v>
      </c>
      <c r="D49" s="3107"/>
      <c r="E49" s="3108">
        <v>1</v>
      </c>
      <c r="F49" s="3105" t="s">
        <v>2499</v>
      </c>
      <c r="G49" s="3105"/>
    </row>
    <row r="50" spans="1:7" ht="19.5" customHeight="1">
      <c r="A50" s="3811"/>
      <c r="B50" s="3804"/>
      <c r="C50" s="3106" t="s">
        <v>2500</v>
      </c>
      <c r="D50" s="3107"/>
      <c r="E50" s="3108">
        <v>1</v>
      </c>
      <c r="F50" s="3105" t="s">
        <v>2501</v>
      </c>
      <c r="G50" s="3105"/>
    </row>
    <row r="51" spans="1:7" ht="19.5" customHeight="1" thickBot="1">
      <c r="A51" s="3812"/>
      <c r="B51" s="3805"/>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4.4">
      <c r="A72" s="3117"/>
      <c r="B72" s="3117"/>
      <c r="C72" s="3117" t="s">
        <v>2654</v>
      </c>
      <c r="D72" s="3117"/>
      <c r="E72" s="3117" t="s">
        <v>2625</v>
      </c>
      <c r="F72" s="3117" t="s">
        <v>2625</v>
      </c>
    </row>
    <row r="73" spans="1:7" ht="14.4">
      <c r="A73" s="3117">
        <v>1</v>
      </c>
      <c r="B73" s="3809" t="s">
        <v>2655</v>
      </c>
      <c r="C73" s="3091" t="s">
        <v>2656</v>
      </c>
      <c r="D73" s="3091" t="s">
        <v>2657</v>
      </c>
      <c r="E73" s="3117">
        <v>0.2</v>
      </c>
      <c r="F73" s="3117">
        <v>25</v>
      </c>
    </row>
    <row r="74" spans="1:7" ht="24">
      <c r="A74" s="3117">
        <v>2</v>
      </c>
      <c r="B74" s="3804"/>
      <c r="C74" s="3091" t="s">
        <v>2658</v>
      </c>
      <c r="D74" s="3091" t="s">
        <v>2659</v>
      </c>
      <c r="E74" s="3117">
        <v>0.2</v>
      </c>
      <c r="F74" s="3117">
        <v>25</v>
      </c>
    </row>
    <row r="75" spans="1:7" ht="24">
      <c r="A75" s="3117">
        <v>3</v>
      </c>
      <c r="B75" s="3804"/>
      <c r="C75" s="3091" t="s">
        <v>2660</v>
      </c>
      <c r="D75" s="3091" t="s">
        <v>2661</v>
      </c>
      <c r="E75" s="3117">
        <v>0.2</v>
      </c>
      <c r="F75" s="3117">
        <v>25</v>
      </c>
    </row>
    <row r="76" spans="1:7" ht="14.4">
      <c r="A76" s="3117">
        <v>4</v>
      </c>
      <c r="B76" s="3804"/>
      <c r="C76" s="3091" t="s">
        <v>2662</v>
      </c>
      <c r="D76" s="3091" t="s">
        <v>2663</v>
      </c>
      <c r="E76" s="3117">
        <v>0.15</v>
      </c>
      <c r="F76" s="3117">
        <v>20</v>
      </c>
    </row>
    <row r="77" spans="1:7" ht="24">
      <c r="A77" s="3117">
        <v>5</v>
      </c>
      <c r="B77" s="3804"/>
      <c r="C77" s="3091" t="s">
        <v>2664</v>
      </c>
      <c r="D77" s="3091" t="s">
        <v>2665</v>
      </c>
      <c r="E77" s="3117">
        <v>0.15</v>
      </c>
      <c r="F77" s="3117">
        <v>20</v>
      </c>
    </row>
    <row r="78" spans="1:7" ht="24">
      <c r="A78" s="3117">
        <v>6</v>
      </c>
      <c r="B78" s="3804"/>
      <c r="C78" s="3091" t="s">
        <v>2666</v>
      </c>
      <c r="D78" s="3091" t="s">
        <v>2667</v>
      </c>
      <c r="E78" s="3117">
        <v>0.15</v>
      </c>
      <c r="F78" s="3117">
        <v>20</v>
      </c>
    </row>
    <row r="79" spans="1:7" ht="24">
      <c r="A79" s="3117">
        <v>7</v>
      </c>
      <c r="B79" s="3804"/>
      <c r="C79" s="3091" t="s">
        <v>2668</v>
      </c>
      <c r="D79" s="3091" t="s">
        <v>2669</v>
      </c>
      <c r="E79" s="3117">
        <v>0.15</v>
      </c>
      <c r="F79" s="3117">
        <v>20</v>
      </c>
    </row>
    <row r="80" spans="1:7" ht="24">
      <c r="A80" s="3117">
        <v>8</v>
      </c>
      <c r="B80" s="3804"/>
      <c r="C80" s="3091" t="s">
        <v>2670</v>
      </c>
      <c r="D80" s="3091" t="s">
        <v>2671</v>
      </c>
      <c r="E80" s="3117">
        <v>0.1</v>
      </c>
      <c r="F80" s="3117">
        <v>15</v>
      </c>
    </row>
    <row r="81" spans="1:6" ht="24">
      <c r="A81" s="3117">
        <v>9</v>
      </c>
      <c r="B81" s="3804"/>
      <c r="C81" s="3091" t="s">
        <v>2672</v>
      </c>
      <c r="D81" s="3091" t="s">
        <v>2673</v>
      </c>
      <c r="E81" s="3117">
        <v>0.1</v>
      </c>
      <c r="F81" s="3117">
        <v>15</v>
      </c>
    </row>
    <row r="82" spans="1:6" ht="24">
      <c r="A82" s="3117">
        <v>10</v>
      </c>
      <c r="B82" s="3804"/>
      <c r="C82" s="3091" t="s">
        <v>2674</v>
      </c>
      <c r="D82" s="3091" t="s">
        <v>2675</v>
      </c>
      <c r="E82" s="3117">
        <v>0.1</v>
      </c>
      <c r="F82" s="3117">
        <v>15</v>
      </c>
    </row>
    <row r="83" spans="1:6" ht="24">
      <c r="A83" s="3117">
        <v>11</v>
      </c>
      <c r="B83" s="3804"/>
      <c r="C83" s="3091" t="s">
        <v>2676</v>
      </c>
      <c r="D83" s="3091" t="s">
        <v>2677</v>
      </c>
      <c r="E83" s="3117">
        <v>0.1</v>
      </c>
      <c r="F83" s="3117">
        <v>15</v>
      </c>
    </row>
    <row r="84" spans="1:6" ht="24">
      <c r="A84" s="3117">
        <v>12</v>
      </c>
      <c r="B84" s="3804"/>
      <c r="C84" s="3091" t="s">
        <v>2678</v>
      </c>
      <c r="D84" s="3091" t="s">
        <v>2679</v>
      </c>
      <c r="E84" s="3117">
        <v>0.1</v>
      </c>
      <c r="F84" s="3117">
        <v>15</v>
      </c>
    </row>
    <row r="85" spans="1:6" ht="24">
      <c r="A85" s="3117">
        <v>13</v>
      </c>
      <c r="B85" s="3804"/>
      <c r="C85" s="3091" t="s">
        <v>2680</v>
      </c>
      <c r="D85" s="3091" t="s">
        <v>2681</v>
      </c>
      <c r="E85" s="3117">
        <v>0.1</v>
      </c>
      <c r="F85" s="3117">
        <v>15</v>
      </c>
    </row>
    <row r="86" spans="1:6" ht="24">
      <c r="A86" s="3117">
        <v>14</v>
      </c>
      <c r="B86" s="3804"/>
      <c r="C86" s="3091" t="s">
        <v>2682</v>
      </c>
      <c r="D86" s="3091" t="s">
        <v>2683</v>
      </c>
      <c r="E86" s="3117">
        <v>0.1</v>
      </c>
      <c r="F86" s="3117">
        <v>15</v>
      </c>
    </row>
    <row r="87" spans="1:6" ht="24">
      <c r="A87" s="3117">
        <v>15</v>
      </c>
      <c r="B87" s="3804"/>
      <c r="C87" s="3091" t="s">
        <v>2684</v>
      </c>
      <c r="D87" s="3091" t="s">
        <v>2685</v>
      </c>
      <c r="E87" s="3117">
        <v>0.1</v>
      </c>
      <c r="F87" s="3117">
        <v>15</v>
      </c>
    </row>
    <row r="88" spans="1:6" ht="24">
      <c r="A88" s="3117">
        <v>16</v>
      </c>
      <c r="B88" s="3804"/>
      <c r="C88" s="3091" t="s">
        <v>2686</v>
      </c>
      <c r="D88" s="3091" t="s">
        <v>2687</v>
      </c>
      <c r="E88" s="3117">
        <v>0.1</v>
      </c>
      <c r="F88" s="3117">
        <v>15</v>
      </c>
    </row>
    <row r="89" spans="1:6" ht="24">
      <c r="A89" s="3117">
        <v>17</v>
      </c>
      <c r="B89" s="3813"/>
      <c r="C89" s="3091" t="s">
        <v>2688</v>
      </c>
      <c r="D89" s="3091" t="s">
        <v>2689</v>
      </c>
      <c r="E89" s="3117">
        <v>0.1</v>
      </c>
      <c r="F89" s="3117">
        <v>15</v>
      </c>
    </row>
    <row r="90" spans="1:6" ht="14.4">
      <c r="A90" s="3117">
        <v>18</v>
      </c>
      <c r="B90" s="3809" t="s">
        <v>2690</v>
      </c>
      <c r="C90" s="3091" t="s">
        <v>2691</v>
      </c>
      <c r="D90" s="3091" t="s">
        <v>2692</v>
      </c>
      <c r="E90" s="3117">
        <v>0.2</v>
      </c>
      <c r="F90" s="3117">
        <v>25</v>
      </c>
    </row>
    <row r="91" spans="1:6" ht="24">
      <c r="A91" s="3117">
        <v>19</v>
      </c>
      <c r="B91" s="3804"/>
      <c r="C91" s="3091" t="s">
        <v>2693</v>
      </c>
      <c r="D91" s="3091" t="s">
        <v>2694</v>
      </c>
      <c r="E91" s="3117">
        <v>0.2</v>
      </c>
      <c r="F91" s="3117">
        <v>25</v>
      </c>
    </row>
    <row r="92" spans="1:6" ht="14.4">
      <c r="A92" s="3117">
        <v>20</v>
      </c>
      <c r="B92" s="3804"/>
      <c r="C92" s="3091" t="s">
        <v>2695</v>
      </c>
      <c r="D92" s="3091" t="s">
        <v>2696</v>
      </c>
      <c r="E92" s="3117">
        <v>0.15</v>
      </c>
      <c r="F92" s="3117">
        <v>20</v>
      </c>
    </row>
    <row r="93" spans="1:6" ht="24">
      <c r="A93" s="3117">
        <v>21</v>
      </c>
      <c r="B93" s="3804"/>
      <c r="C93" s="3091" t="s">
        <v>2697</v>
      </c>
      <c r="D93" s="3091" t="s">
        <v>2698</v>
      </c>
      <c r="E93" s="3117">
        <v>0.15</v>
      </c>
      <c r="F93" s="3117">
        <v>20</v>
      </c>
    </row>
    <row r="94" spans="1:6" ht="24">
      <c r="A94" s="3117">
        <v>22</v>
      </c>
      <c r="B94" s="3804"/>
      <c r="C94" s="3091" t="s">
        <v>2699</v>
      </c>
      <c r="D94" s="3091" t="s">
        <v>2700</v>
      </c>
      <c r="E94" s="3117">
        <v>0.15</v>
      </c>
      <c r="F94" s="3117">
        <v>20</v>
      </c>
    </row>
    <row r="95" spans="1:6" ht="36">
      <c r="A95" s="3117">
        <v>23</v>
      </c>
      <c r="B95" s="3804"/>
      <c r="C95" s="3091" t="s">
        <v>2701</v>
      </c>
      <c r="D95" s="3091" t="s">
        <v>2702</v>
      </c>
      <c r="E95" s="3117">
        <v>0.15</v>
      </c>
      <c r="F95" s="3117">
        <v>20</v>
      </c>
    </row>
    <row r="96" spans="1:6" ht="24">
      <c r="A96" s="3117">
        <v>24</v>
      </c>
      <c r="B96" s="3804"/>
      <c r="C96" s="3091" t="s">
        <v>2703</v>
      </c>
      <c r="D96" s="3091" t="s">
        <v>2704</v>
      </c>
      <c r="E96" s="3117">
        <v>0.1</v>
      </c>
      <c r="F96" s="3117">
        <v>15</v>
      </c>
    </row>
    <row r="97" spans="1:6" ht="24">
      <c r="A97" s="3117">
        <v>25</v>
      </c>
      <c r="B97" s="3804"/>
      <c r="C97" s="3091" t="s">
        <v>2705</v>
      </c>
      <c r="D97" s="3091" t="s">
        <v>2706</v>
      </c>
      <c r="E97" s="3117">
        <v>0.1</v>
      </c>
      <c r="F97" s="3117">
        <v>15</v>
      </c>
    </row>
    <row r="98" spans="1:6" ht="24">
      <c r="A98" s="3117">
        <v>26</v>
      </c>
      <c r="B98" s="3804"/>
      <c r="C98" s="3091" t="s">
        <v>2707</v>
      </c>
      <c r="D98" s="3091" t="s">
        <v>2708</v>
      </c>
      <c r="E98" s="3117">
        <v>0.1</v>
      </c>
      <c r="F98" s="3117">
        <v>15</v>
      </c>
    </row>
    <row r="99" spans="1:6" ht="24">
      <c r="A99" s="3117">
        <v>27</v>
      </c>
      <c r="B99" s="3804"/>
      <c r="C99" s="3091" t="s">
        <v>2709</v>
      </c>
      <c r="D99" s="3091" t="s">
        <v>2710</v>
      </c>
      <c r="E99" s="3117">
        <v>0.1</v>
      </c>
      <c r="F99" s="3117">
        <v>15</v>
      </c>
    </row>
    <row r="100" spans="1:6" ht="24">
      <c r="A100" s="3117">
        <v>28</v>
      </c>
      <c r="B100" s="3804"/>
      <c r="C100" s="3091" t="s">
        <v>2711</v>
      </c>
      <c r="D100" s="3091" t="s">
        <v>2712</v>
      </c>
      <c r="E100" s="3117">
        <v>0.1</v>
      </c>
      <c r="F100" s="3117">
        <v>15</v>
      </c>
    </row>
    <row r="101" spans="1:6" ht="24">
      <c r="A101" s="3117">
        <v>29</v>
      </c>
      <c r="B101" s="3804"/>
      <c r="C101" s="3091" t="s">
        <v>2713</v>
      </c>
      <c r="D101" s="3091" t="s">
        <v>2714</v>
      </c>
      <c r="E101" s="3117">
        <v>0.1</v>
      </c>
      <c r="F101" s="3117">
        <v>15</v>
      </c>
    </row>
    <row r="102" spans="1:6" ht="24">
      <c r="A102" s="3117">
        <v>30</v>
      </c>
      <c r="B102" s="3804"/>
      <c r="C102" s="3091" t="s">
        <v>2715</v>
      </c>
      <c r="D102" s="3091" t="s">
        <v>2716</v>
      </c>
      <c r="E102" s="3117">
        <v>0.1</v>
      </c>
      <c r="F102" s="3117">
        <v>15</v>
      </c>
    </row>
    <row r="103" spans="1:6" ht="24">
      <c r="A103" s="3117">
        <v>31</v>
      </c>
      <c r="B103" s="3804"/>
      <c r="C103" s="3091" t="s">
        <v>2717</v>
      </c>
      <c r="D103" s="3091" t="s">
        <v>2718</v>
      </c>
      <c r="E103" s="3117">
        <v>0.1</v>
      </c>
      <c r="F103" s="3117">
        <v>15</v>
      </c>
    </row>
    <row r="104" spans="1:6" ht="24">
      <c r="A104" s="3117">
        <v>32</v>
      </c>
      <c r="B104" s="3804"/>
      <c r="C104" s="3091" t="s">
        <v>2719</v>
      </c>
      <c r="D104" s="3091" t="s">
        <v>2720</v>
      </c>
      <c r="E104" s="3117">
        <v>0.1</v>
      </c>
      <c r="F104" s="3117">
        <v>15</v>
      </c>
    </row>
    <row r="105" spans="1:6" ht="24">
      <c r="A105" s="3117">
        <v>33</v>
      </c>
      <c r="B105" s="3804"/>
      <c r="C105" s="3091" t="s">
        <v>2721</v>
      </c>
      <c r="D105" s="3091" t="s">
        <v>2722</v>
      </c>
      <c r="E105" s="3117">
        <v>0.1</v>
      </c>
      <c r="F105" s="3117">
        <v>15</v>
      </c>
    </row>
    <row r="106" spans="1:6" ht="24">
      <c r="A106" s="3117">
        <v>34</v>
      </c>
      <c r="B106" s="3813"/>
      <c r="C106" s="3091" t="s">
        <v>2723</v>
      </c>
      <c r="D106" s="3091" t="s">
        <v>2724</v>
      </c>
      <c r="E106" s="3117">
        <v>0.1</v>
      </c>
      <c r="F106" s="3117">
        <v>15</v>
      </c>
    </row>
    <row r="107" spans="1:6" ht="36">
      <c r="A107" s="3117">
        <v>35</v>
      </c>
      <c r="B107" s="3809" t="s">
        <v>2725</v>
      </c>
      <c r="C107" s="3117" t="s">
        <v>2726</v>
      </c>
      <c r="D107" s="3091" t="s">
        <v>2727</v>
      </c>
      <c r="E107" s="3117">
        <v>0.15</v>
      </c>
      <c r="F107" s="3117">
        <v>20</v>
      </c>
    </row>
    <row r="108" spans="1:6" ht="24">
      <c r="A108" s="3117">
        <v>36</v>
      </c>
      <c r="B108" s="3804"/>
      <c r="C108" s="3117" t="s">
        <v>2728</v>
      </c>
      <c r="D108" s="3091" t="s">
        <v>2729</v>
      </c>
      <c r="E108" s="3117">
        <v>0.15</v>
      </c>
      <c r="F108" s="3117">
        <v>20</v>
      </c>
    </row>
    <row r="109" spans="1:6" ht="24">
      <c r="A109" s="3117">
        <v>37</v>
      </c>
      <c r="B109" s="3804"/>
      <c r="C109" s="3117" t="s">
        <v>2730</v>
      </c>
      <c r="D109" s="3091" t="s">
        <v>2731</v>
      </c>
      <c r="E109" s="3117">
        <v>0.15</v>
      </c>
      <c r="F109" s="3117">
        <v>20</v>
      </c>
    </row>
    <row r="110" spans="1:6" ht="24">
      <c r="A110" s="3117">
        <v>38</v>
      </c>
      <c r="B110" s="3804"/>
      <c r="C110" s="3117" t="s">
        <v>2732</v>
      </c>
      <c r="D110" s="3091" t="s">
        <v>2733</v>
      </c>
      <c r="E110" s="3117">
        <v>0.1</v>
      </c>
      <c r="F110" s="3117">
        <v>15</v>
      </c>
    </row>
    <row r="111" spans="1:6" ht="24">
      <c r="A111" s="3117">
        <v>39</v>
      </c>
      <c r="B111" s="3804"/>
      <c r="C111" s="3117" t="s">
        <v>2734</v>
      </c>
      <c r="D111" s="3091" t="s">
        <v>2735</v>
      </c>
      <c r="E111" s="3117">
        <v>0.1</v>
      </c>
      <c r="F111" s="3117">
        <v>15</v>
      </c>
    </row>
    <row r="112" spans="1:6" ht="24">
      <c r="A112" s="3117">
        <v>40</v>
      </c>
      <c r="B112" s="3813"/>
      <c r="C112" s="3117" t="s">
        <v>2736</v>
      </c>
      <c r="D112" s="3091" t="s">
        <v>2737</v>
      </c>
      <c r="E112" s="3117">
        <v>0.1</v>
      </c>
      <c r="F112" s="3117">
        <v>15</v>
      </c>
    </row>
    <row r="113" spans="1:6" ht="24">
      <c r="A113" s="3117">
        <v>41</v>
      </c>
      <c r="B113" s="3814" t="s">
        <v>2738</v>
      </c>
      <c r="C113" s="3117" t="s">
        <v>2739</v>
      </c>
      <c r="D113" s="3091" t="s">
        <v>2740</v>
      </c>
      <c r="E113" s="3117">
        <v>0.1</v>
      </c>
      <c r="F113" s="3117">
        <v>15</v>
      </c>
    </row>
    <row r="114" spans="1:6" ht="24">
      <c r="A114" s="3117">
        <v>42</v>
      </c>
      <c r="B114" s="3814"/>
      <c r="C114" s="3117" t="s">
        <v>2741</v>
      </c>
      <c r="D114" s="3091" t="s">
        <v>2742</v>
      </c>
      <c r="E114" s="3117">
        <v>0.1</v>
      </c>
      <c r="F114" s="3117">
        <v>15</v>
      </c>
    </row>
    <row r="115" spans="1:6" ht="24">
      <c r="A115" s="3117">
        <v>43</v>
      </c>
      <c r="B115" s="3814"/>
      <c r="C115" s="3117" t="s">
        <v>2743</v>
      </c>
      <c r="D115" s="3091" t="s">
        <v>2744</v>
      </c>
      <c r="E115" s="3117">
        <v>0.1</v>
      </c>
      <c r="F115" s="3117">
        <v>15</v>
      </c>
    </row>
    <row r="116" spans="1:6" ht="24">
      <c r="A116" s="3117">
        <v>44</v>
      </c>
      <c r="B116" s="3809" t="s">
        <v>2745</v>
      </c>
      <c r="C116" s="3117" t="s">
        <v>2746</v>
      </c>
      <c r="D116" s="3091" t="s">
        <v>2747</v>
      </c>
      <c r="E116" s="3117">
        <v>0.1</v>
      </c>
      <c r="F116" s="3117">
        <v>15</v>
      </c>
    </row>
    <row r="117" spans="1:6" ht="24">
      <c r="A117" s="3117">
        <v>45</v>
      </c>
      <c r="B117" s="3813"/>
      <c r="C117" s="3091" t="s">
        <v>2748</v>
      </c>
      <c r="D117" s="3091" t="s">
        <v>2749</v>
      </c>
      <c r="E117" s="3117">
        <v>0.1</v>
      </c>
      <c r="F117" s="3117">
        <v>15</v>
      </c>
    </row>
    <row r="118" spans="1:6" ht="24">
      <c r="A118" s="3117">
        <v>46</v>
      </c>
      <c r="B118" s="3809" t="s">
        <v>2750</v>
      </c>
      <c r="C118" s="3117" t="s">
        <v>2751</v>
      </c>
      <c r="D118" s="3091" t="s">
        <v>2752</v>
      </c>
      <c r="E118" s="3117">
        <v>0.1</v>
      </c>
      <c r="F118" s="3117">
        <v>15</v>
      </c>
    </row>
    <row r="119" spans="1:6" ht="24">
      <c r="A119" s="3117">
        <v>47</v>
      </c>
      <c r="B119" s="3813"/>
      <c r="C119" s="3117" t="s">
        <v>2753</v>
      </c>
      <c r="D119" s="3091" t="s">
        <v>2754</v>
      </c>
      <c r="E119" s="3117">
        <v>0.1</v>
      </c>
      <c r="F119" s="3117">
        <v>15</v>
      </c>
    </row>
    <row r="120" spans="1:6" ht="24">
      <c r="A120" s="3117">
        <v>48</v>
      </c>
      <c r="B120" s="3809" t="s">
        <v>2755</v>
      </c>
      <c r="C120" s="3117" t="s">
        <v>2756</v>
      </c>
      <c r="D120" s="3091" t="s">
        <v>2757</v>
      </c>
      <c r="E120" s="3117">
        <v>0.1</v>
      </c>
      <c r="F120" s="3117">
        <v>15</v>
      </c>
    </row>
    <row r="121" spans="1:6" ht="24">
      <c r="A121" s="3117">
        <v>49</v>
      </c>
      <c r="B121" s="3813"/>
      <c r="C121" s="3117" t="s">
        <v>2758</v>
      </c>
      <c r="D121" s="3091" t="s">
        <v>2759</v>
      </c>
      <c r="E121" s="3117">
        <v>0.1</v>
      </c>
      <c r="F121" s="3117">
        <v>15</v>
      </c>
    </row>
    <row r="122" spans="1:6" ht="24">
      <c r="A122" s="3117">
        <v>50</v>
      </c>
      <c r="B122" s="3814" t="s">
        <v>2760</v>
      </c>
      <c r="C122" s="3117" t="s">
        <v>2761</v>
      </c>
      <c r="D122" s="3091" t="s">
        <v>2762</v>
      </c>
      <c r="E122" s="3117">
        <v>0.1</v>
      </c>
      <c r="F122" s="3117">
        <v>15</v>
      </c>
    </row>
    <row r="123" spans="1:6" ht="24">
      <c r="A123" s="3117">
        <v>51</v>
      </c>
      <c r="B123" s="3814"/>
      <c r="C123" s="3117" t="s">
        <v>2763</v>
      </c>
      <c r="D123" s="3091" t="s">
        <v>2764</v>
      </c>
      <c r="E123" s="3117">
        <v>0.1</v>
      </c>
      <c r="F123" s="3117">
        <v>15</v>
      </c>
    </row>
    <row r="124" spans="1:6" ht="24">
      <c r="A124" s="3117">
        <v>52</v>
      </c>
      <c r="B124" s="3814" t="s">
        <v>2765</v>
      </c>
      <c r="C124" s="3117" t="s">
        <v>2766</v>
      </c>
      <c r="D124" s="3091" t="s">
        <v>2767</v>
      </c>
      <c r="E124" s="3117">
        <v>0.1</v>
      </c>
      <c r="F124" s="3117">
        <v>15</v>
      </c>
    </row>
    <row r="125" spans="1:6" ht="24">
      <c r="A125" s="3117">
        <v>53</v>
      </c>
      <c r="B125" s="3814"/>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24">
      <c r="A127" s="3117">
        <v>55</v>
      </c>
      <c r="B127" s="3814" t="s">
        <v>2773</v>
      </c>
      <c r="C127" s="3117" t="s">
        <v>2774</v>
      </c>
      <c r="D127" s="3091" t="s">
        <v>2775</v>
      </c>
      <c r="E127" s="3117">
        <v>0.1</v>
      </c>
      <c r="F127" s="3117">
        <v>15</v>
      </c>
    </row>
    <row r="128" spans="1:6" ht="24">
      <c r="A128" s="3117">
        <v>56</v>
      </c>
      <c r="B128" s="3814"/>
      <c r="C128" s="3117" t="s">
        <v>2776</v>
      </c>
      <c r="D128" s="3091" t="s">
        <v>2777</v>
      </c>
      <c r="E128" s="3117">
        <v>0.1</v>
      </c>
      <c r="F128" s="3117">
        <v>15</v>
      </c>
    </row>
    <row r="129" spans="1:6" ht="24">
      <c r="A129" s="3117">
        <v>57</v>
      </c>
      <c r="B129" s="3814"/>
      <c r="C129" s="3117" t="s">
        <v>2778</v>
      </c>
      <c r="D129" s="3091" t="s">
        <v>2779</v>
      </c>
      <c r="E129" s="3117">
        <v>0.1</v>
      </c>
      <c r="F129" s="3117">
        <v>15</v>
      </c>
    </row>
    <row r="130" spans="1:6" ht="24">
      <c r="A130" s="3117">
        <v>58</v>
      </c>
      <c r="B130" s="3814" t="s">
        <v>2780</v>
      </c>
      <c r="C130" s="3117" t="s">
        <v>2781</v>
      </c>
      <c r="D130" s="3091" t="s">
        <v>2782</v>
      </c>
      <c r="E130" s="3117">
        <v>0.1</v>
      </c>
      <c r="F130" s="3117">
        <v>15</v>
      </c>
    </row>
    <row r="131" spans="1:6" ht="24">
      <c r="A131" s="3117">
        <v>59</v>
      </c>
      <c r="B131" s="3814"/>
      <c r="C131" s="3117" t="s">
        <v>2783</v>
      </c>
      <c r="D131" s="3091" t="s">
        <v>2784</v>
      </c>
      <c r="E131" s="3117">
        <v>0.1</v>
      </c>
      <c r="F131" s="3117">
        <v>15</v>
      </c>
    </row>
    <row r="132" spans="1:6" ht="24">
      <c r="A132" s="3117">
        <v>60</v>
      </c>
      <c r="B132" s="3809" t="s">
        <v>2785</v>
      </c>
      <c r="C132" s="3117" t="s">
        <v>2786</v>
      </c>
      <c r="D132" s="3091" t="s">
        <v>2787</v>
      </c>
      <c r="E132" s="3117">
        <v>0.1</v>
      </c>
      <c r="F132" s="3117">
        <v>15</v>
      </c>
    </row>
    <row r="133" spans="1:6" ht="24">
      <c r="A133" s="3117">
        <v>61</v>
      </c>
      <c r="B133" s="381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814" t="s">
        <v>2793</v>
      </c>
      <c r="C135" s="3117" t="s">
        <v>2794</v>
      </c>
      <c r="D135" s="3091" t="s">
        <v>2795</v>
      </c>
      <c r="E135" s="3117">
        <v>0.1</v>
      </c>
      <c r="F135" s="3117">
        <v>15</v>
      </c>
    </row>
    <row r="136" spans="1:6" ht="24">
      <c r="A136" s="3117">
        <v>64</v>
      </c>
      <c r="B136" s="3814"/>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4.4">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1.2302</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1.1198999999999999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7.399999999999999">
      <c r="A3" s="3500" t="str">
        <f>IF(项目基本情况!B9="房地产市场价值","估价结果一览表（市场价值不需“结果表-1”）","估价结果一览表")</f>
        <v>估价结果一览表</v>
      </c>
      <c r="B3" s="3500"/>
      <c r="C3" s="3500"/>
      <c r="D3" s="3500"/>
      <c r="E3" s="3500"/>
    </row>
    <row r="4" spans="1:5" ht="18" thickBot="1">
      <c r="A4" s="1492"/>
      <c r="B4" s="3498" t="s">
        <v>917</v>
      </c>
      <c r="C4" s="3498"/>
      <c r="D4" s="3498"/>
      <c r="E4" s="1492"/>
    </row>
    <row r="5" spans="1:5" ht="16.2" thickTop="1">
      <c r="A5" s="1490"/>
      <c r="B5" s="3496" t="s">
        <v>909</v>
      </c>
      <c r="C5" s="1493" t="s">
        <v>910</v>
      </c>
      <c r="D5" s="850">
        <f ca="1">结果表!H101</f>
        <v>449.34160000000003</v>
      </c>
      <c r="E5" s="1490"/>
    </row>
    <row r="6" spans="1:5" ht="31.2">
      <c r="A6" s="1490"/>
      <c r="B6" s="3496"/>
      <c r="C6" s="1493" t="s">
        <v>911</v>
      </c>
      <c r="D6" s="850" t="str">
        <f ca="1">NUMBERSTRING(INT(D5*10000),2)&amp;"元整"</f>
        <v>肆佰肆拾玖万叁仟肆佰壹拾陆元整</v>
      </c>
      <c r="E6" s="1490"/>
    </row>
    <row r="7" spans="1:5" ht="15.6">
      <c r="A7" s="1490"/>
      <c r="B7" s="3501"/>
      <c r="C7" s="1494" t="s">
        <v>912</v>
      </c>
      <c r="D7" s="851">
        <f ca="1">结果表!H102</f>
        <v>21678</v>
      </c>
      <c r="E7" s="1490"/>
    </row>
    <row r="8" spans="1:5" ht="15.6">
      <c r="A8" s="1490"/>
      <c r="B8" s="3502" t="str">
        <f>结果表!E103</f>
        <v>2.估价师知悉的法定优先受偿款</v>
      </c>
      <c r="C8" s="1495" t="s">
        <v>913</v>
      </c>
      <c r="D8" s="851">
        <f>结果表!H103</f>
        <v>0</v>
      </c>
      <c r="E8" s="1490"/>
    </row>
    <row r="9" spans="1:5" ht="15.6">
      <c r="A9" s="1490"/>
      <c r="B9" s="3504"/>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95" t="str">
        <f>结果表!E107</f>
        <v>3.房地产抵押价值</v>
      </c>
      <c r="C13" s="1498" t="s">
        <v>910</v>
      </c>
      <c r="D13" s="853">
        <f ca="1">结果表!H107</f>
        <v>449.34160000000003</v>
      </c>
      <c r="E13" s="1490"/>
    </row>
    <row r="14" spans="1:5" ht="31.2">
      <c r="A14" s="1490"/>
      <c r="B14" s="3496"/>
      <c r="C14" s="1493" t="s">
        <v>911</v>
      </c>
      <c r="D14" s="850" t="str">
        <f ca="1">NUMBERSTRING(INT(D13*10000),2)&amp;"元整"</f>
        <v>肆佰肆拾玖万叁仟肆佰壹拾陆元整</v>
      </c>
      <c r="E14" s="1490"/>
    </row>
    <row r="15" spans="1:5" ht="15.6">
      <c r="A15" s="1490"/>
      <c r="B15" s="3501"/>
      <c r="C15" s="1494" t="s">
        <v>921</v>
      </c>
      <c r="D15" s="859">
        <f ca="1">结果表!H108</f>
        <v>21678</v>
      </c>
      <c r="E15" s="1490"/>
    </row>
    <row r="16" spans="1:5" ht="15.6">
      <c r="A16" s="1490"/>
      <c r="B16" s="3502" t="str">
        <f>结果表!E109</f>
        <v>——</v>
      </c>
      <c r="C16" s="1498" t="s">
        <v>922</v>
      </c>
      <c r="D16" s="1499" t="str">
        <f>结果表!H109</f>
        <v>——</v>
      </c>
      <c r="E16" s="1490"/>
    </row>
    <row r="17" spans="1:5" ht="15.6">
      <c r="A17" s="1490"/>
      <c r="B17" s="3503"/>
      <c r="C17" s="1493" t="s">
        <v>923</v>
      </c>
      <c r="D17" s="850" t="e">
        <f>NUMBERSTRING(INT(D16*10000),2)&amp;"元整"</f>
        <v>#VALUE!</v>
      </c>
      <c r="E17" s="1490"/>
    </row>
    <row r="18" spans="1:5" ht="15.6">
      <c r="A18" s="1490"/>
      <c r="B18" s="3504"/>
      <c r="C18" s="1494" t="s">
        <v>912</v>
      </c>
      <c r="D18" s="859" t="str">
        <f>结果表!H110</f>
        <v>——</v>
      </c>
      <c r="E18" s="1490"/>
    </row>
    <row r="19" spans="1:5" ht="15.6">
      <c r="A19" s="1490"/>
      <c r="B19" s="3495" t="str">
        <f>结果表!E111</f>
        <v>4.抵押净值</v>
      </c>
      <c r="C19" s="1498" t="s">
        <v>910</v>
      </c>
      <c r="D19" s="851">
        <f ca="1">结果表!H111</f>
        <v>427.61760000000004</v>
      </c>
      <c r="E19" s="1490"/>
    </row>
    <row r="20" spans="1:5" ht="31.2">
      <c r="A20" s="1490"/>
      <c r="B20" s="3496"/>
      <c r="C20" s="1493" t="s">
        <v>923</v>
      </c>
      <c r="D20" s="850" t="str">
        <f ca="1">NUMBERSTRING(INT(D19*10000),2)&amp;"元整"</f>
        <v>肆佰贰拾柒万陆仟壹佰柒拾陆元整</v>
      </c>
      <c r="E20" s="1490"/>
    </row>
    <row r="21" spans="1:5" ht="16.2" thickBot="1">
      <c r="A21" s="1490"/>
      <c r="B21" s="3497"/>
      <c r="C21" s="1500" t="s">
        <v>921</v>
      </c>
      <c r="D21" s="860">
        <f ca="1">结果表!H112</f>
        <v>20630</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27772</v>
      </c>
      <c r="C2" s="2" t="s">
        <v>106</v>
      </c>
      <c r="D2" s="199"/>
      <c r="E2" s="199"/>
      <c r="F2" s="199"/>
      <c r="G2" s="199"/>
    </row>
    <row r="3" spans="1:7" s="200" customFormat="1" ht="18" customHeight="1" thickBot="1">
      <c r="A3" s="203" t="s">
        <v>58</v>
      </c>
      <c r="B3" s="204">
        <f>ROUND(B2*10000/'数据-汇总表'!E3,0)</f>
        <v>1339830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120</v>
      </c>
      <c r="F9" s="221"/>
      <c r="G9" s="226"/>
    </row>
    <row r="10" spans="1:7" s="214" customFormat="1" ht="13.5" customHeight="1">
      <c r="A10" s="779" t="s">
        <v>356</v>
      </c>
      <c r="B10" s="224" t="s">
        <v>67</v>
      </c>
      <c r="C10" s="225">
        <f>ROUND(D10*E10/10000,0)</f>
        <v>3</v>
      </c>
      <c r="D10" s="845">
        <f>'数据-汇总表'!E6</f>
        <v>207.28</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207.28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ROUND(SUM(C23:C25),0)</f>
        <v>1418</v>
      </c>
      <c r="D22" s="235">
        <f>C26</f>
        <v>6.9999999999999999E-4</v>
      </c>
      <c r="E22" s="236" t="s">
        <v>99</v>
      </c>
      <c r="F22" s="237">
        <f>'数据-取费表'!B40</f>
        <v>3.3500000000000002E-2</v>
      </c>
      <c r="G22" s="1067" t="str">
        <f>IF('数据-取费表'!B22&lt;=1,"单利计息","复利计息")</f>
        <v>复利计息</v>
      </c>
    </row>
    <row r="23" spans="1:7" s="214" customFormat="1" ht="13.5" customHeight="1">
      <c r="A23" s="780" t="s">
        <v>349</v>
      </c>
      <c r="B23" s="215" t="s">
        <v>423</v>
      </c>
      <c r="C23" s="1104">
        <f>ROUND(IF('数据-取费表'!B22&lt;=1,C5*F22*'数据-取费表'!B23,C5*(POWER((1+F22),'数据-取费表'!B23)-1)),0)</f>
        <v>1404</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ROUND(IF('数据-取费表'!B22&lt;=1,C20*F22*'数据-取费表'!B23/2,C20*(POWER((1+F22),'数据-取费表'!B23/2)-1)),0)</f>
        <v>14</v>
      </c>
      <c r="D25" s="238"/>
      <c r="E25" s="241"/>
      <c r="F25" s="239"/>
      <c r="G25" s="242" t="s">
        <v>83</v>
      </c>
    </row>
    <row r="26" spans="1:7" s="214" customFormat="1">
      <c r="A26" s="780" t="s">
        <v>350</v>
      </c>
      <c r="B26" s="215" t="s">
        <v>422</v>
      </c>
      <c r="C26" s="238">
        <f>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27706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207.28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2</v>
      </c>
      <c r="D41" s="235">
        <f>C44</f>
        <v>6.9999999999999999E-4</v>
      </c>
      <c r="E41" s="236" t="s">
        <v>102</v>
      </c>
      <c r="F41" s="237"/>
      <c r="G41" s="1067" t="str">
        <f>IF('数据-取费表'!B22&lt;=1,"单利计息","复利计息")</f>
        <v>复利计息</v>
      </c>
    </row>
    <row r="42" spans="1:7" ht="13.5" customHeight="1">
      <c r="A42" s="780" t="s">
        <v>349</v>
      </c>
      <c r="B42" s="215" t="s">
        <v>423</v>
      </c>
      <c r="C42" s="238">
        <f>ROUND(IF('数据-取费表'!B22&lt;=1,C33*F22*'数据-取费表'!B21/2,C33*(POWER((1+F22),'数据-取费表'!B21/2)-1)),0)</f>
        <v>2</v>
      </c>
      <c r="D42" s="238"/>
      <c r="E42" s="238"/>
      <c r="F42" s="239"/>
      <c r="G42" s="3677" t="s">
        <v>94</v>
      </c>
    </row>
    <row r="43" spans="1:7" ht="13.5" customHeight="1">
      <c r="A43" s="780" t="s">
        <v>347</v>
      </c>
      <c r="B43" s="215" t="s">
        <v>426</v>
      </c>
      <c r="C43" s="238">
        <f>ROUND(IF('数据-取费表'!B22&lt;=1,C39*F22*'数据-取费表'!B21/2,C39*(POWER((1+F22),'数据-取费表'!B21/2)-1)),0)</f>
        <v>0</v>
      </c>
      <c r="D43" s="238"/>
      <c r="E43" s="238"/>
      <c r="F43" s="239"/>
      <c r="G43" s="3678"/>
    </row>
    <row r="44" spans="1:7" ht="13.5" customHeight="1">
      <c r="A44" s="780" t="s">
        <v>348</v>
      </c>
      <c r="B44" s="215" t="s">
        <v>428</v>
      </c>
      <c r="C44" s="238">
        <f>ROUND(IF('数据-取费表'!B22&lt;=1,C40*F22*'数据-取费表'!B21/2,C40*(POWER((1+F22),'数据-取费表'!B21/2)-1)),4)</f>
        <v>6.9999999999999999E-4</v>
      </c>
      <c r="D44" s="238"/>
      <c r="E44" s="238"/>
      <c r="F44" s="239"/>
      <c r="G44" s="3679"/>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ROUND(C49*F50,0)</f>
        <v>66</v>
      </c>
      <c r="D51" s="232"/>
      <c r="E51" s="232"/>
      <c r="F51" s="264"/>
      <c r="G51" s="234" t="s">
        <v>37</v>
      </c>
    </row>
    <row r="52" spans="1:7" s="208" customFormat="1" ht="16.8" thickBot="1">
      <c r="A52" s="265" t="s">
        <v>38</v>
      </c>
      <c r="B52" s="266"/>
      <c r="C52" s="267">
        <f>C31+C51</f>
        <v>27772</v>
      </c>
      <c r="D52" s="266"/>
      <c r="E52" s="266"/>
      <c r="F52" s="266"/>
      <c r="G52" s="268"/>
    </row>
    <row r="55" spans="1:7" ht="15">
      <c r="B55" s="270" t="s">
        <v>39</v>
      </c>
      <c r="C55" s="271"/>
    </row>
    <row r="56" spans="1:7">
      <c r="B56" s="273" t="s">
        <v>40</v>
      </c>
      <c r="C56" s="274">
        <f>ROUND(C51/C52,3)</f>
        <v>2E-3</v>
      </c>
    </row>
    <row r="57" spans="1:7">
      <c r="B57" s="273" t="s">
        <v>41</v>
      </c>
      <c r="C57" s="275">
        <f>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17" t="s">
        <v>2843</v>
      </c>
      <c r="B1" s="3817"/>
      <c r="C1" s="3817"/>
      <c r="D1" s="3817"/>
      <c r="E1" s="3817"/>
      <c r="F1" s="3817"/>
      <c r="G1" s="3818"/>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1.4"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815"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1.4" thickBot="1">
      <c r="A4" s="3816"/>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1.4"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1.4"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1.4"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1.4"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19" t="s">
        <v>3185</v>
      </c>
      <c r="B1" s="3819"/>
    </row>
    <row r="2" spans="1:7" ht="15" thickBot="1">
      <c r="A2" s="3254"/>
      <c r="B2" s="3254"/>
    </row>
    <row r="3" spans="1:7" ht="15" thickBot="1">
      <c r="A3" s="3254"/>
      <c r="B3" s="3254"/>
      <c r="C3" s="3255" t="s">
        <v>2815</v>
      </c>
      <c r="D3" s="3255" t="s">
        <v>2871</v>
      </c>
      <c r="E3" s="3255" t="s">
        <v>2817</v>
      </c>
      <c r="F3" s="3255" t="s">
        <v>2872</v>
      </c>
      <c r="G3" s="3255" t="s">
        <v>2635</v>
      </c>
    </row>
    <row r="4" spans="1:7" ht="1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20" t="s">
        <v>3236</v>
      </c>
      <c r="B1" s="3820"/>
      <c r="C1" s="3820"/>
      <c r="D1" s="3820"/>
      <c r="E1" s="3820"/>
      <c r="F1" s="3821"/>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20" sqref="H20"/>
    </sheetView>
  </sheetViews>
  <sheetFormatPr defaultRowHeight="14.4"/>
  <cols>
    <col min="1" max="1" width="13.88671875" customWidth="1"/>
    <col min="11" max="17" width="0" hidden="1" customWidth="1"/>
    <col min="25" max="30" width="0" hidden="1" customWidth="1"/>
  </cols>
  <sheetData>
    <row r="1" spans="1:30">
      <c r="A1" s="3220">
        <f>基准地价修正!G23</f>
        <v>45510</v>
      </c>
      <c r="B1" s="3209" t="s">
        <v>3374</v>
      </c>
      <c r="C1" s="3210"/>
      <c r="D1" s="3210"/>
      <c r="E1" s="3210"/>
      <c r="F1" s="3210"/>
      <c r="G1" s="3210"/>
      <c r="H1" s="3210"/>
      <c r="I1" s="3210"/>
      <c r="J1" s="3164"/>
      <c r="K1" s="3210" t="s">
        <v>454</v>
      </c>
      <c r="L1" s="3210"/>
      <c r="M1" s="3210"/>
      <c r="N1" s="3210"/>
      <c r="O1" s="3210"/>
      <c r="P1" s="3210"/>
      <c r="Q1" s="3164"/>
      <c r="R1" s="3822" t="s">
        <v>456</v>
      </c>
      <c r="S1" s="3823"/>
      <c r="T1" s="3823"/>
      <c r="U1" s="3823"/>
      <c r="V1" s="3823"/>
      <c r="W1" s="3823"/>
      <c r="X1" s="3164"/>
      <c r="Y1" s="3822" t="s">
        <v>457</v>
      </c>
      <c r="Z1" s="3823"/>
      <c r="AA1" s="3823"/>
      <c r="AB1" s="3823"/>
      <c r="AC1" s="3823"/>
      <c r="AD1" s="3823"/>
    </row>
    <row r="2" spans="1:30" s="3142" customFormat="1" ht="1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3.2">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3382</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3.2">
      <c r="A6" s="2204" t="s">
        <v>3377</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3.2">
      <c r="A7" s="3185" t="s">
        <v>3379</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3.2">
      <c r="A8" s="3175" t="s">
        <v>3380</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3378</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3373</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3372</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3371</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3367</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3358</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3369</v>
      </c>
    </row>
    <row r="22" spans="1:30" s="3008" customFormat="1">
      <c r="I22" s="3207" t="s">
        <v>2829</v>
      </c>
    </row>
    <row r="23" spans="1:30" s="3008" customFormat="1"/>
    <row r="24" spans="1:30" s="3208" customFormat="1" ht="13.2">
      <c r="B24" s="3209" t="s">
        <v>3375</v>
      </c>
      <c r="C24" s="3210"/>
      <c r="D24" s="3210"/>
      <c r="E24" s="3210"/>
      <c r="F24" s="3210"/>
      <c r="G24" s="3210"/>
      <c r="H24" s="3210"/>
      <c r="I24" s="3210"/>
      <c r="J24" s="3164"/>
      <c r="K24" s="3210" t="s">
        <v>2830</v>
      </c>
      <c r="L24" s="3210"/>
      <c r="M24" s="3210"/>
      <c r="N24" s="3210"/>
      <c r="O24" s="3210"/>
      <c r="P24" s="3210"/>
      <c r="Q24" s="3164"/>
      <c r="R24" s="3822" t="s">
        <v>2831</v>
      </c>
      <c r="S24" s="3823"/>
      <c r="T24" s="3823"/>
      <c r="U24" s="3823"/>
      <c r="V24" s="3823"/>
      <c r="W24" s="3823"/>
      <c r="X24" s="3164"/>
      <c r="Y24" s="3822" t="s">
        <v>2832</v>
      </c>
      <c r="Z24" s="3823"/>
      <c r="AA24" s="3823"/>
      <c r="AB24" s="3823"/>
      <c r="AC24" s="3823"/>
      <c r="AD24" s="3823"/>
    </row>
    <row r="25" spans="1:30" s="3142" customFormat="1" ht="1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3.2">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4" t="s">
        <v>3382</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3.2">
      <c r="A29" s="2204" t="s">
        <v>3377</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3.2">
      <c r="A30" s="3185" t="s">
        <v>3379</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3.2">
      <c r="A31" s="3175" t="s">
        <v>3381</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3378</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3376</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3372</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3371</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3368</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3358</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3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45510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J50" sqref="J5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8.109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t="s">
        <v>673</v>
      </c>
      <c r="E1" s="3425" t="s">
        <v>3391</v>
      </c>
      <c r="F1" s="1878" t="s">
        <v>3456</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5.8000000000000003E-2</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686</v>
      </c>
      <c r="B3" s="558">
        <f>IF(C2="——",C49,ROUND(B2*10000/D3,0))</f>
        <v>2.8</v>
      </c>
      <c r="C3" s="354" t="s">
        <v>1665</v>
      </c>
      <c r="D3" s="353">
        <f>IF(D1="",'数据-汇总表'!E3,SUMIF('数据-汇总表'!$C19:$C33,D1,'数据-汇总表'!$E19:$E33))</f>
        <v>207.28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1666</v>
      </c>
      <c r="B4" s="356"/>
      <c r="C4" s="3724" t="s">
        <v>1667</v>
      </c>
      <c r="D4" s="3725"/>
      <c r="E4" s="3726" t="s">
        <v>1668</v>
      </c>
      <c r="F4" s="3727"/>
      <c r="G4" s="3724" t="s">
        <v>1669</v>
      </c>
      <c r="H4" s="3725"/>
      <c r="I4" s="3724" t="s">
        <v>1670</v>
      </c>
      <c r="J4" s="3725"/>
      <c r="K4" s="559" t="s">
        <v>1671</v>
      </c>
      <c r="L4" s="2714"/>
      <c r="M4" s="2715"/>
      <c r="N4" s="2715"/>
      <c r="O4" s="2715"/>
      <c r="P4" s="3728" t="s">
        <v>1672</v>
      </c>
      <c r="Q4" s="3729"/>
      <c r="R4" s="3711" t="s">
        <v>1668</v>
      </c>
      <c r="S4" s="3712"/>
      <c r="T4" s="3711" t="s">
        <v>1669</v>
      </c>
      <c r="U4" s="3712"/>
      <c r="V4" s="3736" t="s">
        <v>1670</v>
      </c>
      <c r="W4" s="3736"/>
      <c r="X4" s="3467"/>
      <c r="Y4" s="3711" t="s">
        <v>1672</v>
      </c>
      <c r="Z4" s="3712"/>
      <c r="AA4" s="3706" t="s">
        <v>1668</v>
      </c>
      <c r="AB4" s="3736" t="s">
        <v>1669</v>
      </c>
      <c r="AC4" s="3706" t="s">
        <v>1670</v>
      </c>
    </row>
    <row r="5" spans="1:29">
      <c r="A5" s="358"/>
      <c r="B5" s="359"/>
      <c r="C5" s="3717" t="s">
        <v>1673</v>
      </c>
      <c r="D5" s="3718"/>
      <c r="E5" s="3752" t="s">
        <v>3465</v>
      </c>
      <c r="F5" s="3716"/>
      <c r="G5" s="3753" t="s">
        <v>3466</v>
      </c>
      <c r="H5" s="3718"/>
      <c r="I5" s="3753" t="s">
        <v>3467</v>
      </c>
      <c r="J5" s="3718"/>
      <c r="K5" s="559"/>
      <c r="L5" s="2714"/>
      <c r="M5" s="2715"/>
      <c r="N5" s="2715"/>
      <c r="O5" s="2715"/>
      <c r="P5" s="3730"/>
      <c r="Q5" s="3731"/>
      <c r="R5" s="3713"/>
      <c r="S5" s="3714"/>
      <c r="T5" s="3713"/>
      <c r="U5" s="3714"/>
      <c r="V5" s="3736"/>
      <c r="W5" s="3736"/>
      <c r="X5" s="3467"/>
      <c r="Y5" s="3713"/>
      <c r="Z5" s="3714"/>
      <c r="AA5" s="3707"/>
      <c r="AB5" s="3736"/>
      <c r="AC5" s="3707"/>
    </row>
    <row r="6" spans="1:29" ht="15" thickBot="1">
      <c r="A6" s="360"/>
      <c r="B6" s="361"/>
      <c r="C6" s="3719" t="s">
        <v>1677</v>
      </c>
      <c r="D6" s="3720"/>
      <c r="E6" s="3721" t="s">
        <v>1677</v>
      </c>
      <c r="F6" s="3722"/>
      <c r="G6" s="3719" t="s">
        <v>1677</v>
      </c>
      <c r="H6" s="3720"/>
      <c r="I6" s="3719" t="s">
        <v>1677</v>
      </c>
      <c r="J6" s="3720"/>
      <c r="K6" s="559" t="s">
        <v>1678</v>
      </c>
      <c r="L6" s="2714"/>
      <c r="M6" s="2715"/>
      <c r="N6" s="2715"/>
      <c r="O6" s="2715"/>
      <c r="P6" s="3732"/>
      <c r="Q6" s="3733"/>
      <c r="R6" s="3713"/>
      <c r="S6" s="3714"/>
      <c r="T6" s="3734"/>
      <c r="U6" s="3735"/>
      <c r="V6" s="3736"/>
      <c r="W6" s="3736"/>
      <c r="X6" s="3467"/>
      <c r="Y6" s="3734"/>
      <c r="Z6" s="3735"/>
      <c r="AA6" s="3708"/>
      <c r="AB6" s="3736"/>
      <c r="AC6" s="3708"/>
    </row>
    <row r="7" spans="1:29" s="108" customFormat="1" ht="15" thickBot="1">
      <c r="A7" s="362" t="s">
        <v>1679</v>
      </c>
      <c r="B7" s="363"/>
      <c r="C7" s="364">
        <f>'数据-取费表'!B2</f>
        <v>45510</v>
      </c>
      <c r="D7" s="365">
        <v>100</v>
      </c>
      <c r="E7" s="366">
        <f>C7</f>
        <v>45510</v>
      </c>
      <c r="F7" s="367">
        <f>SUMIF(58:58,YEAR(E7)&amp;"-"&amp;MONTH(E7),59:59)</f>
        <v>100</v>
      </c>
      <c r="G7" s="366">
        <f>C7</f>
        <v>45510</v>
      </c>
      <c r="H7" s="365">
        <f>SUMIF(58:58,YEAR(G7)&amp;"-"&amp;MONTH(G7),59:59)</f>
        <v>100</v>
      </c>
      <c r="I7" s="366">
        <f>C7</f>
        <v>45510</v>
      </c>
      <c r="J7" s="365">
        <f>SUMIF(58:58,YEAR(I7)&amp;"-"&amp;MONTH(I7),59:59)</f>
        <v>100</v>
      </c>
      <c r="K7" s="560"/>
      <c r="L7" s="2716"/>
      <c r="M7" s="2717"/>
      <c r="N7" s="2717"/>
      <c r="O7" s="2717"/>
      <c r="P7" s="3709" t="s">
        <v>1680</v>
      </c>
      <c r="Q7" s="3737"/>
      <c r="R7" s="701" t="s">
        <v>14</v>
      </c>
      <c r="S7" s="702">
        <f t="shared" ref="S7:S15" si="0">F7</f>
        <v>100</v>
      </c>
      <c r="T7" s="701" t="s">
        <v>14</v>
      </c>
      <c r="U7" s="702">
        <f t="shared" ref="U7:U15" si="1">H7</f>
        <v>100</v>
      </c>
      <c r="V7" s="701" t="s">
        <v>14</v>
      </c>
      <c r="W7" s="702">
        <f t="shared" ref="W7:W15" si="2">J7</f>
        <v>100</v>
      </c>
      <c r="X7" s="703"/>
      <c r="Y7" s="3709" t="s">
        <v>1680</v>
      </c>
      <c r="Z7" s="3710"/>
      <c r="AA7" s="704">
        <f>D7/F7</f>
        <v>1</v>
      </c>
      <c r="AB7" s="704">
        <f>D7/H7</f>
        <v>1</v>
      </c>
      <c r="AC7" s="704">
        <f>D7/J7</f>
        <v>1</v>
      </c>
    </row>
    <row r="8" spans="1:29" s="108" customFormat="1" ht="15" thickBot="1">
      <c r="A8" s="362" t="s">
        <v>1681</v>
      </c>
      <c r="B8" s="363"/>
      <c r="C8" s="368" t="s">
        <v>3395</v>
      </c>
      <c r="D8" s="365">
        <v>100</v>
      </c>
      <c r="E8" s="368" t="s">
        <v>3407</v>
      </c>
      <c r="F8" s="367">
        <f>SUMIF(61:61,E8,62:62)-SUMIF(61:61,C8,62:62)+100</f>
        <v>102</v>
      </c>
      <c r="G8" s="368" t="s">
        <v>3407</v>
      </c>
      <c r="H8" s="365">
        <f>SUMIF(61:61,G8,62:62)-SUMIF(61:61,C8,62:62)+100</f>
        <v>102</v>
      </c>
      <c r="I8" s="368" t="s">
        <v>3407</v>
      </c>
      <c r="J8" s="365">
        <f>SUMIF(61:61,I8,62:62)-SUMIF(61:61,C8,62:62)+100</f>
        <v>102</v>
      </c>
      <c r="K8" s="560"/>
      <c r="L8" s="2716"/>
      <c r="M8" s="2717"/>
      <c r="N8" s="2717"/>
      <c r="O8" s="2717"/>
      <c r="P8" s="3709" t="s">
        <v>1683</v>
      </c>
      <c r="Q8" s="3710"/>
      <c r="R8" s="701" t="s">
        <v>14</v>
      </c>
      <c r="S8" s="702">
        <f t="shared" si="0"/>
        <v>102</v>
      </c>
      <c r="T8" s="701" t="s">
        <v>14</v>
      </c>
      <c r="U8" s="702">
        <f t="shared" si="1"/>
        <v>102</v>
      </c>
      <c r="V8" s="701" t="s">
        <v>14</v>
      </c>
      <c r="W8" s="702">
        <f t="shared" si="2"/>
        <v>102</v>
      </c>
      <c r="X8" s="703"/>
      <c r="Y8" s="3709" t="s">
        <v>1683</v>
      </c>
      <c r="Z8" s="3710"/>
      <c r="AA8" s="704">
        <f t="shared" ref="AA8:AA46" si="3">D8/F8</f>
        <v>0.98039215686274506</v>
      </c>
      <c r="AB8" s="704">
        <f t="shared" ref="AB8:AB46" si="4">D8/H8</f>
        <v>0.98039215686274506</v>
      </c>
      <c r="AC8" s="704">
        <f t="shared" ref="AC8:AC46" si="5">D8/J8</f>
        <v>0.98039215686274506</v>
      </c>
    </row>
    <row r="9" spans="1:29" s="108" customFormat="1" ht="15" thickBot="1">
      <c r="A9" s="369" t="s">
        <v>1684</v>
      </c>
      <c r="B9" s="63" t="s">
        <v>1685</v>
      </c>
      <c r="C9" s="3475"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23" t="s">
        <v>1686</v>
      </c>
      <c r="Q9" s="3466" t="str">
        <f t="shared" ref="Q9:Q15" si="6">B9</f>
        <v>用途</v>
      </c>
      <c r="R9" s="701" t="s">
        <v>14</v>
      </c>
      <c r="S9" s="702">
        <f t="shared" si="0"/>
        <v>100</v>
      </c>
      <c r="T9" s="701" t="s">
        <v>14</v>
      </c>
      <c r="U9" s="702">
        <f t="shared" si="1"/>
        <v>100</v>
      </c>
      <c r="V9" s="701" t="s">
        <v>14</v>
      </c>
      <c r="W9" s="702">
        <f t="shared" si="2"/>
        <v>100</v>
      </c>
      <c r="X9" s="703"/>
      <c r="Y9" s="3653" t="s">
        <v>1687</v>
      </c>
      <c r="Z9" s="3465" t="str">
        <f t="shared" ref="Z9:Z15" si="7">Q9</f>
        <v>用途</v>
      </c>
      <c r="AA9" s="704">
        <f t="shared" si="3"/>
        <v>1</v>
      </c>
      <c r="AB9" s="704">
        <f t="shared" si="4"/>
        <v>1</v>
      </c>
      <c r="AC9" s="704">
        <f t="shared" si="5"/>
        <v>1</v>
      </c>
    </row>
    <row r="10" spans="1:29" s="378" customFormat="1" ht="29.4" hidden="1" thickBot="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3"/>
      <c r="Q10" s="3466" t="str">
        <f t="shared" si="6"/>
        <v>土地使用年限（年）</v>
      </c>
      <c r="R10" s="701" t="s">
        <v>14</v>
      </c>
      <c r="S10" s="702">
        <f t="shared" si="0"/>
        <v>100</v>
      </c>
      <c r="T10" s="701" t="s">
        <v>14</v>
      </c>
      <c r="U10" s="702">
        <f t="shared" si="1"/>
        <v>100</v>
      </c>
      <c r="V10" s="701" t="s">
        <v>14</v>
      </c>
      <c r="W10" s="702">
        <f t="shared" si="2"/>
        <v>100</v>
      </c>
      <c r="X10" s="703"/>
      <c r="Y10" s="3653"/>
      <c r="Z10" s="3465" t="str">
        <f t="shared" si="7"/>
        <v>土地使用年限（年）</v>
      </c>
      <c r="AA10" s="704">
        <f t="shared" si="3"/>
        <v>1</v>
      </c>
      <c r="AB10" s="704">
        <f t="shared" si="4"/>
        <v>1</v>
      </c>
      <c r="AC10" s="704">
        <f t="shared" si="5"/>
        <v>1</v>
      </c>
    </row>
    <row r="11" spans="1:29" ht="15.6"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23"/>
      <c r="Q11" s="3466" t="str">
        <f t="shared" si="6"/>
        <v>容积率</v>
      </c>
      <c r="R11" s="701" t="s">
        <v>14</v>
      </c>
      <c r="S11" s="702">
        <f t="shared" si="0"/>
        <v>100</v>
      </c>
      <c r="T11" s="701" t="s">
        <v>14</v>
      </c>
      <c r="U11" s="702">
        <f t="shared" si="1"/>
        <v>100</v>
      </c>
      <c r="V11" s="701" t="s">
        <v>14</v>
      </c>
      <c r="W11" s="702">
        <f t="shared" si="2"/>
        <v>100</v>
      </c>
      <c r="X11" s="703"/>
      <c r="Y11" s="3653"/>
      <c r="Z11" s="3465" t="str">
        <f t="shared" si="7"/>
        <v>容积率</v>
      </c>
      <c r="AA11" s="704">
        <f t="shared" si="3"/>
        <v>1</v>
      </c>
      <c r="AB11" s="704">
        <f t="shared" si="4"/>
        <v>1</v>
      </c>
      <c r="AC11" s="704">
        <f t="shared" si="5"/>
        <v>1</v>
      </c>
    </row>
    <row r="12" spans="1:29" s="108" customFormat="1" ht="15.6"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3"/>
      <c r="Q12" s="3466">
        <f t="shared" si="6"/>
        <v>111</v>
      </c>
      <c r="R12" s="701" t="s">
        <v>14</v>
      </c>
      <c r="S12" s="702">
        <f t="shared" si="0"/>
        <v>100</v>
      </c>
      <c r="T12" s="701" t="s">
        <v>14</v>
      </c>
      <c r="U12" s="702">
        <f t="shared" si="1"/>
        <v>100</v>
      </c>
      <c r="V12" s="701" t="s">
        <v>14</v>
      </c>
      <c r="W12" s="702">
        <f t="shared" si="2"/>
        <v>100</v>
      </c>
      <c r="X12" s="703"/>
      <c r="Y12" s="3653"/>
      <c r="Z12" s="3465">
        <f t="shared" si="7"/>
        <v>111</v>
      </c>
      <c r="AA12" s="704">
        <f>D12/F12</f>
        <v>1</v>
      </c>
      <c r="AB12" s="704">
        <f>D12/H12</f>
        <v>1</v>
      </c>
      <c r="AC12" s="704">
        <f>D12/J12</f>
        <v>1</v>
      </c>
    </row>
    <row r="13" spans="1:29" ht="15.6"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3"/>
      <c r="Q13" s="3466">
        <f t="shared" si="6"/>
        <v>111</v>
      </c>
      <c r="R13" s="701" t="s">
        <v>14</v>
      </c>
      <c r="S13" s="702">
        <f t="shared" si="0"/>
        <v>100</v>
      </c>
      <c r="T13" s="701" t="s">
        <v>14</v>
      </c>
      <c r="U13" s="702">
        <f t="shared" si="1"/>
        <v>100</v>
      </c>
      <c r="V13" s="701" t="s">
        <v>14</v>
      </c>
      <c r="W13" s="702">
        <f t="shared" si="2"/>
        <v>100</v>
      </c>
      <c r="X13" s="703"/>
      <c r="Y13" s="3653"/>
      <c r="Z13" s="3465">
        <f t="shared" si="7"/>
        <v>111</v>
      </c>
      <c r="AA13" s="704">
        <f t="shared" si="3"/>
        <v>1</v>
      </c>
      <c r="AB13" s="704">
        <f t="shared" si="4"/>
        <v>1</v>
      </c>
      <c r="AC13" s="704">
        <f t="shared" si="5"/>
        <v>1</v>
      </c>
    </row>
    <row r="14" spans="1:29" ht="15.6"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3"/>
      <c r="Q14" s="3466">
        <f t="shared" si="6"/>
        <v>111</v>
      </c>
      <c r="R14" s="701" t="s">
        <v>14</v>
      </c>
      <c r="S14" s="702">
        <f t="shared" si="0"/>
        <v>100</v>
      </c>
      <c r="T14" s="701" t="s">
        <v>14</v>
      </c>
      <c r="U14" s="702">
        <f t="shared" si="1"/>
        <v>100</v>
      </c>
      <c r="V14" s="701" t="s">
        <v>14</v>
      </c>
      <c r="W14" s="702">
        <f t="shared" si="2"/>
        <v>100</v>
      </c>
      <c r="X14" s="703"/>
      <c r="Y14" s="3653"/>
      <c r="Z14" s="3465">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750" t="s">
        <v>1691</v>
      </c>
      <c r="Q15" s="3470" t="str">
        <f t="shared" si="6"/>
        <v>商业繁华度</v>
      </c>
      <c r="R15" s="705" t="s">
        <v>14</v>
      </c>
      <c r="S15" s="706">
        <f t="shared" si="0"/>
        <v>100</v>
      </c>
      <c r="T15" s="705" t="s">
        <v>14</v>
      </c>
      <c r="U15" s="706">
        <f t="shared" si="1"/>
        <v>98</v>
      </c>
      <c r="V15" s="705" t="s">
        <v>14</v>
      </c>
      <c r="W15" s="706">
        <f t="shared" si="2"/>
        <v>100</v>
      </c>
      <c r="X15" s="3467"/>
      <c r="Y15" s="3743" t="s">
        <v>1691</v>
      </c>
      <c r="Z15" s="3468" t="str">
        <f t="shared" si="7"/>
        <v>商业繁华度</v>
      </c>
      <c r="AA15" s="3471">
        <f t="shared" si="3"/>
        <v>1</v>
      </c>
      <c r="AB15" s="3471">
        <f t="shared" si="4"/>
        <v>1.0204081632653061</v>
      </c>
      <c r="AC15" s="3471">
        <f t="shared" si="5"/>
        <v>1</v>
      </c>
    </row>
    <row r="16" spans="1:29" ht="15">
      <c r="A16" s="379"/>
      <c r="B16" s="397"/>
      <c r="C16" s="398" t="s">
        <v>3411</v>
      </c>
      <c r="D16" s="399"/>
      <c r="E16" s="398" t="s">
        <v>3411</v>
      </c>
      <c r="F16" s="400"/>
      <c r="G16" s="398" t="s">
        <v>3412</v>
      </c>
      <c r="H16" s="401"/>
      <c r="I16" s="398" t="s">
        <v>3411</v>
      </c>
      <c r="J16" s="399"/>
      <c r="K16" s="564"/>
      <c r="L16" s="2721"/>
      <c r="M16" s="2715"/>
      <c r="N16" s="2715"/>
      <c r="O16" s="2715"/>
      <c r="P16" s="3751"/>
      <c r="Q16" s="3470"/>
      <c r="R16" s="705"/>
      <c r="S16" s="706"/>
      <c r="T16" s="705"/>
      <c r="U16" s="706"/>
      <c r="V16" s="705"/>
      <c r="W16" s="706"/>
      <c r="X16" s="3467"/>
      <c r="Y16" s="3744"/>
      <c r="Z16" s="3468"/>
      <c r="AA16" s="3471">
        <v>1</v>
      </c>
      <c r="AB16" s="3471">
        <v>1</v>
      </c>
      <c r="AC16" s="3471">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51"/>
      <c r="Q17" s="3470" t="str">
        <f>B17</f>
        <v>交通便捷度</v>
      </c>
      <c r="R17" s="705" t="s">
        <v>14</v>
      </c>
      <c r="S17" s="706">
        <f>F17</f>
        <v>100</v>
      </c>
      <c r="T17" s="705" t="s">
        <v>14</v>
      </c>
      <c r="U17" s="706">
        <f>H17</f>
        <v>100</v>
      </c>
      <c r="V17" s="705" t="s">
        <v>14</v>
      </c>
      <c r="W17" s="706">
        <f>J17</f>
        <v>100</v>
      </c>
      <c r="X17" s="3467"/>
      <c r="Y17" s="3744"/>
      <c r="Z17" s="3468" t="str">
        <f>Q17</f>
        <v>交通便捷度</v>
      </c>
      <c r="AA17" s="3471">
        <f t="shared" si="3"/>
        <v>1</v>
      </c>
      <c r="AB17" s="3471">
        <f t="shared" si="4"/>
        <v>1</v>
      </c>
      <c r="AC17" s="3471">
        <f t="shared" si="5"/>
        <v>1</v>
      </c>
    </row>
    <row r="18" spans="1:29" ht="15">
      <c r="A18" s="379"/>
      <c r="B18" s="407"/>
      <c r="C18" s="1900" t="s">
        <v>3411</v>
      </c>
      <c r="D18" s="401"/>
      <c r="E18" s="1902" t="s">
        <v>3411</v>
      </c>
      <c r="F18" s="404"/>
      <c r="G18" s="1901" t="s">
        <v>3411</v>
      </c>
      <c r="H18" s="399"/>
      <c r="I18" s="1902" t="s">
        <v>3411</v>
      </c>
      <c r="J18" s="399"/>
      <c r="K18" s="564"/>
      <c r="L18" s="2721"/>
      <c r="M18" s="2715"/>
      <c r="N18" s="2715"/>
      <c r="O18" s="2715"/>
      <c r="P18" s="3751"/>
      <c r="Q18" s="3470"/>
      <c r="R18" s="705"/>
      <c r="S18" s="706"/>
      <c r="T18" s="705"/>
      <c r="U18" s="706"/>
      <c r="V18" s="705"/>
      <c r="W18" s="706"/>
      <c r="X18" s="3467"/>
      <c r="Y18" s="3744"/>
      <c r="Z18" s="3468"/>
      <c r="AA18" s="3471">
        <v>1</v>
      </c>
      <c r="AB18" s="3471">
        <v>1</v>
      </c>
      <c r="AC18" s="3471">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51"/>
      <c r="Q19" s="3470" t="str">
        <f>B19</f>
        <v>公共配套设施</v>
      </c>
      <c r="R19" s="705" t="s">
        <v>14</v>
      </c>
      <c r="S19" s="706">
        <f>F19</f>
        <v>100</v>
      </c>
      <c r="T19" s="705" t="s">
        <v>14</v>
      </c>
      <c r="U19" s="706">
        <f>H19</f>
        <v>100</v>
      </c>
      <c r="V19" s="705" t="s">
        <v>14</v>
      </c>
      <c r="W19" s="706">
        <f>J19</f>
        <v>100</v>
      </c>
      <c r="X19" s="3467"/>
      <c r="Y19" s="3744"/>
      <c r="Z19" s="3468" t="str">
        <f>Q19</f>
        <v>公共配套设施</v>
      </c>
      <c r="AA19" s="3471">
        <f t="shared" si="3"/>
        <v>1</v>
      </c>
      <c r="AB19" s="3471">
        <f t="shared" si="4"/>
        <v>1</v>
      </c>
      <c r="AC19" s="3471">
        <f t="shared" si="5"/>
        <v>1</v>
      </c>
    </row>
    <row r="20" spans="1:29" ht="15">
      <c r="A20" s="379"/>
      <c r="B20" s="407"/>
      <c r="C20" s="398" t="s">
        <v>3411</v>
      </c>
      <c r="D20" s="399"/>
      <c r="E20" s="398" t="s">
        <v>3411</v>
      </c>
      <c r="F20" s="400"/>
      <c r="G20" s="398" t="s">
        <v>3411</v>
      </c>
      <c r="H20" s="399"/>
      <c r="I20" s="398" t="s">
        <v>3411</v>
      </c>
      <c r="J20" s="399"/>
      <c r="K20" s="564"/>
      <c r="L20" s="2721"/>
      <c r="M20" s="2715"/>
      <c r="N20" s="2715"/>
      <c r="O20" s="2715"/>
      <c r="P20" s="3751"/>
      <c r="Q20" s="3470"/>
      <c r="R20" s="705"/>
      <c r="S20" s="706"/>
      <c r="T20" s="705"/>
      <c r="U20" s="706"/>
      <c r="V20" s="705"/>
      <c r="W20" s="706"/>
      <c r="X20" s="3467"/>
      <c r="Y20" s="3744"/>
      <c r="Z20" s="3468"/>
      <c r="AA20" s="3471">
        <v>1</v>
      </c>
      <c r="AB20" s="3471">
        <v>1</v>
      </c>
      <c r="AC20" s="3471">
        <v>1</v>
      </c>
    </row>
    <row r="21" spans="1:29" ht="27.6">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51"/>
      <c r="Q21" s="3470" t="str">
        <f>B21</f>
        <v>基础设施水平</v>
      </c>
      <c r="R21" s="705" t="s">
        <v>14</v>
      </c>
      <c r="S21" s="706">
        <f>F21</f>
        <v>100</v>
      </c>
      <c r="T21" s="705" t="s">
        <v>14</v>
      </c>
      <c r="U21" s="706">
        <f>H21</f>
        <v>100</v>
      </c>
      <c r="V21" s="705" t="s">
        <v>14</v>
      </c>
      <c r="W21" s="706">
        <f>J21</f>
        <v>100</v>
      </c>
      <c r="X21" s="3467"/>
      <c r="Y21" s="3744"/>
      <c r="Z21" s="3468" t="str">
        <f>Q21</f>
        <v>基础设施水平</v>
      </c>
      <c r="AA21" s="3471">
        <f t="shared" ref="AA21" si="8">D21/F21</f>
        <v>1</v>
      </c>
      <c r="AB21" s="3471">
        <f t="shared" ref="AB21" si="9">D21/H21</f>
        <v>1</v>
      </c>
      <c r="AC21" s="3471">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751"/>
      <c r="Q22" s="3470"/>
      <c r="R22" s="705"/>
      <c r="S22" s="706"/>
      <c r="T22" s="705"/>
      <c r="U22" s="706"/>
      <c r="V22" s="705"/>
      <c r="W22" s="706"/>
      <c r="X22" s="3467"/>
      <c r="Y22" s="3744"/>
      <c r="Z22" s="3468"/>
      <c r="AA22" s="3471">
        <v>1</v>
      </c>
      <c r="AB22" s="3471">
        <v>1</v>
      </c>
      <c r="AC22" s="3471">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51"/>
      <c r="Q23" s="3470" t="str">
        <f>B23</f>
        <v>自然及人文环境</v>
      </c>
      <c r="R23" s="705" t="s">
        <v>14</v>
      </c>
      <c r="S23" s="706">
        <f>F23</f>
        <v>100</v>
      </c>
      <c r="T23" s="705" t="s">
        <v>14</v>
      </c>
      <c r="U23" s="706">
        <f>H23</f>
        <v>100</v>
      </c>
      <c r="V23" s="705" t="s">
        <v>14</v>
      </c>
      <c r="W23" s="706">
        <f>J23</f>
        <v>100</v>
      </c>
      <c r="X23" s="3467"/>
      <c r="Y23" s="3744"/>
      <c r="Z23" s="3468" t="str">
        <f>Q23</f>
        <v>自然及人文环境</v>
      </c>
      <c r="AA23" s="3471">
        <f t="shared" si="3"/>
        <v>1</v>
      </c>
      <c r="AB23" s="3471">
        <f t="shared" si="4"/>
        <v>1</v>
      </c>
      <c r="AC23" s="3471">
        <f t="shared" si="5"/>
        <v>1</v>
      </c>
    </row>
    <row r="24" spans="1:29" ht="15">
      <c r="A24" s="379"/>
      <c r="B24" s="407"/>
      <c r="C24" s="398" t="s">
        <v>3411</v>
      </c>
      <c r="D24" s="399"/>
      <c r="E24" s="398" t="s">
        <v>3411</v>
      </c>
      <c r="F24" s="400"/>
      <c r="G24" s="398" t="s">
        <v>3411</v>
      </c>
      <c r="H24" s="399"/>
      <c r="I24" s="398" t="s">
        <v>3411</v>
      </c>
      <c r="J24" s="399"/>
      <c r="K24" s="564"/>
      <c r="L24" s="2721"/>
      <c r="M24" s="2715"/>
      <c r="N24" s="2715"/>
      <c r="O24" s="2715"/>
      <c r="P24" s="3751"/>
      <c r="Q24" s="3470"/>
      <c r="R24" s="705"/>
      <c r="S24" s="706"/>
      <c r="T24" s="705"/>
      <c r="U24" s="706"/>
      <c r="V24" s="705"/>
      <c r="W24" s="706"/>
      <c r="X24" s="3467"/>
      <c r="Y24" s="3744"/>
      <c r="Z24" s="3468"/>
      <c r="AA24" s="3471">
        <v>1</v>
      </c>
      <c r="AB24" s="3471">
        <v>1</v>
      </c>
      <c r="AC24" s="3471">
        <v>1</v>
      </c>
    </row>
    <row r="25" spans="1:29" ht="15">
      <c r="A25" s="379"/>
      <c r="B25" s="375" t="s">
        <v>1780</v>
      </c>
      <c r="C25" s="565" t="s">
        <v>3468</v>
      </c>
      <c r="D25" s="386">
        <v>100</v>
      </c>
      <c r="E25" s="565" t="s">
        <v>3468</v>
      </c>
      <c r="F25" s="412">
        <f>SUMIF(86:86,E25,87:87)-SUMIF(86:86,C25,87:87)+100</f>
        <v>100</v>
      </c>
      <c r="G25" s="565" t="s">
        <v>3468</v>
      </c>
      <c r="H25" s="386">
        <f>SUMIF(86:86,G25,87:87)-SUMIF(86:86,C25,87:87)+100</f>
        <v>100</v>
      </c>
      <c r="I25" s="565" t="s">
        <v>3468</v>
      </c>
      <c r="J25" s="386">
        <f>SUMIF(86:86,I25,87:87)-SUMIF(86:86,C25,87:87)+100</f>
        <v>100</v>
      </c>
      <c r="K25" s="561">
        <v>2</v>
      </c>
      <c r="L25" s="2721"/>
      <c r="M25" s="2715"/>
      <c r="N25" s="2715"/>
      <c r="O25" s="2715"/>
      <c r="P25" s="3751"/>
      <c r="Q25" s="3470" t="str">
        <f t="shared" ref="Q25:Q46" si="11">B25</f>
        <v>临街状况</v>
      </c>
      <c r="R25" s="705" t="s">
        <v>14</v>
      </c>
      <c r="S25" s="706">
        <f>F25</f>
        <v>100</v>
      </c>
      <c r="T25" s="705" t="s">
        <v>14</v>
      </c>
      <c r="U25" s="706">
        <f>H25</f>
        <v>100</v>
      </c>
      <c r="V25" s="705" t="s">
        <v>14</v>
      </c>
      <c r="W25" s="706">
        <f>J25</f>
        <v>100</v>
      </c>
      <c r="X25" s="3467"/>
      <c r="Y25" s="3744"/>
      <c r="Z25" s="3468" t="str">
        <f>Q25</f>
        <v>临街状况</v>
      </c>
      <c r="AA25" s="3471">
        <f t="shared" si="3"/>
        <v>1</v>
      </c>
      <c r="AB25" s="3471">
        <f t="shared" si="4"/>
        <v>1</v>
      </c>
      <c r="AC25" s="3471">
        <f t="shared" si="5"/>
        <v>1</v>
      </c>
    </row>
    <row r="26" spans="1:29" ht="15">
      <c r="A26" s="379"/>
      <c r="B26" s="1132" t="s">
        <v>1781</v>
      </c>
      <c r="C26" s="3476" t="s">
        <v>3414</v>
      </c>
      <c r="D26" s="386">
        <v>100</v>
      </c>
      <c r="E26" s="3476" t="s">
        <v>3414</v>
      </c>
      <c r="F26" s="412">
        <f>SUMIF(88:88,E26,89:89)-SUMIF(88:88,C26,89:89)+100</f>
        <v>100</v>
      </c>
      <c r="G26" s="3476" t="s">
        <v>3414</v>
      </c>
      <c r="H26" s="386">
        <f>SUMIF(88:88,G26,89:89)-SUMIF(88:88,C26,89:89)+100</f>
        <v>100</v>
      </c>
      <c r="I26" s="3476" t="s">
        <v>3414</v>
      </c>
      <c r="J26" s="386">
        <f>SUMIF(88:88,I26,89:89)-SUMIF(88:88,C26,89:89)+100</f>
        <v>100</v>
      </c>
      <c r="K26" s="562"/>
      <c r="L26" s="2721"/>
      <c r="M26" s="2715"/>
      <c r="N26" s="2715"/>
      <c r="O26" s="2715"/>
      <c r="P26" s="3751"/>
      <c r="Q26" s="3470" t="str">
        <f t="shared" si="11"/>
        <v>平面位置/可视性</v>
      </c>
      <c r="R26" s="705" t="s">
        <v>14</v>
      </c>
      <c r="S26" s="706">
        <f>F26</f>
        <v>100</v>
      </c>
      <c r="T26" s="705" t="s">
        <v>14</v>
      </c>
      <c r="U26" s="706">
        <f>H26</f>
        <v>100</v>
      </c>
      <c r="V26" s="705" t="s">
        <v>14</v>
      </c>
      <c r="W26" s="706">
        <f>J26</f>
        <v>100</v>
      </c>
      <c r="X26" s="3467"/>
      <c r="Y26" s="3744"/>
      <c r="Z26" s="3468" t="str">
        <f>Q26</f>
        <v>平面位置/可视性</v>
      </c>
      <c r="AA26" s="3471">
        <f t="shared" si="3"/>
        <v>1</v>
      </c>
      <c r="AB26" s="3471">
        <f t="shared" si="4"/>
        <v>1</v>
      </c>
      <c r="AC26" s="3471">
        <f t="shared" si="5"/>
        <v>1</v>
      </c>
    </row>
    <row r="27" spans="1:29" s="108" customFormat="1" ht="15">
      <c r="A27" s="382"/>
      <c r="B27" s="402" t="s">
        <v>1782</v>
      </c>
      <c r="C27" s="1955" t="s">
        <v>3415</v>
      </c>
      <c r="D27" s="413">
        <v>100</v>
      </c>
      <c r="E27" s="1955" t="s">
        <v>3415</v>
      </c>
      <c r="F27" s="415">
        <f>SUMIF(90:90,E27,91:91)-SUMIF(90:90,C27,91:91)+100</f>
        <v>100</v>
      </c>
      <c r="G27" s="1955" t="s">
        <v>3412</v>
      </c>
      <c r="H27" s="413">
        <f>SUMIF(90:90,G27,91:91)-SUMIF(90:90,C27,91:91)+100</f>
        <v>95</v>
      </c>
      <c r="I27" s="1955" t="s">
        <v>3412</v>
      </c>
      <c r="J27" s="413">
        <f>SUMIF(90:90,I27,91:91)-SUMIF(90:90,C27,91:91)+100</f>
        <v>95</v>
      </c>
      <c r="K27" s="561">
        <v>5</v>
      </c>
      <c r="L27" s="2716"/>
      <c r="M27" s="2717"/>
      <c r="N27" s="2717"/>
      <c r="O27" s="2717"/>
      <c r="P27" s="3751"/>
      <c r="Q27" s="3466" t="str">
        <f t="shared" si="11"/>
        <v>人流量</v>
      </c>
      <c r="R27" s="701" t="s">
        <v>14</v>
      </c>
      <c r="S27" s="702">
        <f>F27</f>
        <v>100</v>
      </c>
      <c r="T27" s="701" t="s">
        <v>14</v>
      </c>
      <c r="U27" s="702">
        <f>H27</f>
        <v>95</v>
      </c>
      <c r="V27" s="701" t="s">
        <v>14</v>
      </c>
      <c r="W27" s="702">
        <f>J27</f>
        <v>95</v>
      </c>
      <c r="X27" s="703"/>
      <c r="Y27" s="3744"/>
      <c r="Z27" s="3465" t="str">
        <f>Q27</f>
        <v>人流量</v>
      </c>
      <c r="AA27" s="3471">
        <f>D27/F27</f>
        <v>1</v>
      </c>
      <c r="AB27" s="3471">
        <f>D27/H27</f>
        <v>1.0526315789473684</v>
      </c>
      <c r="AC27" s="3471">
        <f>D27/J27</f>
        <v>1.0526315789473684</v>
      </c>
    </row>
    <row r="28" spans="1:29" ht="15">
      <c r="A28" s="379"/>
      <c r="B28" s="375" t="s">
        <v>1783</v>
      </c>
      <c r="C28" s="565" t="s">
        <v>3425</v>
      </c>
      <c r="D28" s="386">
        <v>100</v>
      </c>
      <c r="E28" s="565" t="s">
        <v>3426</v>
      </c>
      <c r="F28" s="412">
        <f>SUMIF(92:92,E28,93:93)-SUMIF(92:92,C28,93:93)+100</f>
        <v>118</v>
      </c>
      <c r="G28" s="565" t="s">
        <v>3426</v>
      </c>
      <c r="H28" s="386">
        <f>SUMIF(92:92,G28,93:93)-SUMIF(92:92,C28,93:93)+100</f>
        <v>118</v>
      </c>
      <c r="I28" s="565" t="s">
        <v>3426</v>
      </c>
      <c r="J28" s="386">
        <f>SUMIF(92:92,I28,93:93)-SUMIF(92:92,C28,93:93)+100</f>
        <v>118</v>
      </c>
      <c r="K28" s="562"/>
      <c r="L28" s="2721"/>
      <c r="M28" s="2715"/>
      <c r="N28" s="2715"/>
      <c r="O28" s="2715"/>
      <c r="P28" s="3751"/>
      <c r="Q28" s="3470" t="str">
        <f t="shared" si="11"/>
        <v>楼层</v>
      </c>
      <c r="R28" s="705" t="s">
        <v>14</v>
      </c>
      <c r="S28" s="706">
        <f t="shared" ref="S28:S46" si="12">F28</f>
        <v>118</v>
      </c>
      <c r="T28" s="705" t="s">
        <v>14</v>
      </c>
      <c r="U28" s="706">
        <f t="shared" ref="U28:U46" si="13">H28</f>
        <v>118</v>
      </c>
      <c r="V28" s="705" t="s">
        <v>14</v>
      </c>
      <c r="W28" s="706">
        <f t="shared" ref="W28:W46" si="14">J28</f>
        <v>118</v>
      </c>
      <c r="X28" s="3467"/>
      <c r="Y28" s="3744"/>
      <c r="Z28" s="3468" t="str">
        <f t="shared" ref="Z28:Z46" si="15">Q28</f>
        <v>楼层</v>
      </c>
      <c r="AA28" s="3471">
        <f t="shared" si="3"/>
        <v>0.84745762711864403</v>
      </c>
      <c r="AB28" s="3471">
        <f t="shared" si="4"/>
        <v>0.84745762711864403</v>
      </c>
      <c r="AC28" s="3471">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1"/>
      <c r="Q29" s="3470">
        <f t="shared" si="11"/>
        <v>111</v>
      </c>
      <c r="R29" s="705" t="s">
        <v>14</v>
      </c>
      <c r="S29" s="706">
        <f t="shared" si="12"/>
        <v>100</v>
      </c>
      <c r="T29" s="705" t="s">
        <v>14</v>
      </c>
      <c r="U29" s="706">
        <f t="shared" si="13"/>
        <v>100</v>
      </c>
      <c r="V29" s="705" t="s">
        <v>14</v>
      </c>
      <c r="W29" s="706">
        <f t="shared" si="14"/>
        <v>100</v>
      </c>
      <c r="X29" s="3467"/>
      <c r="Y29" s="3744"/>
      <c r="Z29" s="3468">
        <f t="shared" si="15"/>
        <v>111</v>
      </c>
      <c r="AA29" s="3471">
        <f t="shared" si="3"/>
        <v>1</v>
      </c>
      <c r="AB29" s="3471">
        <f t="shared" si="4"/>
        <v>1</v>
      </c>
      <c r="AC29" s="347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1"/>
      <c r="Q30" s="3470">
        <f t="shared" si="11"/>
        <v>111</v>
      </c>
      <c r="R30" s="705" t="s">
        <v>14</v>
      </c>
      <c r="S30" s="706">
        <f t="shared" si="12"/>
        <v>100</v>
      </c>
      <c r="T30" s="705" t="s">
        <v>14</v>
      </c>
      <c r="U30" s="706">
        <f t="shared" si="13"/>
        <v>100</v>
      </c>
      <c r="V30" s="705" t="s">
        <v>14</v>
      </c>
      <c r="W30" s="706">
        <f t="shared" si="14"/>
        <v>100</v>
      </c>
      <c r="X30" s="3467"/>
      <c r="Y30" s="3744"/>
      <c r="Z30" s="3468">
        <f t="shared" si="15"/>
        <v>111</v>
      </c>
      <c r="AA30" s="3471">
        <f t="shared" si="3"/>
        <v>1</v>
      </c>
      <c r="AB30" s="3471">
        <f t="shared" si="4"/>
        <v>1</v>
      </c>
      <c r="AC30" s="347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1"/>
      <c r="Q31" s="3470">
        <f t="shared" si="11"/>
        <v>111</v>
      </c>
      <c r="R31" s="705" t="s">
        <v>14</v>
      </c>
      <c r="S31" s="706">
        <f t="shared" si="12"/>
        <v>100</v>
      </c>
      <c r="T31" s="705" t="s">
        <v>14</v>
      </c>
      <c r="U31" s="706">
        <f t="shared" si="13"/>
        <v>100</v>
      </c>
      <c r="V31" s="705" t="s">
        <v>14</v>
      </c>
      <c r="W31" s="706">
        <f t="shared" si="14"/>
        <v>100</v>
      </c>
      <c r="X31" s="3467"/>
      <c r="Y31" s="3744"/>
      <c r="Z31" s="3468">
        <f t="shared" si="15"/>
        <v>111</v>
      </c>
      <c r="AA31" s="3471">
        <f t="shared" si="3"/>
        <v>1</v>
      </c>
      <c r="AB31" s="3471">
        <f t="shared" si="4"/>
        <v>1</v>
      </c>
      <c r="AC31" s="3471">
        <f t="shared" si="5"/>
        <v>1</v>
      </c>
    </row>
    <row r="32" spans="1:29" ht="15">
      <c r="A32" s="391" t="s">
        <v>1694</v>
      </c>
      <c r="B32" s="63" t="s">
        <v>1784</v>
      </c>
      <c r="C32" s="1909" t="s">
        <v>3428</v>
      </c>
      <c r="D32" s="418">
        <v>100</v>
      </c>
      <c r="E32" s="1909" t="s">
        <v>3430</v>
      </c>
      <c r="F32" s="412">
        <f>SUMIF(100:100,E32,101:101)-SUMIF(100:100,C32,101:101)+100</f>
        <v>97</v>
      </c>
      <c r="G32" s="1909" t="s">
        <v>3428</v>
      </c>
      <c r="H32" s="386">
        <f>SUMIF(100:100,G32,101:101)-SUMIF(100:100,C32,101:101)+100</f>
        <v>100</v>
      </c>
      <c r="I32" s="1909" t="s">
        <v>3428</v>
      </c>
      <c r="J32" s="418">
        <f>SUMIF(100:100,I32,101:101)-SUMIF(100:100,C32,101:101)+100</f>
        <v>100</v>
      </c>
      <c r="K32" s="561">
        <v>3</v>
      </c>
      <c r="L32" s="2721"/>
      <c r="M32" s="2715"/>
      <c r="N32" s="2715"/>
      <c r="O32" s="2715"/>
      <c r="P32" s="3745" t="s">
        <v>1696</v>
      </c>
      <c r="Q32" s="3470" t="str">
        <f t="shared" si="11"/>
        <v>商业类型</v>
      </c>
      <c r="R32" s="705" t="s">
        <v>14</v>
      </c>
      <c r="S32" s="706">
        <f t="shared" si="12"/>
        <v>97</v>
      </c>
      <c r="T32" s="705" t="s">
        <v>14</v>
      </c>
      <c r="U32" s="706">
        <f t="shared" si="13"/>
        <v>100</v>
      </c>
      <c r="V32" s="705" t="s">
        <v>14</v>
      </c>
      <c r="W32" s="706">
        <f t="shared" si="14"/>
        <v>100</v>
      </c>
      <c r="X32" s="3467"/>
      <c r="Y32" s="3748" t="s">
        <v>1696</v>
      </c>
      <c r="Z32" s="3468" t="str">
        <f t="shared" si="15"/>
        <v>商业类型</v>
      </c>
      <c r="AA32" s="3471">
        <f t="shared" si="3"/>
        <v>1.0309278350515463</v>
      </c>
      <c r="AB32" s="3471">
        <f t="shared" si="4"/>
        <v>1</v>
      </c>
      <c r="AC32" s="3471">
        <f t="shared" si="5"/>
        <v>1</v>
      </c>
    </row>
    <row r="33" spans="1:29" s="422" customFormat="1" ht="15">
      <c r="A33" s="419"/>
      <c r="B33" s="375" t="s">
        <v>1697</v>
      </c>
      <c r="C33" s="420">
        <v>207.28</v>
      </c>
      <c r="D33" s="127">
        <v>100</v>
      </c>
      <c r="E33" s="381">
        <v>44</v>
      </c>
      <c r="F33" s="376">
        <f>LOOKUP(E33,103:103,104:104)-LOOKUP(C33,103:103,104:104)+100</f>
        <v>102</v>
      </c>
      <c r="G33" s="380">
        <v>110</v>
      </c>
      <c r="H33" s="127">
        <f>LOOKUP(G33,103:103,104:104)-LOOKUP(C33,103:103,104:104)+100</f>
        <v>101</v>
      </c>
      <c r="I33" s="380">
        <v>85</v>
      </c>
      <c r="J33" s="127">
        <f>LOOKUP(I33,103:103,104:104)-LOOKUP(C33,103:103,104:104)+100</f>
        <v>102</v>
      </c>
      <c r="K33" s="562"/>
      <c r="L33" s="2720"/>
      <c r="M33" s="2722"/>
      <c r="N33" s="2722"/>
      <c r="O33" s="2722"/>
      <c r="P33" s="3746"/>
      <c r="Q33" s="707" t="str">
        <f t="shared" si="11"/>
        <v>项目建筑规模</v>
      </c>
      <c r="R33" s="708" t="s">
        <v>14</v>
      </c>
      <c r="S33" s="709">
        <f t="shared" si="12"/>
        <v>102</v>
      </c>
      <c r="T33" s="708" t="s">
        <v>14</v>
      </c>
      <c r="U33" s="709">
        <f t="shared" si="13"/>
        <v>101</v>
      </c>
      <c r="V33" s="708" t="s">
        <v>14</v>
      </c>
      <c r="W33" s="709">
        <f t="shared" si="14"/>
        <v>102</v>
      </c>
      <c r="X33" s="710"/>
      <c r="Y33" s="3748"/>
      <c r="Z33" s="711" t="str">
        <f t="shared" si="15"/>
        <v>项目建筑规模</v>
      </c>
      <c r="AA33" s="3471">
        <f t="shared" si="3"/>
        <v>0.98039215686274506</v>
      </c>
      <c r="AB33" s="3471">
        <f t="shared" si="4"/>
        <v>0.99009900990099009</v>
      </c>
      <c r="AC33" s="3471">
        <f t="shared" si="5"/>
        <v>0.98039215686274506</v>
      </c>
    </row>
    <row r="34" spans="1:29" ht="15">
      <c r="A34" s="423"/>
      <c r="B34" s="375" t="s">
        <v>1698</v>
      </c>
      <c r="C34" s="1911" t="s">
        <v>3432</v>
      </c>
      <c r="D34" s="386">
        <v>100</v>
      </c>
      <c r="E34" s="1911" t="s">
        <v>3432</v>
      </c>
      <c r="F34" s="412">
        <f>SUMIF(105:105,E34,106:106)-SUMIF(105:105,C34,106:106)+100</f>
        <v>100</v>
      </c>
      <c r="G34" s="1911" t="s">
        <v>3432</v>
      </c>
      <c r="H34" s="386">
        <f>SUMIF(105:105,G34,106:106)-SUMIF(105:105,C34,106:106)+100</f>
        <v>100</v>
      </c>
      <c r="I34" s="1911" t="s">
        <v>3432</v>
      </c>
      <c r="J34" s="386">
        <f>SUMIF(105:105,I34,106:106)-SUMIF(105:105,C34,106:106)+100</f>
        <v>100</v>
      </c>
      <c r="K34" s="561">
        <v>1</v>
      </c>
      <c r="L34" s="2721"/>
      <c r="M34" s="2715"/>
      <c r="N34" s="2715"/>
      <c r="O34" s="2715"/>
      <c r="P34" s="3746"/>
      <c r="Q34" s="3470" t="str">
        <f t="shared" si="11"/>
        <v>建筑结构</v>
      </c>
      <c r="R34" s="705" t="s">
        <v>14</v>
      </c>
      <c r="S34" s="706">
        <f t="shared" si="12"/>
        <v>100</v>
      </c>
      <c r="T34" s="705" t="s">
        <v>14</v>
      </c>
      <c r="U34" s="706">
        <f t="shared" si="13"/>
        <v>100</v>
      </c>
      <c r="V34" s="705" t="s">
        <v>14</v>
      </c>
      <c r="W34" s="706">
        <f t="shared" si="14"/>
        <v>100</v>
      </c>
      <c r="X34" s="3467"/>
      <c r="Y34" s="3748"/>
      <c r="Z34" s="3468" t="str">
        <f t="shared" si="15"/>
        <v>建筑结构</v>
      </c>
      <c r="AA34" s="3471">
        <f t="shared" si="3"/>
        <v>1</v>
      </c>
      <c r="AB34" s="3471">
        <f t="shared" si="4"/>
        <v>1</v>
      </c>
      <c r="AC34" s="3471">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6"/>
      <c r="Q35" s="3470" t="str">
        <f t="shared" si="11"/>
        <v>公共部分装修</v>
      </c>
      <c r="R35" s="705" t="s">
        <v>14</v>
      </c>
      <c r="S35" s="706">
        <f t="shared" si="12"/>
        <v>100</v>
      </c>
      <c r="T35" s="705" t="s">
        <v>14</v>
      </c>
      <c r="U35" s="706">
        <f t="shared" si="13"/>
        <v>100</v>
      </c>
      <c r="V35" s="705" t="s">
        <v>14</v>
      </c>
      <c r="W35" s="706">
        <f t="shared" si="14"/>
        <v>100</v>
      </c>
      <c r="X35" s="3467"/>
      <c r="Y35" s="3748"/>
      <c r="Z35" s="3468" t="str">
        <f t="shared" si="15"/>
        <v>公共部分装修</v>
      </c>
      <c r="AA35" s="3471">
        <f t="shared" si="3"/>
        <v>1</v>
      </c>
      <c r="AB35" s="3471">
        <f t="shared" si="4"/>
        <v>1</v>
      </c>
      <c r="AC35" s="3471">
        <f t="shared" si="5"/>
        <v>1</v>
      </c>
    </row>
    <row r="36" spans="1:29" ht="15">
      <c r="A36" s="423"/>
      <c r="B36" s="375" t="s">
        <v>1786</v>
      </c>
      <c r="C36" s="425">
        <f>'数据-取费表'!N6</f>
        <v>0.73</v>
      </c>
      <c r="D36" s="386">
        <v>100</v>
      </c>
      <c r="E36" s="425">
        <v>0.7</v>
      </c>
      <c r="F36" s="412">
        <f>LOOKUP(E36,110:110,111:111)-LOOKUP(C36,110:110,111:111)+100</f>
        <v>100</v>
      </c>
      <c r="G36" s="425">
        <v>0.75</v>
      </c>
      <c r="H36" s="412">
        <f>LOOKUP(G36,110:110,111:111)-LOOKUP(C36,110:110,111:111)+100</f>
        <v>100</v>
      </c>
      <c r="I36" s="425">
        <v>0.65</v>
      </c>
      <c r="J36" s="386">
        <f>LOOKUP(I36,110:110,111:111)-LOOKUP(C36,110:110,111:111)+100</f>
        <v>99</v>
      </c>
      <c r="K36" s="561">
        <v>1</v>
      </c>
      <c r="L36" s="2721"/>
      <c r="M36" s="2715"/>
      <c r="N36" s="2715"/>
      <c r="O36" s="2715"/>
      <c r="P36" s="3746"/>
      <c r="Q36" s="3470" t="str">
        <f t="shared" si="11"/>
        <v>成新度</v>
      </c>
      <c r="R36" s="705" t="s">
        <v>14</v>
      </c>
      <c r="S36" s="706">
        <f t="shared" si="12"/>
        <v>100</v>
      </c>
      <c r="T36" s="705" t="s">
        <v>14</v>
      </c>
      <c r="U36" s="706">
        <f t="shared" si="13"/>
        <v>100</v>
      </c>
      <c r="V36" s="705" t="s">
        <v>14</v>
      </c>
      <c r="W36" s="706">
        <f t="shared" si="14"/>
        <v>99</v>
      </c>
      <c r="X36" s="3467"/>
      <c r="Y36" s="3748"/>
      <c r="Z36" s="3468" t="str">
        <f t="shared" si="15"/>
        <v>成新度</v>
      </c>
      <c r="AA36" s="3471">
        <f t="shared" si="3"/>
        <v>1</v>
      </c>
      <c r="AB36" s="3471">
        <f t="shared" si="4"/>
        <v>1</v>
      </c>
      <c r="AC36" s="3471">
        <f t="shared" si="5"/>
        <v>1.0101010101010102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6"/>
      <c r="Q37" s="3466" t="str">
        <f t="shared" si="11"/>
        <v>市政基础设施</v>
      </c>
      <c r="R37" s="701" t="s">
        <v>14</v>
      </c>
      <c r="S37" s="702">
        <f t="shared" si="12"/>
        <v>100</v>
      </c>
      <c r="T37" s="701" t="s">
        <v>14</v>
      </c>
      <c r="U37" s="702">
        <f t="shared" si="13"/>
        <v>100</v>
      </c>
      <c r="V37" s="701" t="s">
        <v>14</v>
      </c>
      <c r="W37" s="702">
        <f t="shared" si="14"/>
        <v>100</v>
      </c>
      <c r="X37" s="703"/>
      <c r="Y37" s="3748"/>
      <c r="Z37" s="3465" t="str">
        <f t="shared" si="15"/>
        <v>市政基础设施</v>
      </c>
      <c r="AA37" s="704">
        <f t="shared" si="3"/>
        <v>1</v>
      </c>
      <c r="AB37" s="704">
        <f t="shared" si="4"/>
        <v>1</v>
      </c>
      <c r="AC37" s="704">
        <f t="shared" si="5"/>
        <v>1</v>
      </c>
    </row>
    <row r="38" spans="1:29" ht="15">
      <c r="A38" s="423"/>
      <c r="B38" s="375" t="s">
        <v>1788</v>
      </c>
      <c r="C38" s="1905" t="s">
        <v>3435</v>
      </c>
      <c r="D38" s="386">
        <v>100</v>
      </c>
      <c r="E38" s="1905" t="s">
        <v>3437</v>
      </c>
      <c r="F38" s="412">
        <f>SUMIF(114:114,E38,115:115)-SUMIF(114:114,C38,115:115)+100</f>
        <v>95</v>
      </c>
      <c r="G38" s="1905" t="s">
        <v>3437</v>
      </c>
      <c r="H38" s="386">
        <f>SUMIF(114:114,G38,115:115)-SUMIF(114:114,C38,115:115)+100</f>
        <v>95</v>
      </c>
      <c r="I38" s="1905" t="s">
        <v>3435</v>
      </c>
      <c r="J38" s="386">
        <f>SUMIF(114:114,I38,115:115)-SUMIF(114:114,C38,115:115)+100</f>
        <v>100</v>
      </c>
      <c r="K38" s="561">
        <v>5</v>
      </c>
      <c r="L38" s="2721"/>
      <c r="M38" s="2715"/>
      <c r="N38" s="2715"/>
      <c r="O38" s="2715"/>
      <c r="P38" s="3746" t="s">
        <v>1696</v>
      </c>
      <c r="Q38" s="3470" t="str">
        <f t="shared" si="11"/>
        <v>业态</v>
      </c>
      <c r="R38" s="705" t="s">
        <v>14</v>
      </c>
      <c r="S38" s="706">
        <f t="shared" si="12"/>
        <v>95</v>
      </c>
      <c r="T38" s="705" t="s">
        <v>14</v>
      </c>
      <c r="U38" s="706">
        <f t="shared" si="13"/>
        <v>95</v>
      </c>
      <c r="V38" s="705" t="s">
        <v>14</v>
      </c>
      <c r="W38" s="706">
        <f t="shared" si="14"/>
        <v>100</v>
      </c>
      <c r="X38" s="3467"/>
      <c r="Y38" s="3748" t="s">
        <v>1696</v>
      </c>
      <c r="Z38" s="3468" t="str">
        <f t="shared" si="15"/>
        <v>业态</v>
      </c>
      <c r="AA38" s="3471">
        <f t="shared" si="3"/>
        <v>1.0526315789473684</v>
      </c>
      <c r="AB38" s="3471">
        <f t="shared" si="4"/>
        <v>1.0526315789473684</v>
      </c>
      <c r="AC38" s="3471">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6"/>
      <c r="Q39" s="3470" t="str">
        <f t="shared" si="11"/>
        <v>层高</v>
      </c>
      <c r="R39" s="705" t="s">
        <v>14</v>
      </c>
      <c r="S39" s="706">
        <f t="shared" si="12"/>
        <v>100</v>
      </c>
      <c r="T39" s="705" t="s">
        <v>14</v>
      </c>
      <c r="U39" s="706">
        <f t="shared" si="13"/>
        <v>100</v>
      </c>
      <c r="V39" s="705" t="s">
        <v>14</v>
      </c>
      <c r="W39" s="706">
        <f t="shared" si="14"/>
        <v>100</v>
      </c>
      <c r="X39" s="3467"/>
      <c r="Y39" s="3748"/>
      <c r="Z39" s="3468" t="str">
        <f t="shared" si="15"/>
        <v>层高</v>
      </c>
      <c r="AA39" s="3471">
        <f t="shared" si="3"/>
        <v>1</v>
      </c>
      <c r="AB39" s="3471">
        <f t="shared" si="4"/>
        <v>1</v>
      </c>
      <c r="AC39" s="347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6"/>
      <c r="Q40" s="3470" t="str">
        <f t="shared" si="11"/>
        <v>单套建筑面积</v>
      </c>
      <c r="R40" s="705" t="s">
        <v>14</v>
      </c>
      <c r="S40" s="706">
        <f t="shared" si="12"/>
        <v>100</v>
      </c>
      <c r="T40" s="705" t="s">
        <v>14</v>
      </c>
      <c r="U40" s="706">
        <f t="shared" si="13"/>
        <v>100</v>
      </c>
      <c r="V40" s="705" t="s">
        <v>14</v>
      </c>
      <c r="W40" s="706">
        <f t="shared" si="14"/>
        <v>100</v>
      </c>
      <c r="X40" s="3467"/>
      <c r="Y40" s="3748"/>
      <c r="Z40" s="3468" t="str">
        <f t="shared" si="15"/>
        <v>单套建筑面积</v>
      </c>
      <c r="AA40" s="3471">
        <f t="shared" si="3"/>
        <v>1</v>
      </c>
      <c r="AB40" s="3471">
        <f t="shared" si="4"/>
        <v>1</v>
      </c>
      <c r="AC40" s="3471">
        <f t="shared" si="5"/>
        <v>1</v>
      </c>
    </row>
    <row r="41" spans="1:29" s="422" customFormat="1" ht="15">
      <c r="A41" s="419"/>
      <c r="B41" s="346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6"/>
      <c r="Q41" s="707" t="str">
        <f t="shared" si="11"/>
        <v>进深比</v>
      </c>
      <c r="R41" s="708" t="s">
        <v>14</v>
      </c>
      <c r="S41" s="709">
        <f t="shared" si="12"/>
        <v>100</v>
      </c>
      <c r="T41" s="708" t="s">
        <v>14</v>
      </c>
      <c r="U41" s="709">
        <f t="shared" si="13"/>
        <v>100</v>
      </c>
      <c r="V41" s="708" t="s">
        <v>14</v>
      </c>
      <c r="W41" s="709">
        <f t="shared" si="14"/>
        <v>100</v>
      </c>
      <c r="X41" s="710"/>
      <c r="Y41" s="3748"/>
      <c r="Z41" s="711" t="str">
        <f t="shared" si="15"/>
        <v>进深比</v>
      </c>
      <c r="AA41" s="3471">
        <f t="shared" si="3"/>
        <v>1</v>
      </c>
      <c r="AB41" s="3471">
        <f t="shared" si="4"/>
        <v>1</v>
      </c>
      <c r="AC41" s="3471">
        <f t="shared" si="5"/>
        <v>1</v>
      </c>
    </row>
    <row r="42" spans="1:29" ht="15">
      <c r="A42" s="423"/>
      <c r="B42" s="375" t="s">
        <v>1792</v>
      </c>
      <c r="C42" s="1905" t="s">
        <v>3440</v>
      </c>
      <c r="D42" s="386">
        <v>100</v>
      </c>
      <c r="E42" s="1905" t="s">
        <v>3440</v>
      </c>
      <c r="F42" s="412">
        <f>SUMIF(122:122,E42,123:123)-SUMIF(122:122,C42,123:123)+100</f>
        <v>100</v>
      </c>
      <c r="G42" s="1905" t="s">
        <v>3440</v>
      </c>
      <c r="H42" s="386">
        <f>SUMIF(122:122,G42,123:123)-SUMIF(122:122,C42,123:123)+100</f>
        <v>100</v>
      </c>
      <c r="I42" s="1905" t="s">
        <v>3440</v>
      </c>
      <c r="J42" s="386">
        <f>SUMIF(122:122,I42,123:123)-SUMIF(122:122,C42,123:123)+100</f>
        <v>100</v>
      </c>
      <c r="K42" s="561">
        <v>1</v>
      </c>
      <c r="L42" s="2721"/>
      <c r="M42" s="2715"/>
      <c r="N42" s="2715"/>
      <c r="O42" s="2715"/>
      <c r="P42" s="3746"/>
      <c r="Q42" s="3470" t="str">
        <f t="shared" si="11"/>
        <v>内部装修</v>
      </c>
      <c r="R42" s="705" t="s">
        <v>14</v>
      </c>
      <c r="S42" s="706">
        <f t="shared" si="12"/>
        <v>100</v>
      </c>
      <c r="T42" s="705" t="s">
        <v>14</v>
      </c>
      <c r="U42" s="706">
        <f t="shared" si="13"/>
        <v>100</v>
      </c>
      <c r="V42" s="705" t="s">
        <v>14</v>
      </c>
      <c r="W42" s="706">
        <f t="shared" si="14"/>
        <v>100</v>
      </c>
      <c r="X42" s="3467"/>
      <c r="Y42" s="3748"/>
      <c r="Z42" s="3468" t="str">
        <f t="shared" si="15"/>
        <v>内部装修</v>
      </c>
      <c r="AA42" s="3471">
        <f t="shared" si="3"/>
        <v>1</v>
      </c>
      <c r="AB42" s="3471">
        <f t="shared" si="4"/>
        <v>1</v>
      </c>
      <c r="AC42" s="3471">
        <f t="shared" si="5"/>
        <v>1</v>
      </c>
    </row>
    <row r="43" spans="1:29" ht="28.8">
      <c r="A43" s="423"/>
      <c r="B43" s="375" t="s">
        <v>1707</v>
      </c>
      <c r="C43" s="1905" t="s">
        <v>3411</v>
      </c>
      <c r="D43" s="386">
        <v>100</v>
      </c>
      <c r="E43" s="1905" t="s">
        <v>3411</v>
      </c>
      <c r="F43" s="412">
        <f>SUMIF(124:124,E43,125:125)-SUMIF(124:124,C43,125:125)+100</f>
        <v>100</v>
      </c>
      <c r="G43" s="1905" t="s">
        <v>3411</v>
      </c>
      <c r="H43" s="386">
        <f>SUMIF(124:124,G43,125:125)-SUMIF(124:124,C43,125:125)+100</f>
        <v>100</v>
      </c>
      <c r="I43" s="1905" t="s">
        <v>3411</v>
      </c>
      <c r="J43" s="386">
        <f>SUMIF(124:124,I43,125:125)-SUMIF(124:124,C43,125:125)+100</f>
        <v>100</v>
      </c>
      <c r="K43" s="561"/>
      <c r="L43" s="2721"/>
      <c r="M43" s="2715"/>
      <c r="N43" s="2715"/>
      <c r="O43" s="2715"/>
      <c r="P43" s="3746"/>
      <c r="Q43" s="3470" t="str">
        <f t="shared" si="11"/>
        <v>内部装修维护情况</v>
      </c>
      <c r="R43" s="705" t="s">
        <v>14</v>
      </c>
      <c r="S43" s="706">
        <f t="shared" si="12"/>
        <v>100</v>
      </c>
      <c r="T43" s="705" t="s">
        <v>14</v>
      </c>
      <c r="U43" s="706">
        <f t="shared" si="13"/>
        <v>100</v>
      </c>
      <c r="V43" s="705" t="s">
        <v>14</v>
      </c>
      <c r="W43" s="706">
        <f t="shared" si="14"/>
        <v>100</v>
      </c>
      <c r="X43" s="3467"/>
      <c r="Y43" s="3748"/>
      <c r="Z43" s="3468" t="str">
        <f t="shared" si="15"/>
        <v>内部装修维护情况</v>
      </c>
      <c r="AA43" s="3471">
        <f t="shared" si="3"/>
        <v>1</v>
      </c>
      <c r="AB43" s="3471">
        <f t="shared" si="4"/>
        <v>1</v>
      </c>
      <c r="AC43" s="347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6"/>
      <c r="Q44" s="3466">
        <f t="shared" si="11"/>
        <v>111</v>
      </c>
      <c r="R44" s="701" t="s">
        <v>14</v>
      </c>
      <c r="S44" s="702">
        <f t="shared" si="12"/>
        <v>100</v>
      </c>
      <c r="T44" s="701" t="s">
        <v>14</v>
      </c>
      <c r="U44" s="702">
        <f t="shared" si="13"/>
        <v>100</v>
      </c>
      <c r="V44" s="701" t="s">
        <v>14</v>
      </c>
      <c r="W44" s="702">
        <f t="shared" si="14"/>
        <v>100</v>
      </c>
      <c r="X44" s="703"/>
      <c r="Y44" s="3748"/>
      <c r="Z44" s="3465">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6"/>
      <c r="Q45" s="3470">
        <f t="shared" si="11"/>
        <v>111</v>
      </c>
      <c r="R45" s="705" t="s">
        <v>14</v>
      </c>
      <c r="S45" s="706">
        <f t="shared" si="12"/>
        <v>100</v>
      </c>
      <c r="T45" s="705" t="s">
        <v>14</v>
      </c>
      <c r="U45" s="706">
        <f t="shared" si="13"/>
        <v>100</v>
      </c>
      <c r="V45" s="705" t="s">
        <v>14</v>
      </c>
      <c r="W45" s="706">
        <f t="shared" si="14"/>
        <v>100</v>
      </c>
      <c r="X45" s="3467"/>
      <c r="Y45" s="3748"/>
      <c r="Z45" s="3468">
        <f t="shared" si="15"/>
        <v>111</v>
      </c>
      <c r="AA45" s="3471">
        <f t="shared" si="3"/>
        <v>1</v>
      </c>
      <c r="AB45" s="3471">
        <f t="shared" si="4"/>
        <v>1</v>
      </c>
      <c r="AC45" s="3471">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7"/>
      <c r="Q46" s="3470">
        <f t="shared" si="11"/>
        <v>111</v>
      </c>
      <c r="R46" s="705" t="s">
        <v>14</v>
      </c>
      <c r="S46" s="706">
        <f t="shared" si="12"/>
        <v>100</v>
      </c>
      <c r="T46" s="705" t="s">
        <v>14</v>
      </c>
      <c r="U46" s="706">
        <f t="shared" si="13"/>
        <v>100</v>
      </c>
      <c r="V46" s="705" t="s">
        <v>14</v>
      </c>
      <c r="W46" s="706">
        <f t="shared" si="14"/>
        <v>100</v>
      </c>
      <c r="X46" s="3467"/>
      <c r="Y46" s="3749"/>
      <c r="Z46" s="3468">
        <f t="shared" si="15"/>
        <v>111</v>
      </c>
      <c r="AA46" s="3471">
        <f t="shared" si="3"/>
        <v>1</v>
      </c>
      <c r="AB46" s="3471">
        <f t="shared" si="4"/>
        <v>1</v>
      </c>
      <c r="AC46" s="3471">
        <f t="shared" si="5"/>
        <v>1</v>
      </c>
    </row>
    <row r="47" spans="1:29" ht="14.4">
      <c r="A47" s="430" t="s">
        <v>1708</v>
      </c>
      <c r="B47" s="431"/>
      <c r="C47" s="1153" t="s">
        <v>0</v>
      </c>
      <c r="D47" s="1154"/>
      <c r="E47" s="1155">
        <v>3.41</v>
      </c>
      <c r="F47" s="1156"/>
      <c r="G47" s="1157">
        <v>3.03</v>
      </c>
      <c r="H47" s="1158"/>
      <c r="I47" s="1155">
        <v>3</v>
      </c>
      <c r="J47" s="1158"/>
      <c r="K47" s="714"/>
      <c r="L47" s="2723"/>
      <c r="M47" s="2724"/>
      <c r="N47" s="2715"/>
      <c r="O47" s="2724"/>
      <c r="P47" s="3741" t="str">
        <f>A47</f>
        <v>成交单价（元/平方米）</v>
      </c>
      <c r="Q47" s="3741"/>
      <c r="R47" s="3736">
        <f>E47</f>
        <v>3.41</v>
      </c>
      <c r="S47" s="3736"/>
      <c r="T47" s="3736">
        <f>G47</f>
        <v>3.03</v>
      </c>
      <c r="U47" s="3736"/>
      <c r="V47" s="3736">
        <f>I47</f>
        <v>3</v>
      </c>
      <c r="W47" s="3736"/>
      <c r="X47" s="690"/>
      <c r="Y47" s="712"/>
      <c r="Z47" s="690"/>
      <c r="AA47" s="690"/>
      <c r="AB47" s="690"/>
      <c r="AC47" s="690"/>
    </row>
    <row r="48" spans="1:29" ht="15" thickBot="1">
      <c r="A48" s="437" t="s">
        <v>1709</v>
      </c>
      <c r="B48" s="438"/>
      <c r="C48" s="1159">
        <f>R49</f>
        <v>2.8</v>
      </c>
      <c r="D48" s="2316" t="s">
        <v>2138</v>
      </c>
      <c r="E48" s="1160">
        <f>R48</f>
        <v>3</v>
      </c>
      <c r="F48" s="2317"/>
      <c r="G48" s="1159">
        <f>T48</f>
        <v>2.8</v>
      </c>
      <c r="H48" s="2317"/>
      <c r="I48" s="1160">
        <f>V48</f>
        <v>2.6</v>
      </c>
      <c r="J48" s="2317"/>
      <c r="K48" s="2319">
        <f>F48+H48+J48</f>
        <v>0</v>
      </c>
      <c r="L48" s="2723"/>
      <c r="M48" s="2724"/>
      <c r="N48" s="2715"/>
      <c r="O48" s="2724"/>
      <c r="P48" s="3741" t="str">
        <f>A48</f>
        <v>比较价值（元/平方米）</v>
      </c>
      <c r="Q48" s="3741"/>
      <c r="R48" s="3742">
        <f>IF(F1="售价",ROUND(PRODUCT(R47,AA7:AA46),0),ROUND(PRODUCT(R47,AA7:AA46),1))</f>
        <v>3</v>
      </c>
      <c r="S48" s="3742"/>
      <c r="T48" s="3742">
        <f>IF(F1="售价",ROUND(PRODUCT(T47,AB7:AB46),0),ROUND(PRODUCT(T47,AB7:AB46),1))</f>
        <v>2.8</v>
      </c>
      <c r="U48" s="3742"/>
      <c r="V48" s="3742">
        <f>IF(F1="售价",ROUND(PRODUCT(V47,AC7:AC46),0),ROUND(PRODUCT(V47,AC7:AC46),1))</f>
        <v>2.6</v>
      </c>
      <c r="W48" s="3742"/>
      <c r="X48" s="690"/>
      <c r="Y48" s="690"/>
      <c r="Z48" s="690"/>
      <c r="AA48" s="690"/>
      <c r="AB48" s="690"/>
      <c r="AC48" s="690"/>
    </row>
    <row r="49" spans="1:29" ht="15" thickBot="1">
      <c r="A49" s="441" t="s">
        <v>1710</v>
      </c>
      <c r="B49" s="442"/>
      <c r="C49" s="1162">
        <f>R49</f>
        <v>2.8</v>
      </c>
      <c r="D49" s="1162"/>
      <c r="E49" s="1162"/>
      <c r="F49" s="1162"/>
      <c r="G49" s="1162"/>
      <c r="H49" s="1162"/>
      <c r="I49" s="1162"/>
      <c r="J49" s="1162"/>
      <c r="K49" s="715"/>
      <c r="L49" s="2723"/>
      <c r="M49" s="2724"/>
      <c r="N49" s="2715"/>
      <c r="O49" s="2724"/>
      <c r="P49" s="3738" t="str">
        <f>A49</f>
        <v>估价对象XX用房的比较价值（楼面单价，元/平方米）</v>
      </c>
      <c r="Q49" s="3739"/>
      <c r="R49" s="3740">
        <f>IF(F1="售价",ROUND(IF(D48="简单平均",AVERAGE(R48:V48),R48*F48+T48*H48+V48*J48),0),ROUND(IF(D48="简单平均",AVERAGE(R48:V48),R48*F48+T48*H48+V48*J48),1))</f>
        <v>2.8</v>
      </c>
      <c r="S49" s="3740"/>
      <c r="T49" s="3740"/>
      <c r="U49" s="3740"/>
      <c r="V49" s="3740"/>
      <c r="W49" s="3740"/>
      <c r="X49" s="690"/>
      <c r="Y49" s="690"/>
      <c r="Z49" s="690"/>
      <c r="AA49" s="690"/>
      <c r="AB49" s="690"/>
      <c r="AC49" s="690"/>
    </row>
    <row r="50" spans="1:29">
      <c r="A50" s="2724"/>
      <c r="B50" s="2724"/>
      <c r="C50" s="2724"/>
      <c r="D50" s="2724"/>
      <c r="E50" s="2724"/>
      <c r="F50" s="2724"/>
      <c r="G50" s="2728">
        <f>ROUND(1-(2024-2002)/50,2)</f>
        <v>0.56000000000000005</v>
      </c>
      <c r="H50" s="2724"/>
      <c r="I50" s="2728">
        <f>ROUND(1-(2024-2011)/50,2)</f>
        <v>0.74</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0.13666666666666671</v>
      </c>
      <c r="F52" s="449" t="str">
        <f>IF(OR(E52&gt;=0.3,E52&lt;=-0.3),"超过30%","")</f>
        <v/>
      </c>
      <c r="G52" s="448">
        <f>IF(G47&lt;G48,G48/G47-1,G47/G48-1)</f>
        <v>8.2142857142857073E-2</v>
      </c>
      <c r="H52" s="449" t="str">
        <f>IF(OR(G52&gt;=0.3,G52&lt;=-0.3),"超过30%","")</f>
        <v/>
      </c>
      <c r="I52" s="448">
        <f>IF(I47&lt;I48,I48/I47-1,I47/I48-1)</f>
        <v>0.15384615384615374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7.1428571428571397E-2</v>
      </c>
      <c r="F53" s="449" t="str">
        <f>IF(OR(E53&gt;=0.2,E53&lt;=-0.2),"超过20%","")</f>
        <v/>
      </c>
      <c r="G53" s="448">
        <f>IF(G48&lt;I48,I48/G48-1,G48/I48-1)</f>
        <v>7.6923076923076872E-2</v>
      </c>
      <c r="H53" s="449" t="str">
        <f>IF(OR(G53&gt;=0.2,G53&lt;=-0.2),"超过20%","")</f>
        <v/>
      </c>
      <c r="I53" s="448">
        <f>IF(I48&lt;E48,E48/I48-1,I48/E48-1)</f>
        <v>0.15384615384615374</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0.1254125412541256</v>
      </c>
      <c r="F54" s="449" t="str">
        <f>IF(OR(E54&gt;=0.3,E54&lt;=-0.3),"超过30%","")</f>
        <v/>
      </c>
      <c r="G54" s="448">
        <f>IF(G47&lt;I47,I47/G47-1,G47/I47-1)</f>
        <v>1.0000000000000009E-2</v>
      </c>
      <c r="H54" s="449" t="str">
        <f>IF(OR(G54&gt;=0.3,G54&lt;=-0.3),"超过30%","")</f>
        <v/>
      </c>
      <c r="I54" s="448">
        <f>IF(I47&lt;E47,E47/I47-1,I47/E47-1)</f>
        <v>0.13666666666666671</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1718</v>
      </c>
      <c r="D61" s="3474" t="s">
        <v>3408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77" t="s">
        <v>3469</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 thickTop="1">
      <c r="A90" s="502"/>
      <c r="B90" s="487" t="str">
        <f>B27</f>
        <v>人流量</v>
      </c>
      <c r="C90" s="3477" t="s">
        <v>3416</v>
      </c>
      <c r="D90" s="3477" t="s">
        <v>3417</v>
      </c>
      <c r="E90" s="3477" t="s">
        <v>3418</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t="s">
        <v>3422</v>
      </c>
      <c r="O91" s="2754">
        <v>100</v>
      </c>
      <c r="P91" s="2744">
        <f>ROUND(O91*P93/O93,0)</f>
        <v>118</v>
      </c>
      <c r="Q91" s="2745"/>
      <c r="R91" s="2746"/>
      <c r="S91" s="2746"/>
      <c r="T91" s="2746"/>
      <c r="U91" s="2746"/>
      <c r="V91" s="2746"/>
      <c r="W91" s="2746"/>
      <c r="X91" s="2746"/>
      <c r="Y91" s="2746"/>
      <c r="Z91" s="2746"/>
      <c r="AA91" s="2746"/>
      <c r="AB91" s="2746"/>
      <c r="AC91" s="2746"/>
    </row>
    <row r="92" spans="1:29" ht="15" thickTop="1">
      <c r="A92" s="483"/>
      <c r="B92" s="487" t="str">
        <f>B28</f>
        <v>楼层</v>
      </c>
      <c r="C92" s="503" t="s">
        <v>3419</v>
      </c>
      <c r="D92" s="503" t="s">
        <v>3420</v>
      </c>
      <c r="E92" s="503" t="s">
        <v>3421</v>
      </c>
      <c r="F92" s="503"/>
      <c r="G92" s="503"/>
      <c r="H92" s="503"/>
      <c r="I92" s="503"/>
      <c r="J92" s="503"/>
      <c r="K92" s="503"/>
      <c r="L92" s="529"/>
      <c r="M92" s="530"/>
      <c r="N92" s="2752" t="s">
        <v>3423</v>
      </c>
      <c r="O92" s="2752">
        <v>70</v>
      </c>
      <c r="P92" s="2743"/>
      <c r="Q92" s="2738"/>
      <c r="R92" s="2724"/>
      <c r="S92" s="2724"/>
      <c r="T92" s="2724"/>
      <c r="U92" s="2724"/>
      <c r="V92" s="2724"/>
      <c r="W92" s="2724"/>
      <c r="X92" s="2724"/>
      <c r="Y92" s="2724"/>
      <c r="Z92" s="2724"/>
      <c r="AA92" s="2724"/>
      <c r="AB92" s="2724"/>
      <c r="AC92" s="2724"/>
    </row>
    <row r="93" spans="1:29" ht="15" thickBot="1">
      <c r="A93" s="483"/>
      <c r="B93" s="492"/>
      <c r="C93" s="485">
        <f>P91</f>
        <v>118</v>
      </c>
      <c r="D93" s="485"/>
      <c r="E93" s="485">
        <f>P93</f>
        <v>100</v>
      </c>
      <c r="F93" s="485"/>
      <c r="G93" s="485"/>
      <c r="H93" s="485"/>
      <c r="I93" s="485"/>
      <c r="J93" s="485"/>
      <c r="K93" s="485"/>
      <c r="L93" s="485"/>
      <c r="M93" s="486"/>
      <c r="N93" s="2753" t="s">
        <v>3424</v>
      </c>
      <c r="O93" s="2753">
        <f>(O91+O92)/2</f>
        <v>85</v>
      </c>
      <c r="P93" s="2743">
        <v>100</v>
      </c>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78" t="s">
        <v>3427</v>
      </c>
      <c r="D100" s="3478" t="s">
        <v>3429</v>
      </c>
      <c r="E100" s="3478" t="s">
        <v>3431</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0(含)-100</v>
      </c>
      <c r="D102" s="527" t="str">
        <f t="shared" ref="D102:L102" si="23">D103&amp;"(含)"&amp;"-"&amp;E103</f>
        <v>100(含)-200</v>
      </c>
      <c r="E102" s="527" t="str">
        <f t="shared" si="23"/>
        <v>200(含)-400</v>
      </c>
      <c r="F102" s="527" t="str">
        <f t="shared" si="23"/>
        <v>400(含)-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v>99</v>
      </c>
      <c r="E104" s="485">
        <v>98</v>
      </c>
      <c r="F104" s="48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77" t="s">
        <v>3433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77" t="s">
        <v>3436</v>
      </c>
      <c r="D114" s="3477" t="s">
        <v>3438</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77" t="s">
        <v>3439</v>
      </c>
      <c r="D122" s="3477" t="s">
        <v>3441</v>
      </c>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83:S141"/>
  <sheetViews>
    <sheetView topLeftCell="A73" workbookViewId="0">
      <selection activeCell="R168" sqref="R168"/>
    </sheetView>
  </sheetViews>
  <sheetFormatPr defaultRowHeight="14.4"/>
  <sheetData>
    <row r="83" spans="17:18">
      <c r="Q83" s="3479" t="s">
        <v>3460</v>
      </c>
      <c r="R83" s="3479" t="s">
        <v>3463</v>
      </c>
    </row>
    <row r="84" spans="17:18">
      <c r="Q84" s="3479" t="s">
        <v>3461</v>
      </c>
      <c r="R84" s="3479" t="s">
        <v>3462</v>
      </c>
    </row>
    <row r="112" spans="18:19">
      <c r="R112" s="3479" t="s">
        <v>3464</v>
      </c>
      <c r="S112">
        <v>3.6</v>
      </c>
    </row>
    <row r="140" spans="18:19">
      <c r="R140" s="3479" t="s">
        <v>3463</v>
      </c>
    </row>
    <row r="141" spans="18:19">
      <c r="R141" s="3479" t="s">
        <v>3461</v>
      </c>
      <c r="S141">
        <v>3</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18" sqref="F18"/>
    </sheetView>
  </sheetViews>
  <sheetFormatPr defaultRowHeight="14.4"/>
  <cols>
    <col min="3" max="3" width="9.44140625" bestFit="1" customWidth="1"/>
    <col min="4" max="4" width="10.44140625" bestFit="1" customWidth="1"/>
    <col min="8" max="8" width="17.44140625" customWidth="1"/>
  </cols>
  <sheetData>
    <row r="1" spans="1:11">
      <c r="C1" s="3479" t="s">
        <v>3444</v>
      </c>
      <c r="D1" s="3479" t="s">
        <v>3445</v>
      </c>
      <c r="F1" s="3479" t="s">
        <v>3458</v>
      </c>
    </row>
    <row r="2" spans="1:11">
      <c r="B2" s="3479" t="s">
        <v>3443</v>
      </c>
      <c r="C2" s="3480">
        <v>43282</v>
      </c>
      <c r="D2" s="3480">
        <v>46934</v>
      </c>
      <c r="F2">
        <v>207.28</v>
      </c>
    </row>
    <row r="3" spans="1:11">
      <c r="E3" s="3479" t="s">
        <v>3457</v>
      </c>
    </row>
    <row r="4" spans="1:11">
      <c r="A4" s="3479" t="s">
        <v>3446</v>
      </c>
      <c r="C4" s="3480">
        <v>43282</v>
      </c>
      <c r="D4" s="3480">
        <v>43646</v>
      </c>
      <c r="E4">
        <v>150000</v>
      </c>
      <c r="F4">
        <f>ROUND(E4/365/$F$2,2)</f>
        <v>1.98</v>
      </c>
    </row>
    <row r="5" spans="1:11">
      <c r="A5" s="3479" t="s">
        <v>3447</v>
      </c>
      <c r="C5" s="3480">
        <v>43647</v>
      </c>
      <c r="D5" s="3480">
        <v>44012</v>
      </c>
      <c r="E5">
        <v>150000</v>
      </c>
      <c r="F5">
        <f t="shared" ref="F5:F13" si="0">ROUND(E5/365/$F$2,2)</f>
        <v>1.98</v>
      </c>
    </row>
    <row r="6" spans="1:11">
      <c r="A6" s="3479" t="s">
        <v>3448</v>
      </c>
      <c r="C6" s="3480">
        <v>44013</v>
      </c>
      <c r="D6" s="3480">
        <v>44377</v>
      </c>
      <c r="E6">
        <v>157500</v>
      </c>
      <c r="F6">
        <f>ROUND(E6/365/$F$2,2)</f>
        <v>2.08</v>
      </c>
      <c r="I6">
        <f>I10/I9</f>
        <v>206597.69230769231</v>
      </c>
    </row>
    <row r="7" spans="1:11">
      <c r="A7" s="3479" t="s">
        <v>3449</v>
      </c>
      <c r="C7" s="3480">
        <v>44378</v>
      </c>
      <c r="D7" s="3480">
        <v>44742</v>
      </c>
      <c r="E7">
        <v>165375</v>
      </c>
      <c r="F7">
        <f>ROUND(E7/365/$F$2,2)</f>
        <v>2.19</v>
      </c>
      <c r="I7">
        <f>I10/I9/F2/365</f>
        <v>2.7307076168255278</v>
      </c>
    </row>
    <row r="8" spans="1:11">
      <c r="A8" s="3479" t="s">
        <v>3450</v>
      </c>
      <c r="C8" s="3480">
        <v>44743</v>
      </c>
      <c r="D8" s="3480">
        <v>45107</v>
      </c>
      <c r="E8">
        <v>173644</v>
      </c>
      <c r="F8">
        <f t="shared" si="0"/>
        <v>2.2999999999999998</v>
      </c>
      <c r="J8">
        <f>ROUND((D10-'数据-取费表'!B2)*E10/365,0)</f>
        <v>172036</v>
      </c>
      <c r="K8">
        <f>SUM(E11:E13)</f>
        <v>633695</v>
      </c>
    </row>
    <row r="9" spans="1:11">
      <c r="A9" s="3479" t="s">
        <v>3451</v>
      </c>
      <c r="C9" s="3480">
        <v>45108</v>
      </c>
      <c r="D9" s="3480">
        <v>45473</v>
      </c>
      <c r="E9">
        <v>182326</v>
      </c>
      <c r="F9">
        <f t="shared" si="0"/>
        <v>2.41</v>
      </c>
      <c r="H9" s="3479" t="s">
        <v>3459</v>
      </c>
      <c r="I9">
        <f>3+J9</f>
        <v>3.9</v>
      </c>
      <c r="J9">
        <f>ROUND((D10-'数据-取费表'!B2)/365,2)</f>
        <v>0.9</v>
      </c>
      <c r="K9">
        <v>3</v>
      </c>
    </row>
    <row r="10" spans="1:11">
      <c r="A10" s="3479" t="s">
        <v>3452</v>
      </c>
      <c r="C10" s="3480">
        <v>45474</v>
      </c>
      <c r="D10" s="3480">
        <v>45838</v>
      </c>
      <c r="E10">
        <v>191442</v>
      </c>
      <c r="F10">
        <f t="shared" si="0"/>
        <v>2.5299999999999998</v>
      </c>
      <c r="H10" s="3479" t="s">
        <v>3457</v>
      </c>
      <c r="I10">
        <f>J8+K8</f>
        <v>805731</v>
      </c>
      <c r="J10">
        <v>2.8</v>
      </c>
    </row>
    <row r="11" spans="1:11">
      <c r="A11" s="3479" t="s">
        <v>3453</v>
      </c>
      <c r="C11" s="3480">
        <v>45839</v>
      </c>
      <c r="D11" s="3480">
        <v>46203</v>
      </c>
      <c r="E11">
        <v>201014</v>
      </c>
      <c r="F11">
        <f t="shared" si="0"/>
        <v>2.66</v>
      </c>
      <c r="I11">
        <f>ROUND(I10/4/365/F2,2)</f>
        <v>2.66</v>
      </c>
      <c r="J11">
        <f>J10*(1+K11)</f>
        <v>2.8559999999999999</v>
      </c>
      <c r="K11">
        <v>0.02</v>
      </c>
    </row>
    <row r="12" spans="1:11">
      <c r="A12" s="3479" t="s">
        <v>3454</v>
      </c>
      <c r="C12" s="3480">
        <v>46204</v>
      </c>
      <c r="D12" s="3480">
        <v>46568</v>
      </c>
      <c r="E12">
        <v>211064</v>
      </c>
      <c r="F12">
        <f t="shared" si="0"/>
        <v>2.79</v>
      </c>
      <c r="J12">
        <f t="shared" ref="J12:J13" si="1">J11*(1+K12)</f>
        <v>2.9131199999999997</v>
      </c>
      <c r="K12">
        <v>0.02</v>
      </c>
    </row>
    <row r="13" spans="1:11">
      <c r="A13" s="3479" t="s">
        <v>3455</v>
      </c>
      <c r="C13" s="3480">
        <v>46569</v>
      </c>
      <c r="D13" s="3480">
        <v>46934</v>
      </c>
      <c r="E13">
        <v>221617</v>
      </c>
      <c r="F13">
        <f t="shared" si="0"/>
        <v>2.93</v>
      </c>
      <c r="J13">
        <f t="shared" si="1"/>
        <v>2.9713823999999995</v>
      </c>
      <c r="K13">
        <v>0.02</v>
      </c>
    </row>
    <row r="14" spans="1:11">
      <c r="H14" s="3479" t="s">
        <v>3478</v>
      </c>
      <c r="I14">
        <f>ROUND(I10/I9/F2/365,2)</f>
        <v>2.73</v>
      </c>
    </row>
    <row r="15" spans="1:11">
      <c r="F15">
        <f>F13*1.05</f>
        <v>3.0765000000000002</v>
      </c>
      <c r="I15">
        <f>I14*365*F2</f>
        <v>206544.15600000002</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6">
      <c r="A3" s="3507"/>
      <c r="B3" s="3507"/>
      <c r="C3" s="3507"/>
      <c r="D3" s="854" t="s">
        <v>925</v>
      </c>
      <c r="E3" s="854" t="s">
        <v>931</v>
      </c>
      <c r="F3" s="854" t="s">
        <v>925</v>
      </c>
      <c r="G3" s="854" t="s">
        <v>926</v>
      </c>
      <c r="H3" s="854" t="s">
        <v>925</v>
      </c>
      <c r="I3" s="854" t="s">
        <v>926</v>
      </c>
    </row>
    <row r="4" spans="1:9" ht="15">
      <c r="A4" s="1504" t="str">
        <f>项目基本情况!S2</f>
        <v>北京市房地产</v>
      </c>
      <c r="B4" s="854">
        <f>项目基本情况!C17</f>
        <v>207.28</v>
      </c>
      <c r="C4" s="854">
        <f>项目基本情况!C18</f>
        <v>0</v>
      </c>
      <c r="D4" s="854" t="e">
        <f ca="1">结果表!D118</f>
        <v>#REF!</v>
      </c>
      <c r="E4" s="854" t="e">
        <f ca="1">结果表!E118</f>
        <v>#REF!</v>
      </c>
      <c r="F4" s="854" t="e">
        <f ca="1">结果表!F118</f>
        <v>#REF!</v>
      </c>
      <c r="G4" s="854" t="e">
        <f ca="1">结果表!G118</f>
        <v>#REF!</v>
      </c>
      <c r="H4" s="854">
        <f ca="1">结果表!H118</f>
        <v>449.34160000000003</v>
      </c>
      <c r="I4" s="854">
        <f ca="1">结果表!I118</f>
        <v>21678</v>
      </c>
    </row>
    <row r="5" spans="1:9" ht="30" customHeight="1">
      <c r="A5" s="3507" t="s">
        <v>927</v>
      </c>
      <c r="B5" s="3507"/>
      <c r="C5" s="3507"/>
      <c r="D5" s="3507" t="e">
        <f ca="1">结果表!D119</f>
        <v>#REF!</v>
      </c>
      <c r="E5" s="3507"/>
      <c r="F5" s="3507" t="e">
        <f ca="1">结果表!F119</f>
        <v>#REF!</v>
      </c>
      <c r="G5" s="3507"/>
      <c r="H5" s="3507" t="str">
        <f ca="1">结果表!H119</f>
        <v>肆佰肆拾玖万叁仟肆佰壹拾陆元整</v>
      </c>
      <c r="I5" s="3507"/>
    </row>
    <row r="6" spans="1:9" ht="15.6">
      <c r="A6" s="3508" t="str">
        <f>结果表!A120</f>
        <v>估价师知悉的法定优先受偿款</v>
      </c>
      <c r="B6" s="3508"/>
      <c r="C6" s="3508"/>
      <c r="D6" s="3508">
        <f>结果表!D120</f>
        <v>0</v>
      </c>
      <c r="E6" s="3508"/>
      <c r="F6" s="3508"/>
      <c r="G6" s="3508"/>
      <c r="H6" s="3508"/>
      <c r="I6" s="3508"/>
    </row>
    <row r="7" spans="1:9" ht="15">
      <c r="A7" s="3507" t="s">
        <v>927</v>
      </c>
      <c r="B7" s="3507"/>
      <c r="C7" s="3507"/>
      <c r="D7" s="3509" t="str">
        <f>结果表!D121</f>
        <v>零元整</v>
      </c>
      <c r="E7" s="3510"/>
      <c r="F7" s="3510"/>
      <c r="G7" s="3510"/>
      <c r="H7" s="3510"/>
      <c r="I7" s="3511"/>
    </row>
    <row r="8" spans="1:9" ht="15.6">
      <c r="A8" s="3508" t="str">
        <f>结果表!A122</f>
        <v>房地产抵押价值</v>
      </c>
      <c r="B8" s="3508"/>
      <c r="C8" s="3508"/>
      <c r="D8" s="3508">
        <f ca="1">结果表!D122</f>
        <v>449.34160000000003</v>
      </c>
      <c r="E8" s="3508"/>
      <c r="F8" s="3508"/>
      <c r="G8" s="3508"/>
      <c r="H8" s="3508"/>
      <c r="I8" s="3508"/>
    </row>
    <row r="9" spans="1:9" ht="15">
      <c r="A9" s="3507" t="s">
        <v>927</v>
      </c>
      <c r="B9" s="3507"/>
      <c r="C9" s="3507"/>
      <c r="D9" s="3507" t="str">
        <f ca="1">结果表!D123</f>
        <v>肆佰肆拾玖万叁仟肆佰壹拾陆元整</v>
      </c>
      <c r="E9" s="3507"/>
      <c r="F9" s="3507"/>
      <c r="G9" s="3507"/>
      <c r="H9" s="3507"/>
      <c r="I9" s="3507"/>
    </row>
    <row r="10" spans="1:9" ht="15.6">
      <c r="A10" s="3508" t="str">
        <f>结果表!A124</f>
        <v/>
      </c>
      <c r="B10" s="3508"/>
      <c r="C10" s="3508"/>
      <c r="D10" s="3508" t="str">
        <f>结果表!D124</f>
        <v>——</v>
      </c>
      <c r="E10" s="3508"/>
      <c r="F10" s="3508"/>
      <c r="G10" s="3508"/>
      <c r="H10" s="3508"/>
      <c r="I10" s="3508"/>
    </row>
    <row r="11" spans="1:9" ht="15">
      <c r="A11" s="3507" t="s">
        <v>927</v>
      </c>
      <c r="B11" s="3507"/>
      <c r="C11" s="3507"/>
      <c r="D11" s="3507" t="e">
        <f>结果表!D125</f>
        <v>#VALUE!</v>
      </c>
      <c r="E11" s="3507"/>
      <c r="F11" s="3507"/>
      <c r="G11" s="3507"/>
      <c r="H11" s="3507"/>
      <c r="I11" s="3507"/>
    </row>
    <row r="12" spans="1:9" ht="15.6">
      <c r="A12" s="3508" t="str">
        <f>结果表!A126</f>
        <v>抵押净值</v>
      </c>
      <c r="B12" s="3508"/>
      <c r="C12" s="3508"/>
      <c r="D12" s="3508">
        <f ca="1">结果表!D126</f>
        <v>427.61760000000004</v>
      </c>
      <c r="E12" s="3508"/>
      <c r="F12" s="3508"/>
      <c r="G12" s="3508"/>
      <c r="H12" s="3508"/>
      <c r="I12" s="3508"/>
    </row>
    <row r="13" spans="1:9" ht="15.6" thickBot="1">
      <c r="A13" s="3512" t="s">
        <v>927</v>
      </c>
      <c r="B13" s="3512"/>
      <c r="C13" s="3512"/>
      <c r="D13" s="3512" t="str">
        <f ca="1">结果表!D127</f>
        <v>肆佰贰拾柒万陆仟壹佰柒拾陆元整</v>
      </c>
      <c r="E13" s="3512"/>
      <c r="F13" s="3512"/>
      <c r="G13" s="3512"/>
      <c r="H13" s="3512"/>
      <c r="I13" s="3512"/>
    </row>
    <row r="14" spans="1:9" ht="14.4" thickTop="1">
      <c r="A14" s="3513" t="s">
        <v>932</v>
      </c>
      <c r="B14" s="3513"/>
      <c r="C14" s="3513"/>
      <c r="D14" s="3513"/>
      <c r="E14" s="3513"/>
      <c r="F14" s="3513"/>
      <c r="G14" s="3513"/>
      <c r="H14" s="3513"/>
      <c r="I14" s="3513"/>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14" t="s">
        <v>949</v>
      </c>
      <c r="B1" s="3514"/>
      <c r="C1" s="3514"/>
      <c r="D1" s="3514"/>
    </row>
    <row r="2" spans="1:4" ht="17.399999999999999">
      <c r="A2" s="3515" t="s">
        <v>933</v>
      </c>
      <c r="B2" s="3515"/>
      <c r="C2" s="3515"/>
      <c r="D2" s="3515"/>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15" t="s">
        <v>939</v>
      </c>
      <c r="B6" s="3515"/>
      <c r="C6" s="3515"/>
      <c r="D6" s="3515"/>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16" t="s">
        <v>942</v>
      </c>
      <c r="B11" s="3517"/>
      <c r="C11" s="3517"/>
      <c r="D11" s="3517"/>
    </row>
    <row r="12" spans="1:4" ht="15.6">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7" t="str">
        <f>IF(项目基本情况!B8="抵押","4.本次评估估价师所知悉的法定优先受偿款情况说明如下：","——")</f>
        <v>4.本次评估估价师所知悉的法定优先受偿款情况说明如下：</v>
      </c>
      <c r="B14" s="3518"/>
      <c r="C14" s="3518"/>
      <c r="D14" s="3518"/>
    </row>
    <row r="15" spans="1:4" ht="42" customHeight="1">
      <c r="A15" s="35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20" t="s">
        <v>943</v>
      </c>
      <c r="B16" s="3520"/>
      <c r="C16" s="3520"/>
      <c r="D16" s="3520"/>
    </row>
    <row r="17" spans="1:4" ht="144" customHeight="1">
      <c r="A17" s="3520" t="s">
        <v>944</v>
      </c>
      <c r="B17" s="3520"/>
      <c r="C17" s="3520"/>
      <c r="D17" s="3520"/>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1"/>
      <c r="C21" s="3521"/>
      <c r="D21" s="3521"/>
    </row>
    <row r="22" spans="1:4" ht="18.75" customHeight="1">
      <c r="A22" s="3522" t="s">
        <v>945</v>
      </c>
      <c r="B22" s="3522"/>
      <c r="C22" s="3522"/>
      <c r="D22" s="3522"/>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19">
        <v>42551</v>
      </c>
      <c r="D31" s="35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28" t="s">
        <v>956</v>
      </c>
      <c r="B15" s="3523" t="s">
        <v>109</v>
      </c>
      <c r="C15" s="3524"/>
    </row>
    <row r="16" spans="1:7" ht="14.4">
      <c r="A16" s="3529"/>
      <c r="B16" s="3523" t="s">
        <v>42</v>
      </c>
      <c r="C16" s="3524"/>
    </row>
    <row r="17" spans="1:3" ht="14.4">
      <c r="A17" s="3529"/>
      <c r="B17" s="3526" t="s">
        <v>957</v>
      </c>
      <c r="C17" s="1531" t="s">
        <v>956</v>
      </c>
    </row>
    <row r="18" spans="1:3" ht="14.4">
      <c r="A18" s="3529"/>
      <c r="B18" s="3526"/>
      <c r="C18" s="1531" t="s">
        <v>958</v>
      </c>
    </row>
    <row r="19" spans="1:3" ht="14.4">
      <c r="A19" s="3529"/>
      <c r="B19" s="3526"/>
      <c r="C19" s="1531" t="s">
        <v>959</v>
      </c>
    </row>
    <row r="20" spans="1:3" ht="14.4">
      <c r="A20" s="3530"/>
      <c r="B20" s="3525" t="s">
        <v>960</v>
      </c>
      <c r="C20" s="3524"/>
    </row>
    <row r="21" spans="1:3" ht="14.4">
      <c r="A21" s="1532" t="s">
        <v>961</v>
      </c>
      <c r="B21" s="1533"/>
      <c r="C21" s="1534"/>
    </row>
    <row r="22" spans="1:3" ht="14.4">
      <c r="A22" s="3527" t="s">
        <v>962</v>
      </c>
      <c r="B22" s="3525" t="s">
        <v>963</v>
      </c>
      <c r="C22" s="3524"/>
    </row>
    <row r="23" spans="1:3" ht="14.4">
      <c r="A23" s="3527"/>
      <c r="B23" s="3525" t="s">
        <v>964</v>
      </c>
      <c r="C23" s="3524"/>
    </row>
    <row r="24" spans="1:3" ht="14.4">
      <c r="A24" s="3527"/>
      <c r="B24" s="3525" t="s">
        <v>965</v>
      </c>
      <c r="C24" s="3524"/>
    </row>
    <row r="25" spans="1:3" ht="14.4">
      <c r="A25" s="3527"/>
      <c r="B25" s="3526" t="s">
        <v>966</v>
      </c>
      <c r="C25" s="1531" t="s">
        <v>967</v>
      </c>
    </row>
    <row r="26" spans="1:3" ht="14.4">
      <c r="A26" s="3527"/>
      <c r="B26" s="3526"/>
      <c r="C26" s="1531" t="s">
        <v>968</v>
      </c>
    </row>
    <row r="27" spans="1:3" ht="14.4">
      <c r="A27" s="3527"/>
      <c r="B27" s="3526"/>
      <c r="C27" s="1531" t="s">
        <v>969</v>
      </c>
    </row>
    <row r="28" spans="1:3" ht="14.4">
      <c r="A28" s="3527"/>
      <c r="B28" s="3526"/>
      <c r="C28" s="1531" t="s">
        <v>970</v>
      </c>
    </row>
    <row r="29" spans="1:3" ht="14.4">
      <c r="A29" s="3527"/>
      <c r="B29" s="3526"/>
      <c r="C29" s="1531" t="s">
        <v>971</v>
      </c>
    </row>
    <row r="30" spans="1:3" ht="14.4">
      <c r="A30" s="3527"/>
      <c r="B30" s="3526"/>
      <c r="C30" s="1531" t="s">
        <v>972</v>
      </c>
    </row>
    <row r="31" spans="1:3" ht="14.4">
      <c r="A31" s="3527"/>
      <c r="B31" s="3526"/>
      <c r="C31" s="1531" t="s">
        <v>973</v>
      </c>
    </row>
    <row r="32" spans="1:3" ht="14.4">
      <c r="A32" s="3527"/>
      <c r="B32" s="3526"/>
      <c r="C32" s="1531" t="s">
        <v>974</v>
      </c>
    </row>
    <row r="33" spans="1:3" ht="14.4">
      <c r="A33" s="3527"/>
      <c r="B33" s="3526"/>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45511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1" t="s">
        <v>2160</v>
      </c>
      <c r="B17" s="3531"/>
      <c r="C17" s="3531"/>
      <c r="D17" s="3531"/>
      <c r="E17" s="3531"/>
      <c r="F17" s="3531"/>
      <c r="G17" s="3531"/>
      <c r="H17" s="3531"/>
    </row>
    <row r="18" spans="1:8" ht="24" customHeight="1">
      <c r="A18" s="3532" t="s">
        <v>2161</v>
      </c>
      <c r="B18" s="3532"/>
      <c r="C18" s="3532"/>
      <c r="D18" s="2342"/>
      <c r="E18" s="3533" t="s">
        <v>2162</v>
      </c>
      <c r="F18" s="3532"/>
      <c r="G18" s="353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案例</vt:lpstr>
      <vt:lpstr>租赁情况</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2024-08-07T05:44:58Z</dcterms:modified>
</cp:coreProperties>
</file>