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375" windowWidth="9615" windowHeight="1104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基准地价修正" sheetId="43" state="hidden" r:id="rId24"/>
    <sheet name="典型户型修正" sheetId="31" r:id="rId25"/>
    <sheet name="收益法（汇总）" sheetId="70" r:id="rId26"/>
    <sheet name="收益法（无租约）" sheetId="15" r:id="rId27"/>
    <sheet name="收益法 (元)" sheetId="67"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4">'收益法（10年内）'!$A$1:$AK$69</definedName>
    <definedName name="_xlnm.Print_Area" localSheetId="45">'收益法（10年以上）'!$A$1:$AK$69</definedName>
    <definedName name="_xlnm.Print_Area" localSheetId="26">'收益法（无租约）'!$A$1:$AK$69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8" i="78" l="1"/>
  <c r="F51" i="78"/>
  <c r="F7" i="78"/>
  <c r="F50" i="78"/>
  <c r="C49" i="78"/>
  <c r="F4" i="73"/>
  <c r="I1" i="73"/>
  <c r="B39" i="1"/>
  <c r="F11" i="78"/>
  <c r="C53" i="78"/>
  <c r="C48" i="78"/>
  <c r="C60" i="78"/>
  <c r="C61" i="78"/>
  <c r="R7" i="1"/>
  <c r="F35" i="78"/>
  <c r="F63" i="78"/>
  <c r="C62" i="78"/>
  <c r="C59" i="78"/>
  <c r="C14" i="78"/>
  <c r="C15" i="78"/>
  <c r="F16" i="78"/>
  <c r="C16" i="78"/>
  <c r="F43" i="78"/>
  <c r="C17" i="78"/>
  <c r="C18" i="78"/>
  <c r="C19" i="78"/>
  <c r="C20" i="78"/>
  <c r="D5" i="73"/>
  <c r="G1" i="73"/>
  <c r="B40" i="1"/>
  <c r="F24" i="78"/>
  <c r="C23" i="78"/>
  <c r="F26" i="78"/>
  <c r="C26" i="78"/>
  <c r="C24" i="78"/>
  <c r="C27" i="78"/>
  <c r="C29" i="78"/>
  <c r="C57" i="78"/>
  <c r="F36" i="78"/>
  <c r="F64" i="78"/>
  <c r="C64" i="78"/>
  <c r="F13" i="78"/>
  <c r="C13" i="78"/>
  <c r="C56" i="78"/>
  <c r="F37" i="78"/>
  <c r="F65" i="78"/>
  <c r="C65" i="78"/>
  <c r="F38" i="78"/>
  <c r="F66" i="78"/>
  <c r="C66" i="78"/>
  <c r="C58" i="78"/>
  <c r="C67" i="78"/>
  <c r="F40" i="78"/>
  <c r="F68" i="78"/>
  <c r="F41" i="78"/>
  <c r="F69" i="78"/>
  <c r="C68" i="78"/>
  <c r="F6" i="78"/>
  <c r="F9" i="78"/>
  <c r="C6" i="78"/>
  <c r="C10" i="78"/>
  <c r="C5" i="78"/>
  <c r="C32" i="78"/>
  <c r="C33" i="78"/>
  <c r="C34" i="78"/>
  <c r="C31" i="78"/>
  <c r="C36" i="78"/>
  <c r="C37" i="78"/>
  <c r="C38" i="78"/>
  <c r="C30" i="78"/>
  <c r="C39" i="78"/>
  <c r="F42" i="78"/>
  <c r="C40" i="78"/>
  <c r="C46" i="78"/>
  <c r="F8" i="79"/>
  <c r="F51" i="79"/>
  <c r="F7" i="79"/>
  <c r="F50" i="79"/>
  <c r="C49" i="79"/>
  <c r="F11" i="79"/>
  <c r="C53" i="79"/>
  <c r="C48" i="79"/>
  <c r="C60" i="79"/>
  <c r="C61" i="79"/>
  <c r="R8" i="1"/>
  <c r="F35" i="79"/>
  <c r="F63" i="79"/>
  <c r="C62" i="79"/>
  <c r="C59" i="79"/>
  <c r="C14" i="79"/>
  <c r="C15" i="79"/>
  <c r="F16" i="79"/>
  <c r="C16" i="79"/>
  <c r="F43" i="79"/>
  <c r="C17" i="79"/>
  <c r="C18" i="79"/>
  <c r="C19" i="79"/>
  <c r="C20" i="79"/>
  <c r="F24" i="79"/>
  <c r="C23" i="79"/>
  <c r="F26" i="79"/>
  <c r="C26" i="79"/>
  <c r="C24" i="79"/>
  <c r="C27" i="79"/>
  <c r="C29" i="79"/>
  <c r="C57" i="79"/>
  <c r="F36" i="79"/>
  <c r="F64" i="79"/>
  <c r="C64" i="79"/>
  <c r="F13" i="79"/>
  <c r="C13" i="79"/>
  <c r="C56" i="79"/>
  <c r="F37" i="79"/>
  <c r="F65" i="79"/>
  <c r="C65" i="79"/>
  <c r="F38" i="79"/>
  <c r="F66" i="79"/>
  <c r="C66" i="79"/>
  <c r="C58" i="79"/>
  <c r="C67" i="79"/>
  <c r="F40" i="79"/>
  <c r="F68" i="79"/>
  <c r="F41" i="79"/>
  <c r="F69" i="79"/>
  <c r="C68" i="79"/>
  <c r="F6" i="79"/>
  <c r="F9" i="79"/>
  <c r="C6" i="79"/>
  <c r="C10" i="79"/>
  <c r="C5" i="79"/>
  <c r="C32" i="79"/>
  <c r="C33" i="79"/>
  <c r="C34" i="79"/>
  <c r="C31" i="79"/>
  <c r="C36" i="79"/>
  <c r="C37" i="79"/>
  <c r="C38" i="79"/>
  <c r="C30" i="79"/>
  <c r="C39" i="79"/>
  <c r="F42" i="79"/>
  <c r="C40" i="79"/>
  <c r="C46" i="79"/>
  <c r="F20" i="31"/>
  <c r="B20" i="31"/>
  <c r="B21" i="31"/>
  <c r="G16" i="74"/>
  <c r="D16" i="74"/>
  <c r="C16" i="74"/>
  <c r="B16" i="74"/>
  <c r="G15" i="74"/>
  <c r="D15" i="74"/>
  <c r="C15" i="74"/>
  <c r="B15" i="74"/>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AE7" i="1"/>
  <c r="AG7" i="1"/>
  <c r="M27" i="78"/>
  <c r="J26" i="78"/>
  <c r="J29" i="78"/>
  <c r="J60" i="78"/>
  <c r="L46" i="78"/>
  <c r="B2" i="78"/>
  <c r="AO7" i="1"/>
  <c r="B7" i="70"/>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8" i="1"/>
  <c r="AG8" i="1"/>
  <c r="M27" i="79"/>
  <c r="J26" i="79"/>
  <c r="J29" i="79"/>
  <c r="J60" i="79"/>
  <c r="L46" i="79"/>
  <c r="B2" i="79"/>
  <c r="AO8" i="1"/>
  <c r="B8" i="70"/>
  <c r="AO9" i="1"/>
  <c r="B9" i="70"/>
  <c r="AO10" i="1"/>
  <c r="B10" i="70"/>
  <c r="AO11" i="1"/>
  <c r="B11" i="70"/>
  <c r="AO12" i="1"/>
  <c r="B12" i="70"/>
  <c r="AO13" i="1"/>
  <c r="B13" i="70"/>
  <c r="B2" i="70"/>
  <c r="D19" i="9"/>
  <c r="G19" i="9"/>
  <c r="J19" i="9"/>
  <c r="D17" i="9"/>
  <c r="C17" i="9"/>
  <c r="C18" i="9"/>
  <c r="D18" i="9"/>
  <c r="AD8" i="1"/>
  <c r="AD7" i="1"/>
  <c r="I98" i="77"/>
  <c r="I96" i="77"/>
  <c r="E5" i="77"/>
  <c r="E19" i="77"/>
  <c r="I19" i="77"/>
  <c r="E38" i="77"/>
  <c r="E81" i="77"/>
  <c r="F20" i="6"/>
  <c r="E20" i="6"/>
  <c r="K7" i="1"/>
  <c r="E57" i="77"/>
  <c r="G81" i="77"/>
  <c r="H81" i="77"/>
  <c r="H79" i="77"/>
  <c r="J81" i="77"/>
  <c r="J79" i="77"/>
  <c r="F81" i="77"/>
  <c r="F49" i="78"/>
  <c r="F75" i="77"/>
  <c r="A3" i="3"/>
  <c r="I20" i="77"/>
  <c r="I21" i="77"/>
  <c r="E80" i="77"/>
  <c r="E13" i="77"/>
  <c r="E22" i="77"/>
  <c r="E31" i="77"/>
  <c r="E34" i="77"/>
  <c r="E37" i="77"/>
  <c r="E42" i="77"/>
  <c r="E82" i="77"/>
  <c r="I13" i="3"/>
  <c r="BB13" i="3"/>
  <c r="BA13" i="3"/>
  <c r="AZ13" i="3"/>
  <c r="BB14" i="3"/>
  <c r="BA14" i="3"/>
  <c r="AZ14" i="3"/>
  <c r="BB15" i="3"/>
  <c r="BA15" i="3"/>
  <c r="AZ15" i="3"/>
  <c r="AZ5" i="3"/>
  <c r="H13" i="3"/>
  <c r="G13" i="3"/>
  <c r="E2" i="77"/>
  <c r="E83" i="77"/>
  <c r="I14" i="3"/>
  <c r="H14" i="3"/>
  <c r="G14" i="3"/>
  <c r="E72" i="77"/>
  <c r="E84" i="77"/>
  <c r="I15" i="3"/>
  <c r="H15" i="3"/>
  <c r="G15" i="3"/>
  <c r="G5" i="3"/>
  <c r="B3" i="3"/>
  <c r="AY6" i="3"/>
  <c r="D3" i="6"/>
  <c r="E3" i="6"/>
  <c r="D20" i="6"/>
  <c r="F19" i="6"/>
  <c r="E19" i="6"/>
  <c r="F21" i="6"/>
  <c r="E21" i="6"/>
  <c r="BA5" i="3"/>
  <c r="E27" i="6"/>
  <c r="K20" i="6"/>
  <c r="L20" i="6"/>
  <c r="M20" i="6"/>
  <c r="I20" i="6"/>
  <c r="H20" i="6"/>
  <c r="R20" i="6"/>
  <c r="M7" i="1"/>
  <c r="S7" i="1"/>
  <c r="T7" i="1"/>
  <c r="D91" i="77"/>
  <c r="E91" i="77"/>
  <c r="F91" i="77"/>
  <c r="G91" i="77"/>
  <c r="H91" i="77"/>
  <c r="I91" i="77"/>
  <c r="N7" i="1"/>
  <c r="Y7" i="1"/>
  <c r="K8" i="1"/>
  <c r="G82" i="77"/>
  <c r="H82" i="77"/>
  <c r="I82" i="77"/>
  <c r="I79" i="77"/>
  <c r="J82" i="77"/>
  <c r="K82" i="77"/>
  <c r="K79" i="77"/>
  <c r="F82" i="77"/>
  <c r="F49" i="79"/>
  <c r="D21" i="6"/>
  <c r="K21" i="6"/>
  <c r="L21" i="6"/>
  <c r="M21" i="6"/>
  <c r="I21" i="6"/>
  <c r="H21" i="6"/>
  <c r="R21" i="6"/>
  <c r="M8" i="1"/>
  <c r="S8" i="1"/>
  <c r="T8" i="1"/>
  <c r="D92" i="77"/>
  <c r="E92" i="77"/>
  <c r="F92" i="77"/>
  <c r="G92" i="77"/>
  <c r="H92" i="77"/>
  <c r="I92" i="77"/>
  <c r="N8" i="1"/>
  <c r="Y8" i="1"/>
  <c r="D90" i="77"/>
  <c r="E90" i="77"/>
  <c r="G90" i="77"/>
  <c r="H90" i="77"/>
  <c r="I90" i="77"/>
  <c r="N6" i="1"/>
  <c r="C36" i="33"/>
  <c r="F36" i="33"/>
  <c r="AA36" i="33"/>
  <c r="R48" i="33"/>
  <c r="H36" i="33"/>
  <c r="AB36" i="33"/>
  <c r="T48" i="33"/>
  <c r="I36" i="33"/>
  <c r="J36" i="33"/>
  <c r="AC36" i="33"/>
  <c r="V48" i="33"/>
  <c r="R49" i="33"/>
  <c r="C49" i="33"/>
  <c r="B3" i="33"/>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B22" i="31"/>
  <c r="R22" i="31"/>
  <c r="G80" i="77"/>
  <c r="H80" i="77"/>
  <c r="F80" i="77"/>
  <c r="U6" i="1"/>
  <c r="K6" i="1"/>
  <c r="D19" i="6"/>
  <c r="K19" i="6"/>
  <c r="L19" i="6"/>
  <c r="M19" i="6"/>
  <c r="I19" i="6"/>
  <c r="H19" i="6"/>
  <c r="R19" i="6"/>
  <c r="M6" i="1"/>
  <c r="S6" i="1"/>
  <c r="T6" i="1"/>
  <c r="Y6" i="1"/>
  <c r="Z7" i="1"/>
  <c r="Z8" i="1"/>
  <c r="J20" i="9"/>
  <c r="G84" i="77"/>
  <c r="H84" i="77"/>
  <c r="I84" i="77"/>
  <c r="F84" i="77"/>
  <c r="F83" i="77"/>
  <c r="G83" i="77"/>
  <c r="D75" i="77"/>
  <c r="E85" i="77"/>
  <c r="G66" i="33"/>
  <c r="F10" i="33"/>
  <c r="AA10" i="33"/>
  <c r="D77" i="33"/>
  <c r="F15" i="33"/>
  <c r="AA15" i="33"/>
  <c r="D79" i="33"/>
  <c r="F17" i="33"/>
  <c r="AA17" i="33"/>
  <c r="D81" i="33"/>
  <c r="F19" i="33"/>
  <c r="AA19" i="33"/>
  <c r="D85" i="33"/>
  <c r="E85" i="33"/>
  <c r="F23" i="33"/>
  <c r="AA23" i="33"/>
  <c r="F21" i="33"/>
  <c r="AA21" i="33"/>
  <c r="D101" i="33"/>
  <c r="E101" i="33"/>
  <c r="F32" i="33"/>
  <c r="AA32" i="33"/>
  <c r="D108" i="33"/>
  <c r="F35" i="33"/>
  <c r="AA35" i="33"/>
  <c r="D123" i="33"/>
  <c r="E123" i="33"/>
  <c r="F123" i="33"/>
  <c r="F42" i="33"/>
  <c r="AA42" i="33"/>
  <c r="D113" i="33"/>
  <c r="F37" i="33"/>
  <c r="AA37" i="33"/>
  <c r="D106" i="33"/>
  <c r="F34" i="33"/>
  <c r="AA34" i="33"/>
  <c r="F38" i="33"/>
  <c r="AA38" i="33"/>
  <c r="R47" i="33"/>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F25" i="33"/>
  <c r="AA25" i="33"/>
  <c r="B88" i="33"/>
  <c r="F26" i="33"/>
  <c r="AA26" i="33"/>
  <c r="B90" i="33"/>
  <c r="F27" i="33"/>
  <c r="AA27" i="33"/>
  <c r="B92" i="33"/>
  <c r="F28" i="33"/>
  <c r="AA28" i="33"/>
  <c r="B94" i="33"/>
  <c r="F29" i="33"/>
  <c r="AA29" i="33"/>
  <c r="B96" i="33"/>
  <c r="F30" i="33"/>
  <c r="AA30" i="33"/>
  <c r="B98" i="33"/>
  <c r="F31" i="33"/>
  <c r="AA31" i="33"/>
  <c r="F33" i="33"/>
  <c r="AA33" i="33"/>
  <c r="D111" i="33"/>
  <c r="E111" i="33"/>
  <c r="F111" i="33"/>
  <c r="F39" i="33"/>
  <c r="AA39" i="33"/>
  <c r="F40" i="33"/>
  <c r="AA40" i="33"/>
  <c r="F41" i="33"/>
  <c r="AA41" i="33"/>
  <c r="F43" i="33"/>
  <c r="AA43" i="33"/>
  <c r="B126" i="33"/>
  <c r="F44" i="33"/>
  <c r="AA44" i="33"/>
  <c r="B128" i="33"/>
  <c r="F45" i="33"/>
  <c r="AA45" i="33"/>
  <c r="B130" i="33"/>
  <c r="F46" i="33"/>
  <c r="AA46" i="33"/>
  <c r="H10" i="33"/>
  <c r="AB10" i="33"/>
  <c r="H15" i="33"/>
  <c r="AB15" i="33"/>
  <c r="H17" i="33"/>
  <c r="AB17" i="33"/>
  <c r="H19" i="33"/>
  <c r="AB19" i="33"/>
  <c r="H23" i="33"/>
  <c r="AB23" i="33"/>
  <c r="H21" i="33"/>
  <c r="AB21" i="33"/>
  <c r="H32" i="33"/>
  <c r="AB32" i="33"/>
  <c r="H35" i="33"/>
  <c r="AB35" i="33"/>
  <c r="H42" i="33"/>
  <c r="AB42" i="33"/>
  <c r="H37" i="33"/>
  <c r="AB37" i="33"/>
  <c r="H34" i="33"/>
  <c r="AB34" i="33"/>
  <c r="H38" i="33"/>
  <c r="AB38" i="33"/>
  <c r="T47" i="33"/>
  <c r="H7" i="33"/>
  <c r="AB7" i="33"/>
  <c r="H8" i="33"/>
  <c r="AB8" i="33"/>
  <c r="H9" i="33"/>
  <c r="AB9" i="33"/>
  <c r="H11" i="33"/>
  <c r="AB11" i="33"/>
  <c r="H12" i="33"/>
  <c r="AB12" i="33"/>
  <c r="H13" i="33"/>
  <c r="AB13" i="33"/>
  <c r="H14" i="33"/>
  <c r="AB14" i="33"/>
  <c r="H25" i="33"/>
  <c r="AB25" i="33"/>
  <c r="H26" i="33"/>
  <c r="AB26" i="33"/>
  <c r="H27" i="33"/>
  <c r="AB27" i="33"/>
  <c r="H28" i="33"/>
  <c r="AB28" i="33"/>
  <c r="H29" i="33"/>
  <c r="AB29" i="33"/>
  <c r="H30" i="33"/>
  <c r="AB30" i="33"/>
  <c r="H31" i="33"/>
  <c r="AB31" i="33"/>
  <c r="H33" i="33"/>
  <c r="AB33" i="33"/>
  <c r="H39" i="33"/>
  <c r="AB39" i="33"/>
  <c r="H40" i="33"/>
  <c r="AB40" i="33"/>
  <c r="H41" i="33"/>
  <c r="AB41" i="33"/>
  <c r="H43" i="33"/>
  <c r="AB43" i="33"/>
  <c r="H44" i="33"/>
  <c r="AB44" i="33"/>
  <c r="H45" i="33"/>
  <c r="AB45" i="33"/>
  <c r="H46" i="33"/>
  <c r="AB46" i="33"/>
  <c r="J10" i="33"/>
  <c r="AC10" i="33"/>
  <c r="J15" i="33"/>
  <c r="AC15" i="33"/>
  <c r="J17" i="33"/>
  <c r="AC17" i="33"/>
  <c r="J19" i="33"/>
  <c r="AC19" i="33"/>
  <c r="J23" i="33"/>
  <c r="AC23" i="33"/>
  <c r="J21" i="33"/>
  <c r="AC21" i="33"/>
  <c r="J32" i="33"/>
  <c r="AC32" i="33"/>
  <c r="J35" i="33"/>
  <c r="AC35" i="33"/>
  <c r="J42" i="33"/>
  <c r="AC42" i="33"/>
  <c r="J37" i="33"/>
  <c r="AC37" i="33"/>
  <c r="J34" i="33"/>
  <c r="AC34" i="33"/>
  <c r="J38" i="33"/>
  <c r="AC38" i="33"/>
  <c r="V47" i="33"/>
  <c r="J7" i="33"/>
  <c r="AC7" i="33"/>
  <c r="J8" i="33"/>
  <c r="AC8" i="33"/>
  <c r="J9" i="33"/>
  <c r="AC9" i="33"/>
  <c r="J11" i="33"/>
  <c r="AC11" i="33"/>
  <c r="J12" i="33"/>
  <c r="AC12" i="33"/>
  <c r="J13" i="33"/>
  <c r="AC13" i="33"/>
  <c r="J14" i="33"/>
  <c r="AC14" i="33"/>
  <c r="J25" i="33"/>
  <c r="AC25" i="33"/>
  <c r="J26" i="33"/>
  <c r="AC26" i="33"/>
  <c r="J27" i="33"/>
  <c r="AC27" i="33"/>
  <c r="J28" i="33"/>
  <c r="AC28" i="33"/>
  <c r="J29" i="33"/>
  <c r="AC29" i="33"/>
  <c r="J30" i="33"/>
  <c r="AC30" i="33"/>
  <c r="J31" i="33"/>
  <c r="AC31" i="33"/>
  <c r="J33" i="33"/>
  <c r="AC33" i="33"/>
  <c r="J39" i="33"/>
  <c r="AC39" i="33"/>
  <c r="J40" i="33"/>
  <c r="AC40" i="33"/>
  <c r="J41" i="33"/>
  <c r="AC41" i="33"/>
  <c r="J43" i="33"/>
  <c r="AC43" i="33"/>
  <c r="J44" i="33"/>
  <c r="AC44" i="33"/>
  <c r="J45" i="33"/>
  <c r="AC45" i="33"/>
  <c r="J46" i="33"/>
  <c r="AC46" i="33"/>
  <c r="C37" i="21"/>
  <c r="AD24" i="1"/>
  <c r="AD19" i="1"/>
  <c r="A6" i="1"/>
  <c r="A7" i="1"/>
  <c r="A8" i="1"/>
  <c r="G1" i="79"/>
  <c r="BB10"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E22" i="6"/>
  <c r="E23" i="6"/>
  <c r="E24" i="6"/>
  <c r="E25" i="6"/>
  <c r="E26" i="6"/>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A9" i="1"/>
  <c r="K9" i="1"/>
  <c r="M9" i="1"/>
  <c r="S9" i="1"/>
  <c r="T9" i="1"/>
  <c r="F15" i="79"/>
  <c r="F17" i="79"/>
  <c r="F18" i="79"/>
  <c r="F20" i="79"/>
  <c r="C1" i="73"/>
  <c r="J1" i="73"/>
  <c r="D3" i="73"/>
  <c r="B22" i="1"/>
  <c r="E1" i="73"/>
  <c r="K1" i="73"/>
  <c r="F23" i="79"/>
  <c r="F21" i="79"/>
  <c r="B43" i="1"/>
  <c r="B41" i="1"/>
  <c r="F28" i="79"/>
  <c r="C42" i="1"/>
  <c r="C28" i="79"/>
  <c r="L1" i="73"/>
  <c r="F32" i="79"/>
  <c r="F33" i="79"/>
  <c r="B52" i="1"/>
  <c r="F34" i="79"/>
  <c r="BM13" i="3"/>
  <c r="BN13" i="3"/>
  <c r="BO13" i="3"/>
  <c r="BP13" i="3"/>
  <c r="BL13" i="3"/>
  <c r="BM14" i="3"/>
  <c r="BN14" i="3"/>
  <c r="BO14" i="3"/>
  <c r="BP14" i="3"/>
  <c r="BL14" i="3"/>
  <c r="BM15" i="3"/>
  <c r="BN15" i="3"/>
  <c r="BO15" i="3"/>
  <c r="BP15" i="3"/>
  <c r="BL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R9" i="1"/>
  <c r="F31" i="79"/>
  <c r="M47" i="15"/>
  <c r="E15" i="4"/>
  <c r="F6" i="1"/>
  <c r="G1" i="15"/>
  <c r="J50" i="15"/>
  <c r="J51" i="15"/>
  <c r="M47" i="78"/>
  <c r="F7" i="1"/>
  <c r="G1" i="78"/>
  <c r="J50" i="78"/>
  <c r="J51" i="78"/>
  <c r="M47" i="79"/>
  <c r="F8" i="1"/>
  <c r="J50" i="79"/>
  <c r="J51" i="79"/>
  <c r="AE9" i="1"/>
  <c r="C83" i="79"/>
  <c r="C82" i="79"/>
  <c r="C76" i="79"/>
  <c r="C75" i="79"/>
  <c r="C80" i="79"/>
  <c r="C79" i="79"/>
  <c r="M18" i="79"/>
  <c r="M19" i="79"/>
  <c r="M20" i="79"/>
  <c r="Q65" i="79"/>
  <c r="L51" i="79"/>
  <c r="L57" i="79"/>
  <c r="D6" i="1"/>
  <c r="D8" i="1"/>
  <c r="L47" i="79"/>
  <c r="L58" i="79"/>
  <c r="L59" i="79"/>
  <c r="L60" i="79"/>
  <c r="Q66" i="79"/>
  <c r="Q75" i="79"/>
  <c r="Q74" i="79"/>
  <c r="K59" i="79"/>
  <c r="P74" i="79"/>
  <c r="Q73" i="79"/>
  <c r="Q72" i="79"/>
  <c r="Q71" i="79"/>
  <c r="F71" i="79"/>
  <c r="F60" i="79"/>
  <c r="F61" i="79"/>
  <c r="F62" i="79"/>
  <c r="F59" i="79"/>
  <c r="C71" i="79"/>
  <c r="Q70" i="79"/>
  <c r="Q69" i="79"/>
  <c r="Q68" i="79"/>
  <c r="Q67" i="79"/>
  <c r="Q56" i="79"/>
  <c r="Q57" i="79"/>
  <c r="Q62" i="79"/>
  <c r="Q61" i="79"/>
  <c r="P61" i="79"/>
  <c r="Q60" i="79"/>
  <c r="J57" i="79"/>
  <c r="J55" i="79"/>
  <c r="J58" i="79"/>
  <c r="J59" i="79"/>
  <c r="Q59" i="79"/>
  <c r="N59" i="79"/>
  <c r="B24" i="1"/>
  <c r="M59" i="79"/>
  <c r="Q58" i="79"/>
  <c r="L56" i="79"/>
  <c r="I54" i="79"/>
  <c r="Q47" i="79"/>
  <c r="Q48" i="79"/>
  <c r="Q53" i="79"/>
  <c r="Q52" i="79"/>
  <c r="Q51" i="79"/>
  <c r="Q50" i="79"/>
  <c r="Q49" i="79"/>
  <c r="D46" i="79"/>
  <c r="C43" i="79"/>
  <c r="M29" i="79"/>
  <c r="M17" i="79"/>
  <c r="D24" i="79"/>
  <c r="D23" i="79"/>
  <c r="D22" i="79"/>
  <c r="B3" i="79"/>
  <c r="F15" i="78"/>
  <c r="F17" i="78"/>
  <c r="F18" i="78"/>
  <c r="F20" i="78"/>
  <c r="F23" i="78"/>
  <c r="F21" i="78"/>
  <c r="F28" i="78"/>
  <c r="C28" i="78"/>
  <c r="F32" i="78"/>
  <c r="F33" i="78"/>
  <c r="F34" i="78"/>
  <c r="F31" i="78"/>
  <c r="C83" i="78"/>
  <c r="C82" i="78"/>
  <c r="C76" i="78"/>
  <c r="C75" i="78"/>
  <c r="C80" i="78"/>
  <c r="C79" i="78"/>
  <c r="M18" i="78"/>
  <c r="M19" i="78"/>
  <c r="M20" i="78"/>
  <c r="Q65" i="78"/>
  <c r="L51" i="78"/>
  <c r="L57" i="78"/>
  <c r="D7" i="1"/>
  <c r="L47" i="78"/>
  <c r="L58" i="78"/>
  <c r="L59" i="78"/>
  <c r="L60" i="78"/>
  <c r="Q66" i="78"/>
  <c r="Q75" i="78"/>
  <c r="Q74" i="78"/>
  <c r="K59" i="78"/>
  <c r="P74" i="78"/>
  <c r="Q73" i="78"/>
  <c r="Q72" i="78"/>
  <c r="Q71" i="78"/>
  <c r="F71" i="78"/>
  <c r="F60" i="78"/>
  <c r="F61" i="78"/>
  <c r="F62" i="78"/>
  <c r="F59" i="78"/>
  <c r="C71" i="78"/>
  <c r="Q70" i="78"/>
  <c r="Q69" i="78"/>
  <c r="Q68" i="78"/>
  <c r="Q67" i="78"/>
  <c r="Q56" i="78"/>
  <c r="Q57" i="78"/>
  <c r="Q62" i="78"/>
  <c r="Q61" i="78"/>
  <c r="P61" i="78"/>
  <c r="Q60" i="78"/>
  <c r="J57" i="78"/>
  <c r="J55" i="78"/>
  <c r="J58" i="78"/>
  <c r="J59" i="78"/>
  <c r="Q59" i="78"/>
  <c r="N59" i="78"/>
  <c r="M59" i="78"/>
  <c r="Q58" i="78"/>
  <c r="L56" i="78"/>
  <c r="I54" i="78"/>
  <c r="Q47" i="78"/>
  <c r="Q48" i="78"/>
  <c r="Q53" i="78"/>
  <c r="Q52" i="78"/>
  <c r="Q51" i="78"/>
  <c r="Q50" i="78"/>
  <c r="Q49" i="78"/>
  <c r="D46" i="78"/>
  <c r="C43" i="78"/>
  <c r="M29" i="78"/>
  <c r="M17" i="78"/>
  <c r="D24" i="78"/>
  <c r="D23" i="78"/>
  <c r="D22" i="78"/>
  <c r="B3" i="78"/>
  <c r="E9" i="77"/>
  <c r="E51" i="77"/>
  <c r="E59" i="77"/>
  <c r="E62" i="77"/>
  <c r="E75"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G17" i="43"/>
  <c r="H17" i="43"/>
  <c r="I17" i="43"/>
  <c r="J17" i="43"/>
  <c r="C17" i="43"/>
  <c r="C16" i="43"/>
  <c r="I2" i="43"/>
  <c r="M5" i="43"/>
  <c r="C6" i="43"/>
  <c r="C5" i="43"/>
  <c r="I20" i="43"/>
  <c r="D4" i="73"/>
  <c r="E20" i="43"/>
  <c r="M17" i="43"/>
  <c r="G20" i="43"/>
  <c r="J20" i="43"/>
  <c r="C20" i="43"/>
  <c r="F39" i="43"/>
  <c r="C24"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E26" i="31"/>
  <c r="G26" i="31"/>
  <c r="I26" i="31"/>
  <c r="K26" i="31"/>
  <c r="M26" i="31"/>
  <c r="O26" i="31"/>
  <c r="Q27" i="31"/>
  <c r="E27" i="31"/>
  <c r="G27" i="31"/>
  <c r="I27" i="31"/>
  <c r="K27" i="31"/>
  <c r="M27" i="31"/>
  <c r="O27" i="31"/>
  <c r="Q28" i="31"/>
  <c r="E28" i="31"/>
  <c r="G28" i="31"/>
  <c r="I28" i="31"/>
  <c r="K28" i="31"/>
  <c r="M28" i="31"/>
  <c r="O28" i="31"/>
  <c r="Q29" i="31"/>
  <c r="E29" i="31"/>
  <c r="G29" i="31"/>
  <c r="I29" i="31"/>
  <c r="K29" i="31"/>
  <c r="M29" i="31"/>
  <c r="O29" i="31"/>
  <c r="Q30" i="31"/>
  <c r="E30" i="31"/>
  <c r="G30" i="31"/>
  <c r="I30" i="31"/>
  <c r="K30" i="31"/>
  <c r="M30" i="31"/>
  <c r="O30" i="31"/>
  <c r="Q31" i="31"/>
  <c r="E31" i="31"/>
  <c r="G31" i="31"/>
  <c r="I31" i="31"/>
  <c r="K31" i="31"/>
  <c r="M31" i="31"/>
  <c r="O31" i="31"/>
  <c r="Q32" i="31"/>
  <c r="E32" i="31"/>
  <c r="G32" i="31"/>
  <c r="I32" i="31"/>
  <c r="K32" i="31"/>
  <c r="M32" i="31"/>
  <c r="O32" i="31"/>
  <c r="Q33" i="31"/>
  <c r="E33" i="31"/>
  <c r="G33" i="31"/>
  <c r="I33" i="31"/>
  <c r="K33" i="31"/>
  <c r="M33" i="31"/>
  <c r="O33" i="31"/>
  <c r="Q34" i="31"/>
  <c r="E34" i="31"/>
  <c r="G34" i="31"/>
  <c r="I34" i="31"/>
  <c r="K34" i="31"/>
  <c r="M34" i="31"/>
  <c r="O34" i="31"/>
  <c r="Q35" i="31"/>
  <c r="E35" i="31"/>
  <c r="G35" i="31"/>
  <c r="I35" i="31"/>
  <c r="K35" i="31"/>
  <c r="M35" i="31"/>
  <c r="O35" i="31"/>
  <c r="Q36" i="31"/>
  <c r="E36" i="31"/>
  <c r="G36" i="31"/>
  <c r="I36" i="31"/>
  <c r="K36" i="31"/>
  <c r="M36" i="31"/>
  <c r="O36" i="31"/>
  <c r="Q37" i="31"/>
  <c r="E37" i="31"/>
  <c r="G37" i="31"/>
  <c r="I37" i="31"/>
  <c r="K37" i="31"/>
  <c r="M37" i="31"/>
  <c r="O37" i="31"/>
  <c r="Q38" i="31"/>
  <c r="E38" i="31"/>
  <c r="G38" i="31"/>
  <c r="I38" i="31"/>
  <c r="K38" i="31"/>
  <c r="M38" i="31"/>
  <c r="O38" i="31"/>
  <c r="Q39" i="31"/>
  <c r="E39" i="31"/>
  <c r="G39" i="31"/>
  <c r="I39" i="31"/>
  <c r="K39" i="31"/>
  <c r="M39" i="31"/>
  <c r="O39" i="31"/>
  <c r="Q40" i="31"/>
  <c r="E40" i="31"/>
  <c r="G40" i="31"/>
  <c r="I40" i="31"/>
  <c r="K40" i="31"/>
  <c r="M40" i="31"/>
  <c r="O40" i="31"/>
  <c r="Q41" i="31"/>
  <c r="E41" i="31"/>
  <c r="G41" i="31"/>
  <c r="I41" i="31"/>
  <c r="K41" i="31"/>
  <c r="M41" i="31"/>
  <c r="O41" i="31"/>
  <c r="Q42" i="31"/>
  <c r="E42" i="31"/>
  <c r="G42" i="31"/>
  <c r="I42" i="31"/>
  <c r="K42" i="31"/>
  <c r="M42" i="31"/>
  <c r="O42" i="31"/>
  <c r="Q43" i="31"/>
  <c r="E43" i="31"/>
  <c r="G43" i="31"/>
  <c r="I43" i="31"/>
  <c r="K43" i="31"/>
  <c r="M43" i="31"/>
  <c r="O43" i="31"/>
  <c r="Q44" i="31"/>
  <c r="E44" i="31"/>
  <c r="G44" i="31"/>
  <c r="I44" i="31"/>
  <c r="K44" i="31"/>
  <c r="M44" i="31"/>
  <c r="O44" i="31"/>
  <c r="Q45" i="31"/>
  <c r="E45" i="31"/>
  <c r="G45" i="31"/>
  <c r="I45" i="31"/>
  <c r="K45" i="31"/>
  <c r="M45" i="31"/>
  <c r="O45" i="31"/>
  <c r="Q46" i="31"/>
  <c r="E46" i="31"/>
  <c r="G46" i="31"/>
  <c r="I46" i="31"/>
  <c r="K46" i="31"/>
  <c r="M46" i="31"/>
  <c r="O46" i="31"/>
  <c r="Q47" i="31"/>
  <c r="E47" i="31"/>
  <c r="G47" i="31"/>
  <c r="I47" i="31"/>
  <c r="K47" i="31"/>
  <c r="M47" i="31"/>
  <c r="O47" i="31"/>
  <c r="Q48" i="31"/>
  <c r="E48" i="31"/>
  <c r="G48" i="31"/>
  <c r="I48" i="31"/>
  <c r="K48" i="31"/>
  <c r="M48" i="31"/>
  <c r="O48" i="31"/>
  <c r="Q49" i="31"/>
  <c r="E49" i="31"/>
  <c r="G49" i="31"/>
  <c r="I49" i="31"/>
  <c r="K49" i="31"/>
  <c r="M49" i="31"/>
  <c r="O49" i="31"/>
  <c r="Q50" i="31"/>
  <c r="E50" i="31"/>
  <c r="G50" i="31"/>
  <c r="I50" i="31"/>
  <c r="K50" i="31"/>
  <c r="M50" i="31"/>
  <c r="O50" i="31"/>
  <c r="Q51" i="31"/>
  <c r="E51" i="31"/>
  <c r="G51" i="31"/>
  <c r="I51" i="31"/>
  <c r="K51" i="31"/>
  <c r="M51" i="31"/>
  <c r="O51" i="31"/>
  <c r="Q52" i="31"/>
  <c r="E52" i="31"/>
  <c r="G52" i="31"/>
  <c r="I52" i="31"/>
  <c r="K52" i="31"/>
  <c r="M52" i="31"/>
  <c r="O52" i="31"/>
  <c r="Q53" i="31"/>
  <c r="E53" i="31"/>
  <c r="G53" i="31"/>
  <c r="I53" i="31"/>
  <c r="K53" i="31"/>
  <c r="M53" i="31"/>
  <c r="O53" i="31"/>
  <c r="Q54" i="31"/>
  <c r="E54" i="31"/>
  <c r="G54" i="31"/>
  <c r="I54" i="31"/>
  <c r="K54" i="31"/>
  <c r="M54" i="31"/>
  <c r="O54" i="31"/>
  <c r="Q55" i="31"/>
  <c r="E55" i="31"/>
  <c r="G55" i="31"/>
  <c r="I55" i="31"/>
  <c r="K55" i="31"/>
  <c r="M55" i="31"/>
  <c r="O55" i="31"/>
  <c r="Q56" i="31"/>
  <c r="E56" i="31"/>
  <c r="G56" i="31"/>
  <c r="I56" i="31"/>
  <c r="K56" i="31"/>
  <c r="M56" i="31"/>
  <c r="O56" i="31"/>
  <c r="Q57" i="31"/>
  <c r="E57" i="31"/>
  <c r="G57" i="31"/>
  <c r="I57" i="31"/>
  <c r="K57" i="31"/>
  <c r="M57" i="31"/>
  <c r="O57" i="31"/>
  <c r="Q58" i="31"/>
  <c r="E58" i="31"/>
  <c r="G58" i="31"/>
  <c r="I58" i="31"/>
  <c r="K58" i="31"/>
  <c r="M58" i="31"/>
  <c r="O58" i="31"/>
  <c r="Q59" i="31"/>
  <c r="E59" i="31"/>
  <c r="G59" i="31"/>
  <c r="I59" i="31"/>
  <c r="K59" i="31"/>
  <c r="M59" i="31"/>
  <c r="O59" i="31"/>
  <c r="Q60" i="31"/>
  <c r="E60" i="31"/>
  <c r="G60" i="31"/>
  <c r="I60" i="31"/>
  <c r="K60" i="31"/>
  <c r="M60" i="31"/>
  <c r="O60" i="31"/>
  <c r="Q61" i="31"/>
  <c r="E61" i="31"/>
  <c r="G61" i="31"/>
  <c r="I61" i="31"/>
  <c r="K61" i="31"/>
  <c r="M61" i="31"/>
  <c r="O61" i="31"/>
  <c r="Q62" i="31"/>
  <c r="E62" i="31"/>
  <c r="G62" i="31"/>
  <c r="I62" i="31"/>
  <c r="K62" i="31"/>
  <c r="M62" i="31"/>
  <c r="O62" i="31"/>
  <c r="Q63" i="31"/>
  <c r="E63" i="31"/>
  <c r="G63" i="31"/>
  <c r="I63" i="31"/>
  <c r="K63" i="31"/>
  <c r="M63" i="31"/>
  <c r="O63" i="31"/>
  <c r="Q64" i="31"/>
  <c r="E64" i="31"/>
  <c r="G64" i="31"/>
  <c r="I64" i="31"/>
  <c r="K64" i="31"/>
  <c r="M64" i="31"/>
  <c r="O64" i="31"/>
  <c r="Q65" i="31"/>
  <c r="E65" i="31"/>
  <c r="G65" i="31"/>
  <c r="I65" i="31"/>
  <c r="K65" i="31"/>
  <c r="M65" i="31"/>
  <c r="O65" i="31"/>
  <c r="Q66" i="31"/>
  <c r="E66" i="31"/>
  <c r="G66" i="31"/>
  <c r="I66" i="31"/>
  <c r="K66" i="31"/>
  <c r="M66" i="31"/>
  <c r="O66" i="31"/>
  <c r="Q67" i="31"/>
  <c r="E67" i="31"/>
  <c r="G67" i="31"/>
  <c r="I67" i="31"/>
  <c r="K67" i="31"/>
  <c r="M67" i="31"/>
  <c r="O67" i="31"/>
  <c r="Q68" i="31"/>
  <c r="E68" i="31"/>
  <c r="G68" i="31"/>
  <c r="I68" i="31"/>
  <c r="K68" i="31"/>
  <c r="M68" i="31"/>
  <c r="O68" i="31"/>
  <c r="Q69" i="31"/>
  <c r="E69" i="31"/>
  <c r="G69" i="31"/>
  <c r="I69" i="31"/>
  <c r="K69" i="31"/>
  <c r="M69" i="31"/>
  <c r="O69" i="31"/>
  <c r="Q70" i="31"/>
  <c r="E70" i="31"/>
  <c r="G70" i="31"/>
  <c r="I70" i="31"/>
  <c r="K70" i="31"/>
  <c r="M70" i="31"/>
  <c r="O70" i="31"/>
  <c r="Q71" i="31"/>
  <c r="E71" i="31"/>
  <c r="G71" i="31"/>
  <c r="I71" i="31"/>
  <c r="K71" i="31"/>
  <c r="M71" i="31"/>
  <c r="O71" i="31"/>
  <c r="Q72" i="31"/>
  <c r="E72" i="31"/>
  <c r="G72" i="31"/>
  <c r="I72" i="31"/>
  <c r="K72" i="31"/>
  <c r="M72" i="31"/>
  <c r="O72" i="31"/>
  <c r="Q73" i="31"/>
  <c r="E73" i="31"/>
  <c r="G73" i="31"/>
  <c r="I73" i="31"/>
  <c r="K73" i="31"/>
  <c r="M73" i="31"/>
  <c r="O73" i="31"/>
  <c r="Q74" i="31"/>
  <c r="E74" i="31"/>
  <c r="G74" i="31"/>
  <c r="I74" i="31"/>
  <c r="K74" i="31"/>
  <c r="M74" i="31"/>
  <c r="O74" i="31"/>
  <c r="Q75" i="31"/>
  <c r="E75" i="31"/>
  <c r="G75" i="31"/>
  <c r="I75" i="31"/>
  <c r="K75" i="31"/>
  <c r="M75" i="31"/>
  <c r="O75" i="31"/>
  <c r="Q76" i="31"/>
  <c r="E76" i="31"/>
  <c r="G76" i="31"/>
  <c r="I76" i="31"/>
  <c r="K76" i="31"/>
  <c r="M76" i="31"/>
  <c r="O76" i="31"/>
  <c r="Q77" i="31"/>
  <c r="E77" i="31"/>
  <c r="G77" i="31"/>
  <c r="I77" i="31"/>
  <c r="K77" i="31"/>
  <c r="M77" i="31"/>
  <c r="O77" i="31"/>
  <c r="Q78" i="31"/>
  <c r="E78" i="31"/>
  <c r="G78" i="31"/>
  <c r="I78" i="31"/>
  <c r="K78" i="31"/>
  <c r="M78" i="31"/>
  <c r="O78" i="31"/>
  <c r="Q79" i="31"/>
  <c r="E79" i="31"/>
  <c r="G79" i="31"/>
  <c r="I79" i="31"/>
  <c r="K79" i="31"/>
  <c r="M79" i="31"/>
  <c r="O79" i="31"/>
  <c r="Q80" i="31"/>
  <c r="E80" i="31"/>
  <c r="G80" i="31"/>
  <c r="I80" i="31"/>
  <c r="K80" i="31"/>
  <c r="M80" i="31"/>
  <c r="O80" i="31"/>
  <c r="Q81" i="31"/>
  <c r="E81" i="31"/>
  <c r="G81" i="31"/>
  <c r="I81" i="31"/>
  <c r="K81" i="31"/>
  <c r="M81" i="31"/>
  <c r="O81" i="31"/>
  <c r="Q82" i="31"/>
  <c r="E82" i="31"/>
  <c r="G82" i="31"/>
  <c r="I82" i="31"/>
  <c r="K82" i="31"/>
  <c r="M82" i="31"/>
  <c r="O82" i="31"/>
  <c r="Q83" i="31"/>
  <c r="E83" i="31"/>
  <c r="G83" i="31"/>
  <c r="I83" i="31"/>
  <c r="K83" i="31"/>
  <c r="M83" i="31"/>
  <c r="O83" i="31"/>
  <c r="Q84" i="31"/>
  <c r="E84" i="31"/>
  <c r="G84" i="31"/>
  <c r="I84" i="31"/>
  <c r="K84" i="31"/>
  <c r="M84" i="31"/>
  <c r="O84" i="31"/>
  <c r="Q85" i="31"/>
  <c r="E85" i="31"/>
  <c r="G85" i="31"/>
  <c r="I85" i="31"/>
  <c r="K85" i="31"/>
  <c r="M85" i="31"/>
  <c r="O85" i="31"/>
  <c r="Q86" i="31"/>
  <c r="E86" i="31"/>
  <c r="G86" i="31"/>
  <c r="I86" i="31"/>
  <c r="K86" i="31"/>
  <c r="M86" i="31"/>
  <c r="O86" i="31"/>
  <c r="Q87" i="31"/>
  <c r="E87" i="31"/>
  <c r="G87" i="31"/>
  <c r="I87" i="31"/>
  <c r="K87" i="31"/>
  <c r="M87" i="31"/>
  <c r="O87" i="31"/>
  <c r="Q88" i="31"/>
  <c r="E88" i="31"/>
  <c r="G88" i="31"/>
  <c r="I88" i="31"/>
  <c r="K88" i="31"/>
  <c r="M88" i="31"/>
  <c r="O88" i="31"/>
  <c r="Q89" i="31"/>
  <c r="E89" i="31"/>
  <c r="G89" i="31"/>
  <c r="I89" i="31"/>
  <c r="K89" i="31"/>
  <c r="M89" i="31"/>
  <c r="O89" i="31"/>
  <c r="Q90" i="31"/>
  <c r="E90" i="31"/>
  <c r="G90" i="31"/>
  <c r="I90" i="31"/>
  <c r="K90" i="31"/>
  <c r="M90" i="31"/>
  <c r="O90" i="31"/>
  <c r="Q25" i="31"/>
  <c r="E25" i="31"/>
  <c r="G25" i="31"/>
  <c r="I25" i="31"/>
  <c r="K25" i="31"/>
  <c r="M25" i="31"/>
  <c r="O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87" i="33"/>
  <c r="E87"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H113" i="43"/>
  <c r="N5"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D2" i="34"/>
  <c r="D2" i="33"/>
  <c r="E2" i="68"/>
  <c r="D2" i="35"/>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<sst xmlns="http://schemas.openxmlformats.org/spreadsheetml/2006/main" count="8584" uniqueCount="3288">
  <si>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</si>
  <si>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</si>
  <si>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</si>
  <si>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</si>
  <si>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</si>
  <si>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</si>
  <si>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</si>
  <si>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</si>
  <si>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</si>
  <si>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</si>
  <si>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</si>
  <si>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</si>
  <si>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</si>
  <si>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</si>
  <si>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</si>
  <si>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</si>
  <si>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</si>
  <si>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</si>
  <si>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</si>
  <si>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</si>
  <si>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</si>
  <si>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</si>
  <si>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</si>
  <si>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</si>
  <si>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</si>
  <si>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</si>
  <si>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</si>
  <si>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</si>
  <si>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</si>
  <si>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</si>
  <si>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</si>
  <si>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</si>
  <si>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</si>
  <si>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</si>
  <si>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</si>
  <si>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</si>
  <si>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</si>
  <si>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</si>
  <si>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</si>
  <si>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</si>
  <si>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</si>
  <si>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</si>
  <si>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</si>
  <si>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</si>
  <si>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</si>
  <si>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</si>
  <si>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</si>
  <si>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</si>
  <si>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</si>
  <si>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</si>
  <si>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</si>
  <si>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</si>
  <si>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</si>
  <si>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</si>
  <si>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</si>
  <si>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</si>
  <si>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</si>
  <si>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</si>
  <si>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</si>
  <si>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</si>
  <si>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</si>
  <si>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</si>
  <si>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</si>
  <si>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</si>
  <si>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</si>
  <si>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</si>
  <si>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</si>
  <si>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</si>
  <si>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</si>
  <si>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</si>
  <si>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</si>
  <si>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</si>
  <si>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</si>
  <si>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</si>
  <si>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</si>
  <si>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</si>
  <si>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</si>
  <si>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</si>
  <si>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</si>
  <si>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</si>
  <si>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</si>
  <si>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</si>
  <si>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</si>
  <si>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</si>
  <si>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</si>
  <si>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</si>
  <si>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</si>
  <si>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</si>
  <si>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</si>
  <si>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</si>
  <si>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</si>
  <si>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</si>
  <si>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</si>
  <si>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</si>
  <si>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</si>
  <si>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</si>
  <si>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</si>
  <si>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</si>
  <si>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</si>
  <si>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</si>
  <si>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</si>
  <si>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</si>
  <si>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</si>
  <si>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</si>
  <si>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</si>
  <si>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</si>
  <si>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</si>
  <si>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</si>
  <si>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</si>
  <si>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</si>
  <si>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</si>
  <si>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</si>
  <si>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</si>
  <si>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</si>
  <si>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</si>
  <si>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</si>
  <si>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</si>
  <si>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</si>
  <si>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</si>
  <si>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</si>
  <si>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</si>
  <si>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</si>
  <si>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</si>
  <si>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</si>
  <si>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</si>
  <si>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</si>
  <si>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</si>
  <si>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</si>
  <si>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</si>
  <si>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</si>
  <si>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</si>
  <si>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</si>
  <si>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</si>
  <si>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</si>
  <si>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</si>
  <si>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</si>
  <si>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</si>
  <si>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</si>
  <si>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</si>
  <si>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</si>
  <si>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</si>
  <si>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</si>
  <si>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</si>
  <si>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</si>
  <si>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</si>
  <si>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</si>
  <si>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</si>
  <si>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</si>
  <si>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</si>
  <si>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</si>
  <si>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</si>
  <si>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</si>
  <si>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</si>
  <si>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</si>
  <si>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</si>
  <si>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</si>
  <si>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</si>
  <si>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</si>
  <si>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</si>
  <si>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</si>
  <si>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</si>
  <si>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</si>
  <si>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</si>
  <si>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</si>
  <si>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</si>
  <si>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</si>
  <si>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</si>
  <si>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</si>
  <si>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</si>
  <si>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</si>
  <si>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</si>
  <si>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</si>
  <si>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</si>
  <si>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</si>
  <si>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</si>
  <si>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</si>
  <si>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</si>
  <si>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</si>
  <si>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</si>
  <si>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</si>
  <si>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</si>
  <si>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</si>
  <si>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</si>
  <si>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</si>
  <si>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</si>
  <si>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</si>
  <si>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</si>
  <si>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</si>
  <si>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</si>
  <si>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</si>
  <si>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</si>
  <si>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</si>
  <si>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</si>
  <si>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</si>
  <si>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</si>
  <si>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</si>
  <si>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</si>
  <si>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</si>
  <si>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</si>
  <si>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</si>
  <si>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</si>
  <si>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</si>
  <si>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</si>
  <si>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</si>
  <si>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</si>
  <si>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</si>
  <si>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</si>
  <si>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</si>
  <si>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</si>
  <si>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</si>
  <si>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</si>
  <si>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</si>
  <si>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</si>
  <si>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</si>
  <si>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</si>
  <si>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</si>
  <si>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</si>
  <si>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</si>
  <si>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</si>
  <si>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</si>
  <si>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</si>
  <si>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</si>
  <si>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</si>
  <si>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</si>
  <si>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</si>
  <si>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</si>
  <si>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</si>
  <si>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</si>
  <si>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</si>
  <si>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</si>
  <si>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</si>
  <si>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</si>
  <si>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</si>
  <si>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</si>
  <si>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</si>
  <si>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</si>
  <si>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</si>
  <si>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</si>
  <si>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</si>
  <si>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</si>
  <si>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</si>
  <si>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</si>
  <si>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</si>
  <si>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</si>
  <si>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</si>
  <si>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</si>
  <si>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</si>
  <si>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</si>
  <si>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</si>
  <si>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</si>
  <si>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</si>
  <si>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</si>
  <si>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</si>
  <si>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</si>
  <si>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</si>
  <si>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</si>
  <si>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</si>
  <si>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</si>
  <si>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</si>
  <si>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</si>
  <si>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</si>
  <si>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</si>
  <si>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</si>
  <si>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</si>
  <si>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</si>
  <si>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</si>
  <si>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</si>
  <si>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</si>
  <si>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</si>
  <si>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</si>
  <si>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</si>
  <si>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</si>
  <si>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</si>
  <si>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</si>
  <si>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</si>
  <si>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</si>
  <si>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</si>
  <si>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</si>
  <si>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</si>
  <si>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</si>
  <si>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</si>
  <si>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</si>
  <si>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</si>
  <si>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</si>
  <si>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</si>
  <si>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</si>
  <si>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</si>
  <si>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</si>
  <si>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</si>
  <si>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</si>
  <si>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</si>
  <si>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</si>
  <si>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</si>
  <si>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</si>
  <si>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</si>
  <si>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</si>
  <si>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</si>
  <si>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</si>
  <si>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</si>
  <si>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</si>
  <si>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</si>
  <si>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</si>
  <si>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</si>
  <si>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</si>
  <si>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</si>
  <si>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</si>
  <si>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</si>
  <si>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</si>
  <si>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</si>
  <si>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</si>
  <si>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</si>
  <si>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</si>
  <si>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</si>
  <si>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</si>
  <si>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</si>
  <si>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</si>
  <si>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</si>
  <si>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</si>
  <si>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</si>
  <si>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</si>
  <si>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</si>
  <si>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</si>
  <si>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</si>
  <si>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</si>
  <si>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</si>
  <si>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</si>
  <si>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</si>
  <si>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</si>
  <si>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</si>
  <si>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</si>
  <si>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</si>
  <si>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</si>
  <si>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</si>
  <si>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</si>
  <si>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</si>
  <si>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</si>
  <si>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</si>
  <si>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</si>
  <si>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</si>
  <si>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</si>
  <si>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</si>
  <si>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</si>
  <si>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</si>
  <si>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</si>
  <si>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</si>
  <si>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</si>
  <si>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</si>
  <si>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</si>
  <si>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</si>
  <si>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</si>
  <si>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</si>
  <si>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</si>
  <si>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</si>
  <si>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</si>
  <si>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</si>
  <si>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</si>
  <si>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</si>
  <si>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</si>
  <si>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</si>
  <si>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</si>
  <si>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</si>
  <si>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</si>
  <si>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</si>
  <si>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</si>
  <si>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</si>
  <si>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</si>
  <si>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</si>
  <si>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</si>
  <si>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</si>
  <si>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</si>
  <si>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</si>
  <si>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</si>
  <si>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</si>
  <si>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</si>
  <si>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</si>
  <si>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</si>
  <si>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</si>
  <si>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</si>
  <si>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</si>
  <si>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</si>
  <si>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</si>
  <si>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</si>
  <si>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</si>
  <si>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</si>
  <si>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</si>
  <si>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</si>
  <si>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</si>
  <si>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</si>
  <si>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</si>
  <si>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</si>
  <si>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</si>
  <si>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</si>
  <si>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</si>
  <si>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</si>
  <si>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</si>
  <si>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</si>
  <si>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</si>
  <si>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</si>
  <si>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</si>
  <si>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</si>
  <si>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</si>
  <si>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</si>
  <si>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</si>
  <si>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</si>
  <si>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</si>
  <si>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</si>
  <si>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</si>
  <si>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</si>
  <si>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</si>
  <si>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</si>
  <si>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</si>
  <si>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</si>
  <si>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</si>
  <si>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</si>
  <si>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</si>
  <si>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</si>
  <si>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</si>
  <si>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</si>
  <si>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</si>
  <si>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</si>
  <si>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</si>
  <si>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</si>
  <si>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</si>
  <si>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</si>
  <si>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</si>
  <si>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</si>
  <si>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</si>
  <si>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</si>
  <si>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</si>
  <si>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</si>
  <si>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</si>
  <si>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</si>
  <si>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</si>
  <si>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</si>
  <si>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</si>
  <si>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</si>
  <si>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</si>
  <si>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</si>
  <si>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</si>
  <si>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</si>
  <si>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</si>
  <si>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</si>
  <si>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</si>
  <si>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</si>
  <si>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</si>
  <si>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</si>
  <si>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</si>
  <si>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</si>
  <si>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</si>
  <si>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</si>
  <si>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</si>
  <si>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</si>
  <si>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</si>
  <si>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</si>
  <si>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</si>
  <si>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</si>
  <si>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</si>
  <si>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</si>
  <si>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</si>
  <si>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</si>
  <si>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</si>
  <si>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</si>
  <si>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</si>
  <si>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</si>
  <si>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</si>
  <si>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</si>
  <si>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</si>
  <si>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</si>
  <si>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</si>
  <si>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</si>
  <si>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</si>
  <si>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</si>
  <si>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</si>
  <si>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</si>
  <si>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</si>
  <si>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</si>
  <si>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</si>
  <si>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</si>
  <si>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</si>
  <si>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</si>
  <si>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</si>
  <si>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</si>
  <si>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</si>
  <si>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</si>
  <si>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</si>
  <si>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</si>
  <si>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</si>
  <si>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</si>
  <si>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</si>
  <si>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</si>
  <si>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</si>
  <si>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</si>
  <si>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</si>
  <si>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</si>
  <si>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</si>
  <si>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</si>
  <si>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</si>
  <si>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</si>
  <si>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</si>
  <si>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</si>
  <si>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</si>
  <si>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</si>
  <si>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</si>
  <si>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</si>
  <si>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</si>
  <si>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</si>
  <si>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</si>
  <si>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</si>
  <si>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</si>
  <si>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</si>
  <si>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</si>
  <si>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</si>
  <si>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</si>
  <si>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</si>
  <si>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</si>
  <si>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</si>
  <si>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</si>
  <si>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</si>
  <si>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</si>
  <si>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</si>
  <si>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</si>
  <si>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</si>
  <si>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</si>
  <si>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</si>
  <si>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</si>
  <si>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</si>
  <si>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</si>
  <si>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</si>
  <si>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</si>
  <si>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</si>
  <si>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</si>
  <si>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</si>
  <si>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</si>
  <si>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</si>
  <si>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</si>
  <si>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</si>
  <si>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</si>
  <si>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</si>
  <si>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</si>
  <si>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</si>
  <si>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</si>
  <si>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</si>
  <si>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</si>
  <si>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</si>
  <si>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</si>
  <si>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</si>
  <si>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</si>
  <si>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</si>
  <si>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</si>
  <si>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</si>
  <si>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</si>
  <si>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</si>
  <si>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</si>
  <si>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</si>
  <si>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</si>
  <si>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</si>
  <si>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</si>
  <si>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</si>
  <si>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</si>
  <si>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</si>
  <si>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</si>
  <si>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</si>
  <si>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</si>
  <si>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</si>
  <si>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</si>
  <si>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</si>
  <si>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</si>
  <si>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</si>
  <si>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</si>
  <si>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</si>
  <si>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</si>
  <si>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</si>
  <si>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</si>
  <si>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</si>
  <si>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</si>
  <si>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</si>
  <si>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</si>
  <si>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</si>
  <si>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</si>
  <si>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</si>
  <si>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</si>
  <si>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</si>
  <si>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</si>
  <si>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</si>
  <si>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</si>
  <si>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</si>
  <si>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</si>
  <si>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</si>
  <si>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</si>
  <si>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</si>
  <si>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</si>
  <si>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</si>
  <si>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</si>
  <si>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</si>
  <si>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</si>
  <si>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</si>
  <si>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</si>
  <si>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</si>
  <si>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</si>
  <si>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</si>
  <si>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</si>
  <si>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</si>
  <si>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</si>
  <si>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</si>
  <si>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</si>
  <si>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</si>
  <si>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</si>
  <si>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</si>
  <si>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</si>
  <si>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</si>
  <si>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</si>
  <si>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</si>
  <si>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</si>
  <si>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</si>
  <si>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</si>
  <si>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</si>
  <si>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</si>
  <si>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</si>
  <si>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</si>
  <si>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</si>
  <si>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</si>
  <si>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</si>
  <si>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</si>
  <si>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</si>
  <si>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</si>
  <si>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</si>
  <si>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</si>
  <si>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</si>
  <si>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</si>
  <si>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</si>
  <si>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</si>
  <si>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</si>
  <si>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</si>
  <si>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</si>
  <si>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</si>
  <si>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</si>
  <si>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</si>
  <si>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</si>
  <si>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</si>
  <si>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</si>
  <si>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</si>
  <si>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</si>
  <si>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</si>
  <si>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</si>
  <si>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</si>
  <si>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</si>
  <si>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</si>
  <si>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</si>
  <si>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</si>
  <si>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</si>
  <si>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</si>
  <si>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</si>
  <si>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</si>
  <si>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</si>
  <si>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</si>
  <si>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</si>
  <si>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</si>
  <si>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</si>
  <si>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</si>
  <si>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</si>
  <si>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</si>
  <si>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</si>
  <si>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</si>
  <si>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</si>
  <si>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</si>
  <si>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</si>
  <si>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</si>
  <si>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</si>
  <si>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</si>
  <si>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</si>
  <si>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</si>
  <si>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</si>
  <si>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</si>
  <si>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</si>
  <si>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</si>
  <si>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</si>
  <si>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</si>
  <si>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</si>
  <si>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</si>
  <si>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</si>
  <si>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</si>
  <si>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</si>
  <si>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</si>
  <si>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</si>
  <si>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</si>
  <si>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</si>
  <si>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</si>
  <si>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</si>
  <si>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</si>
  <si>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</si>
  <si>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</si>
  <si>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</si>
  <si>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</si>
  <si>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</si>
  <si>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</si>
  <si>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</si>
  <si>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</si>
  <si>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</si>
  <si>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</si>
  <si>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</si>
  <si>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</si>
  <si>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</si>
  <si>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</si>
  <si>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</si>
  <si>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</si>
  <si>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</si>
  <si>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</si>
  <si>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</si>
  <si>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</si>
  <si>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</si>
  <si>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</si>
  <si>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</si>
  <si>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</si>
  <si>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</si>
  <si>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</si>
  <si>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</si>
  <si>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</si>
  <si>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</si>
  <si>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</si>
  <si>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</si>
  <si>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</si>
  <si>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</si>
  <si>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</si>
  <si>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</si>
  <si>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</si>
  <si>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</si>
  <si>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</si>
  <si>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</si>
  <si>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</si>
  <si>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</si>
  <si>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</si>
  <si>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</si>
  <si>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</si>
  <si>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</si>
  <si>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</si>
  <si>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</si>
  <si>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</si>
  <si>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</si>
  <si>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</si>
  <si>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</si>
  <si>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</si>
  <si>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</si>
  <si>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</si>
  <si>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</si>
  <si>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</si>
  <si>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</si>
  <si>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</si>
  <si>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</si>
  <si>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</si>
  <si>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</si>
  <si>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</si>
  <si>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</si>
  <si>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</si>
  <si>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</si>
  <si>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</si>
  <si>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</si>
  <si>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</si>
  <si>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</si>
  <si>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</si>
  <si>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</si>
  <si>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</si>
  <si>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</si>
  <si>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</si>
  <si>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</si>
  <si>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</si>
  <si>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</si>
  <si>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</si>
  <si>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</si>
  <si>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</si>
  <si>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</si>
  <si>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</si>
  <si>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</si>
  <si>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</si>
  <si>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</si>
  <si>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</si>
  <si>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</si>
  <si>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</si>
  <si>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</si>
  <si>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</si>
  <si>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</si>
  <si>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</si>
  <si>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</si>
  <si>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</si>
  <si>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</si>
  <si>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</si>
  <si>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</si>
  <si>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</si>
  <si>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</si>
  <si>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</si>
  <si>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</si>
  <si>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</si>
  <si>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</si>
  <si>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</si>
  <si>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</si>
  <si>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</si>
  <si>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</si>
  <si>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</si>
  <si>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</si>
  <si>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</si>
  <si>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</si>
  <si>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</si>
  <si>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</si>
  <si>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</si>
  <si>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</si>
  <si>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</si>
  <si>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</si>
  <si>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</si>
  <si>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</si>
  <si>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</si>
  <si>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</si>
  <si>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</si>
  <si>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</si>
  <si>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</si>
  <si>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</si>
  <si>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</si>
  <si>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</si>
  <si>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</si>
  <si>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</si>
  <si>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</si>
  <si>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</si>
  <si>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</si>
  <si>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</si>
  <si>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</si>
  <si>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</si>
  <si>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</si>
  <si>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</si>
  <si>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</si>
  <si>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</si>
  <si>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</si>
  <si>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</si>
  <si>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</si>
  <si>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</si>
  <si>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</si>
  <si>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</si>
  <si>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</si>
  <si>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</si>
  <si>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</si>
  <si>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</si>
  <si>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</si>
  <si>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</si>
  <si>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</si>
  <si>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</si>
  <si>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</si>
  <si>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</si>
  <si>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</si>
  <si>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</si>
  <si>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</si>
  <si>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</si>
  <si>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</si>
  <si>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</si>
  <si>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</si>
  <si>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</si>
  <si>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</si>
  <si>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</si>
  <si>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</si>
  <si>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</si>
  <si>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</si>
  <si>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</si>
  <si>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</si>
  <si>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</si>
  <si>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</si>
  <si>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</si>
  <si>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</si>
  <si>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</si>
  <si>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</si>
  <si>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</si>
  <si>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</si>
  <si>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</si>
  <si>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</si>
  <si>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</si>
  <si>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</si>
  <si>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</si>
  <si>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</si>
  <si>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</si>
  <si>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</si>
  <si>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</si>
  <si>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</si>
  <si>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</si>
  <si>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</si>
  <si>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</si>
  <si>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</si>
  <si>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</si>
  <si>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</si>
  <si>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</si>
  <si>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</si>
  <si>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</si>
  <si>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</si>
  <si>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</si>
  <si>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</si>
  <si>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</si>
  <si>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</si>
  <si>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</si>
  <si>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</si>
  <si>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</si>
  <si>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</si>
  <si>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</si>
  <si>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</si>
  <si>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</si>
  <si>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</si>
  <si>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</si>
  <si>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</si>
  <si>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</si>
  <si>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</si>
  <si>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</si>
  <si>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</si>
  <si>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</si>
  <si>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</si>
  <si>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</si>
  <si>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</si>
  <si>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</si>
  <si>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</si>
  <si>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</si>
  <si>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</si>
  <si>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</si>
  <si>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</si>
  <si>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</si>
  <si>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</si>
  <si>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</si>
  <si>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</si>
  <si>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</si>
  <si>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</si>
  <si>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</si>
  <si>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</si>
  <si>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</si>
  <si>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</si>
  <si>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</si>
  <si>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</si>
  <si>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</si>
  <si>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</si>
  <si>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</si>
  <si>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</si>
  <si>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</si>
  <si>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</si>
  <si>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</si>
  <si>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</si>
  <si>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</si>
  <si>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</si>
  <si>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</si>
  <si>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</si>
  <si>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</si>
  <si>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</si>
  <si>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</si>
  <si>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</si>
  <si>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</si>
  <si>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</si>
  <si>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</si>
  <si>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</si>
  <si>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</si>
  <si>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</si>
  <si>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</si>
  <si>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</si>
  <si>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</si>
  <si>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</si>
  <si>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</si>
  <si>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</si>
  <si>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</si>
  <si>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</si>
  <si>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</si>
  <si>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</si>
  <si>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</si>
  <si>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</si>
  <si>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</si>
  <si>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</si>
  <si>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</si>
  <si>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</si>
  <si>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</si>
  <si>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</si>
  <si>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</si>
  <si>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</si>
  <si>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</si>
  <si>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</si>
  <si>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</si>
  <si>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</si>
  <si>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</si>
  <si>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</si>
  <si>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</si>
  <si>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</si>
  <si>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</si>
  <si>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</si>
  <si>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</si>
  <si>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</si>
  <si>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</si>
  <si>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</si>
  <si>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</si>
  <si>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</si>
  <si>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</si>
  <si>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</si>
  <si>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</si>
  <si>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</si>
  <si>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</si>
  <si>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</si>
  <si>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</si>
  <si>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</si>
  <si>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</si>
  <si>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</si>
  <si>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</si>
  <si>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</si>
  <si>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</si>
  <si>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</si>
  <si>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</si>
  <si>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</si>
  <si>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</si>
  <si>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</si>
  <si>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</si>
  <si>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</si>
  <si>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</si>
  <si>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</si>
  <si>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</si>
  <si>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</si>
  <si>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</si>
  <si>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</si>
  <si>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</si>
  <si>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</si>
  <si>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</si>
  <si>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</si>
  <si>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</si>
  <si>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</si>
  <si>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</si>
  <si>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</si>
  <si>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</si>
  <si>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</si>
  <si>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</si>
  <si>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</si>
  <si>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</si>
  <si>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</si>
  <si>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</si>
  <si>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</si>
  <si>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</si>
  <si>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</si>
  <si>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</si>
  <si>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</si>
  <si>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</si>
  <si>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</si>
  <si>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</si>
  <si>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</si>
  <si>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</si>
  <si>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</si>
  <si>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</si>
  <si>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</si>
  <si>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</si>
  <si>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</si>
  <si>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</si>
  <si>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</si>
  <si>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</si>
  <si>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</si>
  <si>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</si>
  <si>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</si>
  <si>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</si>
  <si>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</si>
  <si>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</si>
  <si>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</si>
  <si>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</si>
  <si>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</si>
  <si>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</si>
  <si>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</si>
  <si>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</si>
  <si>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</si>
  <si>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</si>
  <si>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</si>
  <si>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</si>
  <si>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</si>
  <si>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</si>
  <si>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</si>
  <si>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</si>
  <si>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</si>
  <si>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</si>
  <si>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</si>
  <si>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</si>
  <si>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</si>
  <si>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</si>
  <si>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</si>
  <si>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</si>
  <si>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</si>
  <si>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</si>
  <si>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</si>
  <si>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</si>
  <si>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</si>
  <si>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</si>
  <si>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</si>
  <si>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</si>
  <si>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</si>
  <si>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</si>
  <si>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</si>
  <si>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</si>
  <si>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</si>
  <si>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</si>
  <si>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</si>
  <si>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</si>
  <si>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</si>
  <si>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</si>
  <si>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</si>
  <si>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</si>
  <si>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</si>
  <si>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</si>
  <si>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</si>
  <si>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</si>
  <si>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</si>
  <si>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</si>
  <si>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</si>
  <si>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</si>
  <si>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</si>
  <si>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</si>
  <si>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</si>
  <si>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</si>
  <si>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</si>
  <si>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</si>
  <si>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</si>
  <si>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</si>
  <si>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</si>
  <si>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</si>
  <si>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</si>
  <si>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</si>
  <si>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</si>
  <si>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</si>
  <si>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</si>
  <si>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</si>
  <si>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</si>
  <si>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</si>
  <si>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</si>
  <si>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</si>
  <si>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</si>
  <si>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</si>
  <si>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</si>
  <si>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</si>
  <si>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</si>
  <si>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</si>
  <si>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</si>
  <si>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</si>
  <si>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</si>
  <si>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</si>
  <si>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</si>
  <si>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</si>
  <si>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</si>
  <si>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</si>
  <si>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</si>
  <si>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</si>
  <si>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</si>
  <si>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</si>
  <si>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</si>
  <si>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</si>
  <si>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</si>
  <si>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</si>
  <si>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</si>
  <si>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</si>
  <si>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</si>
  <si>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</si>
  <si>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</si>
  <si>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</si>
  <si>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</si>
  <si>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</si>
  <si>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</si>
  <si>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</si>
  <si>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</si>
  <si>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</si>
  <si>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</si>
  <si>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</si>
  <si>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</si>
  <si>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</si>
  <si>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</si>
  <si>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</si>
  <si>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</si>
  <si>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</si>
  <si>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</si>
  <si>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</si>
  <si>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</si>
  <si>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</si>
  <si>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</si>
  <si>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</si>
  <si>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</si>
  <si>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</si>
  <si>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</si>
  <si>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</si>
  <si>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</si>
  <si>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</si>
  <si>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</si>
  <si>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</si>
  <si>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</si>
  <si>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</si>
  <si>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</si>
  <si>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</si>
  <si>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</si>
  <si>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</si>
  <si>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</si>
  <si>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</si>
  <si>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</si>
  <si>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</si>
  <si>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</si>
  <si>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</si>
  <si>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</si>
  <si>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</si>
  <si>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</si>
  <si>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</si>
  <si>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</si>
  <si>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</si>
  <si>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</si>
  <si>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</si>
  <si>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</si>
  <si>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</si>
  <si>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</si>
  <si>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</si>
  <si>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</si>
  <si>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</si>
  <si>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</si>
  <si>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</si>
  <si>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</si>
  <si>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</si>
  <si>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</si>
  <si>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</si>
  <si>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</si>
  <si>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</si>
  <si>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</si>
  <si>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</si>
  <si>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</si>
  <si>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</si>
  <si>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</si>
  <si>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</si>
  <si>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</si>
  <si>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</si>
  <si>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</si>
  <si>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</si>
  <si>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</si>
  <si>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</si>
  <si>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</si>
  <si>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</si>
  <si>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</si>
  <si>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</si>
  <si>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</si>
  <si>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</si>
  <si>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</si>
  <si>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</si>
  <si>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</si>
  <si>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</si>
  <si>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</si>
  <si>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</si>
  <si>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</si>
  <si>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</si>
  <si>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</si>
  <si>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</si>
  <si>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</si>
  <si>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</si>
  <si>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</si>
  <si>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</si>
  <si>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</si>
  <si>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</si>
  <si>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</si>
  <si>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</si>
  <si>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</si>
  <si>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</si>
  <si>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</si>
  <si>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</si>
  <si>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</si>
  <si>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</si>
  <si>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</si>
  <si>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</si>
  <si>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</si>
  <si>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</si>
  <si>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</si>
  <si>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</si>
  <si>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</si>
  <si>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</si>
  <si>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</si>
  <si>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</si>
  <si>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</si>
  <si>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</si>
  <si>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</si>
  <si>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</si>
  <si>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</si>
  <si>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</si>
  <si>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</si>
  <si>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</si>
  <si>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</si>
  <si>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</si>
  <si>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</si>
  <si>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</si>
  <si>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</si>
  <si>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</si>
  <si>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</si>
  <si>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</si>
  <si>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</si>
  <si>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</si>
  <si>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</si>
  <si>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</si>
  <si>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</si>
  <si>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</si>
  <si>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</si>
  <si>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</si>
  <si>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</si>
  <si>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</si>
  <si>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</si>
  <si>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</si>
  <si>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</si>
  <si>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</si>
  <si>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</si>
  <si>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</si>
  <si>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</si>
  <si>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</si>
  <si>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</si>
  <si>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</si>
  <si>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</si>
  <si>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</si>
  <si>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</si>
  <si>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</si>
  <si>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</si>
  <si>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</si>
  <si>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</si>
  <si>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</si>
  <si>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</si>
  <si>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</si>
  <si>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</si>
  <si>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</si>
  <si>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</si>
  <si>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</si>
  <si>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</si>
  <si>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</si>
  <si>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</si>
  <si>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</si>
  <si>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</si>
  <si>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</si>
  <si>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</si>
  <si>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</si>
  <si>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</si>
  <si>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</si>
  <si>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</si>
  <si>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</si>
  <si>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</si>
  <si>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</si>
  <si>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</si>
  <si>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</si>
  <si>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</si>
  <si>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</si>
  <si>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</si>
  <si>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</si>
  <si>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</si>
  <si>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</si>
  <si>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</si>
  <si>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</si>
  <si>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</si>
  <si>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</si>
  <si>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</si>
  <si>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</si>
  <si>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</si>
  <si>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</si>
  <si>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</si>
  <si>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</si>
  <si>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</si>
  <si>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</si>
  <si>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</si>
  <si>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</si>
  <si>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</si>
  <si>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</si>
  <si>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</si>
  <si>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</si>
  <si>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</si>
  <si>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</si>
  <si>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</si>
  <si>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</si>
  <si>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</si>
  <si>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</si>
  <si>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</si>
  <si>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</si>
  <si>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</si>
  <si>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</si>
  <si>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</si>
  <si>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</si>
  <si>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</si>
  <si>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</si>
  <si>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</si>
  <si>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</si>
  <si>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</si>
  <si>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</si>
  <si>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</si>
  <si>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</si>
  <si>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</si>
  <si>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</si>
  <si>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</si>
  <si>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</si>
  <si>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</si>
  <si>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</si>
  <si>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</si>
  <si>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</si>
  <si>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</si>
  <si>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</si>
  <si>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</si>
  <si>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</si>
  <si>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</si>
  <si>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</si>
  <si>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</si>
  <si>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</si>
  <si>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</si>
  <si>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</si>
  <si>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</si>
  <si>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</si>
  <si>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</si>
  <si>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</si>
  <si>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</si>
  <si>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</si>
  <si>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</si>
  <si>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</si>
  <si>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</si>
  <si>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</si>
  <si>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</si>
  <si>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</si>
  <si>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</si>
  <si>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</si>
  <si>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</si>
  <si>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</si>
  <si>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</si>
  <si>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</si>
  <si>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</si>
  <si>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</si>
  <si>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</si>
  <si>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</si>
  <si>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</si>
  <si>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</si>
  <si>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</si>
  <si>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</si>
  <si>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</si>
  <si>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</si>
  <si>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</si>
  <si>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</si>
  <si>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</si>
  <si>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</si>
  <si>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</si>
  <si>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</si>
  <si>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</si>
  <si>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</si>
  <si>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</si>
  <si>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</si>
  <si>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</si>
  <si>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</si>
  <si>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</si>
  <si>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</si>
  <si>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</si>
  <si>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</si>
  <si>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</si>
  <si>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</si>
  <si>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</si>
  <si>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</si>
  <si>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</si>
  <si>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</si>
  <si>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</si>
  <si>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</si>
  <si>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</si>
  <si>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</si>
  <si>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</si>
  <si>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</si>
  <si>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</si>
  <si>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</si>
  <si>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</si>
  <si>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</si>
  <si>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</si>
  <si>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</si>
  <si>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</si>
  <si>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</si>
  <si>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</si>
  <si>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</si>
  <si>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</si>
  <si>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</si>
  <si>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</si>
  <si>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</si>
  <si>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</si>
  <si>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</si>
  <si>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</si>
  <si>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</si>
  <si>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</si>
  <si>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</si>
  <si>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</si>
  <si>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</si>
  <si>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</si>
  <si>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</si>
  <si>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</si>
  <si>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</si>
  <si>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</si>
  <si>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</si>
  <si>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</si>
  <si>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</si>
  <si>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</si>
  <si>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</si>
  <si>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</si>
  <si>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</si>
  <si>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</si>
  <si>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</si>
  <si>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</si>
  <si>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</si>
  <si>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</si>
  <si>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</si>
  <si>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</si>
  <si>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</si>
  <si>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</si>
  <si>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</si>
  <si>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</si>
  <si>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</si>
  <si>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</si>
  <si>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</si>
  <si>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</si>
  <si>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</si>
  <si>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</si>
  <si>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</si>
  <si>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</si>
  <si>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</si>
  <si>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</si>
  <si>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</si>
  <si>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</si>
  <si>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</si>
  <si>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</si>
  <si>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</si>
  <si>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</si>
  <si>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</si>
  <si>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</si>
  <si>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</si>
  <si>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</si>
  <si>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</si>
  <si>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</si>
  <si>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</si>
  <si>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</si>
  <si>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</si>
  <si>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</si>
  <si>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</si>
  <si>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</si>
  <si>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</si>
  <si>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</si>
  <si>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</si>
  <si>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</si>
  <si>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</si>
  <si>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</si>
  <si>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</si>
  <si>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</si>
  <si>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</si>
  <si>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</si>
  <si>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</si>
  <si>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</si>
  <si>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</si>
  <si>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</si>
  <si>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</si>
  <si>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</si>
  <si>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</si>
  <si>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</si>
  <si>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</si>
  <si>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</si>
  <si>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</si>
  <si>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</si>
  <si>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</si>
  <si>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</si>
  <si>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</si>
  <si>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</si>
  <si>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</si>
  <si>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</si>
  <si>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</si>
  <si>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</si>
  <si>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</si>
  <si>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</si>
  <si>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</si>
  <si>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</si>
  <si>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</si>
  <si>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</si>
  <si>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</si>
  <si>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</si>
  <si>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</si>
  <si>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</si>
  <si>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</si>
  <si>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</si>
  <si>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</si>
  <si>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</si>
  <si>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</si>
  <si>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</si>
  <si>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</si>
  <si>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</si>
  <si>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</si>
  <si>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</si>
  <si>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</si>
  <si>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</si>
  <si>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</si>
  <si>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</si>
  <si>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</si>
  <si>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</si>
  <si>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</si>
  <si>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</si>
  <si>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</si>
  <si>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</si>
  <si>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</si>
  <si>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</si>
  <si>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</si>
  <si>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</si>
  <si>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</si>
  <si>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</si>
  <si>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</si>
  <si>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</si>
  <si>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</si>
  <si>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</si>
  <si>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</si>
  <si>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</si>
  <si>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</si>
  <si>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</si>
  <si>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</si>
  <si>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</si>
  <si>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</si>
  <si>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</si>
  <si>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</si>
  <si>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</si>
  <si>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</si>
  <si>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</si>
  <si>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</si>
  <si>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</si>
  <si>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</si>
  <si>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</si>
  <si>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</si>
  <si>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</si>
  <si>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</si>
  <si>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</si>
  <si>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</si>
  <si>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</si>
  <si>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</si>
  <si>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</si>
  <si>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</si>
  <si>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</si>
  <si>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</si>
  <si>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</si>
  <si>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</si>
  <si>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</si>
  <si>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</si>
  <si>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</si>
  <si>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</si>
  <si>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</si>
  <si>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</si>
  <si>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</si>
  <si>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</si>
  <si>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</si>
  <si>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</si>
  <si>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</si>
  <si>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</si>
  <si>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</si>
  <si>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</si>
  <si>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</si>
  <si>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</si>
  <si>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</si>
  <si>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</si>
  <si>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</si>
  <si>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</si>
  <si>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</si>
  <si>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</si>
  <si>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</si>
  <si>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</si>
  <si>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</si>
  <si>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</si>
  <si>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</si>
  <si>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</si>
  <si>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</si>
  <si>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</si>
  <si>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</si>
  <si>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</si>
  <si>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</si>
  <si>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</si>
  <si>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</si>
  <si>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</si>
  <si>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</si>
  <si>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</si>
  <si>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</si>
  <si>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</si>
  <si>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</si>
  <si>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</si>
  <si>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</si>
  <si>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</si>
  <si>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</si>
  <si>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</si>
  <si>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</si>
  <si>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</si>
  <si>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</si>
  <si>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</si>
  <si>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</si>
  <si>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</si>
  <si>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</si>
  <si>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</si>
  <si>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</si>
  <si>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</si>
  <si>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</si>
  <si>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</si>
  <si>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</si>
  <si>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</si>
  <si>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</si>
  <si>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</si>
  <si>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</si>
  <si>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</si>
  <si>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</si>
  <si>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</si>
  <si>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</si>
  <si>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</si>
  <si>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</si>
  <si>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</si>
  <si>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</si>
  <si>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</si>
  <si>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</si>
  <si>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</si>
  <si>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</si>
  <si>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</si>
  <si>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</si>
  <si>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</si>
  <si>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</si>
  <si>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</si>
  <si>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</si>
  <si>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</si>
  <si>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</si>
  <si>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</si>
  <si>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</si>
  <si>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</si>
  <si>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</si>
  <si>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</si>
  <si>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</si>
  <si>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</si>
  <si>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</si>
  <si>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</si>
  <si>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</si>
  <si>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</si>
  <si>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</si>
  <si>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</si>
  <si>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</si>
  <si>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</si>
  <si>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</si>
  <si>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</si>
  <si>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</si>
  <si>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</si>
  <si>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</si>
  <si>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</si>
  <si>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</si>
  <si>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</si>
  <si>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</si>
  <si>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</si>
  <si>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</si>
  <si>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</si>
  <si>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</si>
  <si>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</si>
  <si>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</si>
  <si>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</si>
  <si>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</si>
  <si>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</si>
  <si>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</si>
  <si>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</si>
  <si>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</si>
  <si>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</si>
  <si>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</si>
  <si>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</si>
  <si>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</si>
  <si>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</si>
  <si>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</si>
  <si>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</si>
  <si>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</si>
  <si>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</si>
  <si>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</si>
  <si>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</si>
  <si>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</si>
  <si>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</si>
  <si>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</si>
  <si>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</si>
  <si>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</si>
  <si>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</si>
  <si>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</si>
  <si>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</si>
  <si>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</si>
  <si>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</si>
  <si>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</si>
  <si>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</si>
  <si>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</si>
  <si>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</si>
  <si>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</si>
  <si>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</si>
  <si>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</si>
  <si>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</si>
  <si>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</si>
  <si>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</si>
  <si>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</si>
  <si>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</si>
  <si>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</si>
  <si>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</si>
  <si>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</si>
  <si>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</si>
  <si>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</si>
  <si>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</si>
  <si>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</si>
  <si>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</si>
  <si>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</si>
  <si>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</si>
  <si>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</si>
  <si>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</si>
  <si>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</si>
  <si>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</si>
  <si>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</si>
  <si>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</si>
  <si>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</si>
  <si>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</si>
  <si>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</si>
  <si>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</si>
  <si>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</si>
  <si>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</si>
  <si>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</si>
  <si>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</si>
  <si>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</si>
  <si>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</si>
  <si>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</si>
  <si>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</si>
  <si>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</si>
  <si>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</si>
  <si>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</si>
  <si>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</si>
  <si>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</si>
  <si>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</si>
  <si>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</si>
  <si>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</si>
  <si>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</si>
  <si>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</si>
  <si>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</si>
  <si>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</si>
  <si>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</si>
  <si>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</si>
  <si>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</si>
  <si>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</si>
  <si>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</si>
  <si>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</si>
  <si>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</si>
  <si>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</si>
  <si>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</si>
  <si>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</si>
  <si>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</si>
  <si>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</si>
  <si>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</si>
  <si>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</si>
  <si>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</si>
  <si>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</si>
  <si>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</si>
  <si>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</si>
  <si>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</si>
  <si>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</si>
  <si>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</si>
  <si>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</si>
  <si>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</si>
  <si>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</si>
  <si>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</si>
  <si>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</si>
  <si>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</si>
  <si>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</si>
  <si>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</si>
  <si>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</si>
  <si>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</si>
  <si>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</si>
  <si>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</si>
  <si>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</si>
  <si>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</si>
  <si>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</si>
  <si>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</si>
  <si>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</si>
  <si>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</si>
  <si>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</si>
  <si>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</si>
  <si>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</si>
  <si>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</si>
  <si>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</si>
  <si>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</si>
  <si>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</si>
  <si>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</si>
  <si>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</si>
  <si>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</si>
  <si>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</si>
  <si>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</si>
  <si>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</si>
  <si>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</si>
  <si>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</si>
  <si>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</si>
  <si>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</si>
  <si>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</si>
  <si>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</si>
  <si>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</si>
  <si>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</si>
  <si>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</si>
  <si>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</si>
  <si>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</si>
  <si>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</si>
  <si>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</si>
  <si>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</si>
  <si>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</si>
  <si>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</si>
  <si>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</si>
  <si>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</si>
  <si>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</si>
  <si>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</si>
  <si>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</si>
  <si>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</si>
  <si>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</si>
  <si>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</si>
  <si>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</si>
  <si>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</si>
  <si>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</si>
  <si>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</si>
  <si>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</si>
  <si>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</si>
  <si>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</si>
  <si>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</si>
  <si>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</si>
  <si>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</si>
  <si>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</si>
  <si>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</si>
  <si>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</si>
  <si>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</si>
  <si>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</si>
  <si>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</si>
  <si>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</si>
  <si>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</si>
  <si>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</si>
  <si>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</si>
  <si>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</si>
  <si>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</si>
  <si>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</si>
  <si>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</si>
  <si>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</si>
  <si>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</si>
  <si>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</si>
  <si>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</si>
  <si>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</si>
  <si>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</si>
  <si>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</si>
  <si>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</si>
  <si>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</si>
  <si>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</si>
  <si>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</si>
  <si>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</si>
  <si>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</si>
  <si>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</si>
  <si>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</si>
  <si>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</si>
  <si>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</si>
  <si>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</si>
  <si>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</si>
  <si>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</si>
  <si>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</si>
  <si>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</si>
  <si>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</si>
  <si>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</si>
  <si>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</si>
  <si>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</si>
  <si>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</si>
  <si>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</si>
  <si>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</si>
  <si>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</si>
  <si>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</si>
  <si>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</si>
  <si>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</si>
  <si>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</si>
  <si>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</si>
  <si>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</si>
  <si>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</si>
  <si>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</si>
  <si>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</si>
  <si>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</si>
  <si>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</si>
  <si>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</si>
  <si>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</si>
  <si>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</si>
  <si>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</si>
  <si>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</si>
  <si>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</si>
  <si>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</si>
  <si>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</si>
  <si>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</si>
  <si>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</si>
  <si>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</si>
  <si>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</si>
  <si>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</si>
  <si>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</si>
  <si>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</si>
  <si>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</si>
  <si>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</si>
  <si>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</si>
  <si>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</si>
  <si>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</si>
  <si>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</si>
  <si>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</si>
  <si>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</si>
  <si>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</si>
  <si>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</si>
  <si>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</si>
  <si>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</si>
  <si>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</si>
  <si>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</si>
  <si>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</si>
  <si>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</si>
  <si>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</si>
  <si>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</si>
  <si>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</si>
  <si>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</si>
  <si>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</si>
  <si>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</si>
  <si>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</si>
  <si>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</si>
  <si>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</si>
  <si>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</si>
  <si>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</si>
  <si>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</si>
  <si>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</si>
  <si>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</si>
  <si>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</si>
  <si>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</si>
  <si>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</si>
  <si>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</si>
  <si>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</si>
  <si>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</si>
  <si>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</si>
  <si>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</si>
  <si>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</si>
  <si>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</si>
  <si>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</si>
  <si>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</si>
  <si>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</si>
  <si>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</si>
  <si>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</si>
  <si>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</si>
  <si>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</si>
  <si>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</si>
  <si>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</si>
  <si>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</si>
  <si>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</si>
  <si>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</si>
  <si>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</si>
  <si>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</si>
  <si>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</si>
  <si>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</si>
  <si>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</si>
  <si>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</si>
  <si>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</si>
  <si>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</si>
  <si>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</si>
  <si>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</si>
  <si>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</si>
  <si>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</si>
  <si>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</si>
  <si>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</si>
  <si>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</si>
  <si>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</si>
  <si>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</si>
  <si>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</si>
  <si>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</si>
  <si>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</si>
  <si>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</si>
  <si>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</si>
  <si>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</si>
  <si>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</si>
  <si>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</si>
  <si>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</si>
  <si>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</si>
  <si>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</si>
  <si>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</si>
  <si>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</si>
  <si>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</si>
  <si>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</si>
  <si>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</si>
  <si>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</si>
  <si>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</si>
  <si>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</si>
  <si>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</si>
  <si>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</si>
  <si>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</si>
  <si>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</si>
  <si>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</si>
  <si>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</si>
  <si>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</si>
  <si>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</si>
  <si>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</si>
  <si>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</si>
  <si>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</si>
  <si>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</si>
  <si>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</si>
  <si>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</si>
  <si>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</si>
  <si>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</si>
  <si>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</si>
  <si>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</si>
  <si>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</si>
  <si>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</si>
  <si>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</si>
  <si>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</si>
  <si>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</si>
  <si>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</si>
  <si>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</si>
  <si>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</si>
  <si>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</si>
  <si>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</si>
  <si>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</si>
  <si>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</si>
  <si>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</si>
  <si>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</si>
  <si>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</si>
  <si>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</si>
  <si>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</si>
  <si>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</si>
  <si>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</si>
  <si>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</si>
  <si>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</si>
  <si>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</si>
  <si>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</si>
  <si>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</si>
  <si>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</si>
  <si>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</si>
  <si>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</si>
  <si>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</si>
  <si>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</si>
  <si>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</si>
  <si>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</si>
  <si>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</si>
  <si>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</si>
  <si>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</si>
  <si>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</si>
  <si>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</si>
  <si>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</si>
  <si>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</si>
  <si>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</si>
  <si>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</si>
  <si>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</si>
  <si>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</si>
  <si>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</si>
  <si>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</si>
  <si>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</si>
  <si>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</si>
  <si>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</si>
  <si>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</si>
  <si>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</si>
  <si>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</si>
  <si>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</si>
  <si>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</si>
  <si>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</si>
  <si>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</si>
  <si>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</si>
  <si>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</si>
  <si>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</si>
  <si>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</si>
  <si>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</si>
  <si>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</si>
  <si>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</si>
  <si>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</si>
  <si>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</si>
  <si>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</si>
  <si>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</si>
  <si>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</si>
  <si>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</si>
  <si>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</si>
  <si>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</si>
  <si>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</si>
  <si>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</si>
  <si>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</si>
  <si>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</si>
  <si>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</si>
  <si>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</si>
  <si>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</si>
  <si>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</si>
  <si>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</si>
  <si>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</si>
  <si>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</si>
  <si>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</si>
  <si>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</si>
  <si>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</si>
  <si>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</si>
  <si>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</si>
  <si>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</si>
  <si>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</si>
  <si>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</si>
  <si>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</si>
  <si>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</si>
  <si>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</si>
  <si>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</si>
  <si>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</si>
  <si>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</si>
  <si>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</si>
  <si>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</si>
  <si>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</si>
  <si>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</si>
  <si>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</si>
  <si>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</si>
  <si>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</si>
  <si>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</si>
  <si>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</si>
  <si>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</si>
  <si>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</si>
  <si>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</si>
  <si>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</si>
  <si>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</si>
  <si>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</si>
  <si>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</si>
  <si>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</si>
  <si>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</si>
  <si>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</si>
  <si>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</si>
  <si>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</si>
  <si>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</si>
  <si>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</si>
  <si>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</si>
  <si>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</si>
  <si>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</si>
  <si>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</si>
  <si>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</si>
  <si>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</si>
  <si>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</si>
  <si>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</si>
  <si>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</si>
  <si>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</si>
  <si>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</si>
  <si>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</si>
  <si>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</si>
  <si>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</si>
  <si>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</si>
  <si>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</si>
  <si>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</si>
  <si>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</si>
  <si>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</si>
  <si>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</si>
  <si>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</si>
  <si>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</si>
  <si>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</si>
  <si>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</si>
  <si>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</si>
  <si>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</si>
  <si>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</si>
  <si>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</si>
  <si>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</si>
  <si>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</si>
  <si>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</si>
  <si>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</si>
  <si>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</si>
  <si>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</si>
  <si>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</si>
  <si>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</si>
  <si>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</si>
  <si>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</si>
  <si>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</si>
  <si>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</si>
  <si>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</si>
  <si>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</si>
  <si>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</si>
  <si>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</si>
  <si>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</si>
  <si>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</si>
  <si>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</si>
  <si>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</si>
  <si>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</si>
  <si>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</si>
  <si>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</si>
  <si>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</si>
  <si>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</si>
  <si>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</si>
  <si>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</si>
  <si>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</si>
  <si>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</si>
  <si>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</si>
  <si>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</si>
  <si>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</si>
  <si>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</si>
  <si>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</si>
  <si>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</si>
  <si>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</si>
  <si>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</si>
  <si>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</si>
  <si>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</si>
  <si>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</si>
  <si>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</si>
  <si>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</si>
  <si>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</si>
  <si>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</si>
  <si>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</si>
  <si>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</si>
  <si>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</si>
  <si>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</si>
  <si>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</si>
  <si>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</si>
  <si>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</si>
  <si>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</si>
  <si>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</si>
  <si>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</si>
  <si>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</si>
  <si>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</si>
  <si>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</si>
  <si>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</si>
  <si>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</si>
  <si>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</si>
  <si>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</si>
  <si>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</si>
  <si>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</si>
  <si>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</si>
  <si>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</si>
  <si>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</si>
  <si>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</si>
  <si>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</si>
  <si>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</si>
  <si>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</si>
  <si>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</si>
  <si>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</si>
  <si>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</si>
  <si>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</si>
  <si>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</si>
  <si>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</si>
  <si>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</si>
  <si>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</si>
  <si>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</si>
  <si>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</si>
  <si>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</si>
  <si>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</si>
  <si>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</si>
  <si>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</si>
  <si>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</si>
  <si>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</si>
  <si>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</si>
  <si>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</si>
  <si>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</si>
  <si>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</si>
  <si>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</si>
  <si>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</si>
  <si>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</si>
  <si>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</si>
  <si>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</si>
  <si>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</si>
  <si>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</si>
  <si>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</si>
  <si>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</si>
  <si>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</si>
  <si>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</si>
  <si>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</si>
  <si>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</si>
  <si>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</si>
  <si>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</si>
  <si>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</si>
  <si>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</si>
  <si>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</si>
  <si>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</si>
  <si>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</si>
  <si>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</si>
  <si>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</si>
  <si>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</si>
  <si>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</si>
  <si>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</si>
  <si>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</si>
  <si>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</si>
  <si>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</si>
  <si>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</si>
  <si>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</si>
  <si>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</si>
  <si>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</si>
  <si>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</si>
  <si>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</si>
  <si>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</si>
  <si>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</si>
  <si>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</si>
  <si>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</si>
  <si>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</si>
  <si>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</si>
  <si>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</si>
  <si>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</si>
  <si>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</si>
  <si>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</si>
  <si>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</si>
  <si>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</si>
  <si>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</si>
  <si>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</si>
  <si>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</si>
  <si>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</si>
  <si>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</si>
  <si>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</si>
  <si>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</si>
  <si>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</si>
  <si>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</si>
  <si>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</si>
  <si>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</si>
  <si>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</si>
  <si>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</si>
  <si>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</si>
  <si>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</si>
  <si>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</si>
  <si>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</si>
  <si>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</si>
  <si>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</si>
  <si>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</si>
  <si>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</si>
  <si>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</si>
  <si>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</si>
  <si>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</si>
  <si>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</si>
  <si>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</si>
  <si>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</si>
  <si>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</si>
  <si>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</si>
  <si>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</si>
  <si>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</si>
  <si>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</si>
  <si>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</si>
  <si>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</si>
  <si>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</si>
  <si>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</si>
  <si>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</si>
  <si>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</si>
  <si>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</si>
  <si>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</si>
  <si>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</si>
  <si>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</si>
  <si>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</si>
  <si>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</si>
  <si>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</si>
  <si>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</si>
  <si>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</si>
  <si>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</si>
  <si>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</si>
  <si>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</si>
  <si>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</si>
  <si>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</si>
  <si>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</si>
  <si>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</si>
  <si>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</si>
  <si>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</si>
  <si>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</si>
  <si>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</si>
  <si>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</si>
  <si>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</si>
  <si>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</si>
  <si>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</si>
  <si>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</si>
  <si>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</si>
  <si>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</si>
  <si>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</si>
  <si>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</si>
  <si>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</si>
  <si>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</si>
  <si>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</si>
  <si>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</si>
  <si>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</si>
  <si>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</si>
  <si>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</si>
  <si>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</si>
  <si>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</si>
  <si>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</si>
  <si>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</si>
  <si>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</si>
  <si>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</si>
  <si>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</si>
  <si>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</si>
  <si>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</si>
  <si>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</si>
  <si>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</si>
  <si>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</si>
  <si>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</si>
  <si>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</si>
  <si>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</si>
  <si>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</si>
  <si>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</si>
  <si>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</si>
  <si>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</si>
  <si>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</si>
  <si>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</si>
  <si>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</si>
  <si>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</si>
  <si>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</si>
  <si>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</si>
  <si>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</si>
  <si>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</si>
  <si>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</si>
  <si>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</si>
  <si>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</si>
  <si>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</si>
  <si>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</si>
  <si>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</si>
  <si>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</si>
  <si>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</si>
  <si>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</si>
  <si>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</si>
  <si>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</si>
  <si>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</si>
  <si>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</si>
  <si>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</si>
  <si>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</si>
  <si>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</si>
  <si>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</si>
  <si>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</si>
  <si>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</si>
  <si>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</si>
  <si>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</si>
  <si>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</si>
  <si>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</si>
  <si>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</si>
  <si>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</si>
  <si>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</si>
  <si>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</si>
  <si>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</si>
  <si>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</si>
  <si>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</si>
  <si>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</si>
  <si>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</si>
  <si>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</si>
  <si>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</si>
  <si>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</si>
  <si>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</si>
  <si>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</si>
  <si>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</si>
  <si>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</si>
  <si>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</si>
  <si>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</si>
  <si>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</si>
  <si>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</si>
  <si>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</si>
  <si>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</si>
  <si>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</si>
  <si>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</si>
  <si>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</si>
  <si>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</si>
  <si>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</si>
  <si>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</si>
  <si>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</si>
  <si>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</si>
  <si>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</si>
  <si>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</si>
  <si>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</si>
  <si>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</si>
  <si>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</si>
  <si>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</si>
  <si>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</si>
  <si>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</si>
  <si>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</si>
  <si>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</si>
  <si>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</si>
  <si>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</si>
  <si>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</si>
  <si>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</si>
  <si>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</si>
  <si>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</si>
  <si>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</si>
  <si>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</si>
  <si>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</si>
  <si>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</si>
  <si>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</si>
  <si>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</si>
  <si>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</si>
  <si>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</si>
  <si>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</si>
  <si>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</si>
  <si>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</si>
  <si>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</si>
  <si>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</si>
  <si>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</si>
  <si>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</si>
  <si>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</si>
  <si>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</si>
  <si>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</si>
  <si>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</si>
  <si>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</si>
  <si>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</si>
  <si>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</si>
  <si>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</si>
  <si>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</si>
  <si>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</si>
  <si>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</si>
  <si>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</si>
  <si>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</si>
  <si>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</si>
  <si>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</si>
  <si>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</si>
  <si>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</si>
  <si>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</si>
  <si>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</si>
  <si>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</si>
  <si>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</si>
  <si>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</si>
  <si>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</si>
  <si>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</si>
  <si>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</si>
  <si>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</si>
  <si>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</si>
  <si>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</si>
  <si>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</si>
  <si>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</si>
  <si>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</si>
  <si>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</si>
  <si>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</si>
  <si>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</si>
  <si>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</si>
  <si>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</si>
  <si>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</si>
  <si>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</si>
  <si>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</si>
  <si>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</si>
  <si>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</si>
  <si>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</si>
  <si>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</si>
  <si>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</si>
  <si>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</si>
  <si>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</si>
  <si>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</si>
  <si>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</si>
  <si>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</si>
  <si>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</si>
  <si>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</si>
  <si>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</si>
  <si>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</si>
  <si>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</si>
  <si>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</si>
  <si>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</si>
  <si>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</si>
  <si>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</si>
  <si>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</si>
  <si>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</si>
  <si>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</si>
  <si>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</si>
  <si>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</si>
  <si>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</si>
  <si>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</si>
  <si>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</si>
  <si>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</si>
  <si>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</si>
  <si>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</si>
  <si>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</si>
  <si>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</si>
  <si>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</si>
  <si>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</si>
  <si>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</si>
  <si>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</si>
  <si>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</si>
  <si>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</si>
  <si>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</si>
  <si>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</si>
  <si>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</si>
  <si>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</si>
  <si>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</si>
  <si>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</si>
  <si>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</si>
  <si>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</si>
  <si>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</si>
  <si>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</si>
  <si>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</si>
  <si>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</si>
  <si>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</si>
  <si>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</si>
  <si>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</si>
  <si>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</si>
  <si>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</si>
  <si>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</si>
  <si>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</si>
  <si>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</si>
  <si>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</si>
  <si>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</si>
  <si>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</si>
  <si>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</si>
  <si>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</si>
  <si>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</si>
  <si>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</si>
  <si>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</si>
  <si>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</si>
  <si>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</si>
  <si>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</si>
  <si>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</si>
  <si>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</si>
  <si>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</si>
  <si>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</si>
  <si>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</si>
  <si>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</si>
  <si>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</si>
  <si>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</si>
  <si>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</si>
  <si>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</si>
  <si>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</si>
  <si>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</si>
  <si>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</si>
  <si>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</si>
  <si>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</si>
  <si>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</si>
  <si>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</si>
  <si>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</si>
  <si>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</si>
  <si>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</si>
  <si>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</si>
  <si>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</si>
  <si>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</si>
  <si>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</si>
  <si>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</si>
  <si>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</si>
  <si>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</si>
  <si>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</si>
  <si>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</si>
  <si>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</si>
  <si>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</si>
  <si>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</si>
  <si>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</si>
  <si>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</si>
  <si>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</si>
  <si>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</si>
  <si>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</si>
  <si>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</si>
  <si>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</si>
  <si>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</si>
  <si>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</si>
  <si>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</si>
  <si>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</si>
  <si>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</si>
  <si>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</si>
  <si>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</si>
  <si>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</si>
  <si>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</si>
  <si>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</si>
  <si>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</si>
  <si>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</si>
  <si>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</si>
  <si>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</si>
  <si>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</si>
  <si>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</si>
  <si>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</si>
  <si>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</si>
  <si>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</si>
  <si>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</si>
  <si>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</si>
  <si>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</si>
  <si>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</si>
  <si>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</si>
  <si>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</si>
  <si>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</si>
  <si>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</si>
  <si>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</si>
  <si>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</si>
  <si>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</si>
  <si>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</si>
  <si>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</si>
  <si>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</si>
  <si>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</si>
  <si>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</si>
  <si>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</si>
  <si>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</si>
  <si>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</si>
  <si>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</si>
  <si>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</si>
  <si>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</si>
  <si>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</si>
  <si>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</si>
  <si>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</si>
  <si>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</si>
  <si>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</si>
  <si>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</si>
  <si>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</si>
  <si>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</si>
  <si>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</si>
  <si>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</si>
  <si>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</si>
  <si>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</si>
  <si>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</si>
  <si>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</si>
  <si>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</si>
  <si>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</si>
  <si>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</si>
  <si>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</si>
  <si>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</si>
  <si>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</si>
  <si>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</si>
  <si>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</si>
  <si>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</si>
  <si>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</si>
  <si>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</si>
  <si>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</si>
  <si>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</si>
  <si>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</si>
  <si>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</si>
  <si>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</si>
  <si>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</si>
  <si>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</si>
  <si>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</si>
  <si>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</si>
  <si>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</si>
  <si>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</si>
  <si>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</si>
  <si>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</si>
  <si>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</si>
  <si>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</si>
  <si>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</si>
  <si>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</si>
  <si>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</si>
  <si>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</si>
  <si>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</si>
  <si>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</si>
  <si>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</si>
  <si>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</si>
  <si>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</si>
  <si>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</si>
  <si>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</si>
  <si>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</si>
  <si>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</si>
  <si>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</si>
  <si>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</si>
  <si>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</si>
  <si>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</si>
  <si>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</si>
  <si>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</si>
  <si>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</si>
  <si>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</si>
  <si>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</si>
  <si>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</si>
  <si>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</si>
  <si>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</si>
  <si>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</si>
  <si>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</si>
  <si>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</si>
  <si>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</si>
  <si>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</si>
  <si>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</si>
  <si>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</si>
  <si>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</si>
  <si>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</si>
  <si>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</si>
  <si>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</si>
  <si>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</si>
  <si>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</si>
  <si>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</si>
  <si>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</si>
  <si>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</si>
  <si>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</si>
  <si>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</si>
  <si>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</si>
  <si>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</si>
  <si>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</si>
  <si>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</si>
  <si>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</si>
  <si>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</si>
  <si>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</si>
  <si>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</si>
  <si>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</si>
  <si>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</si>
  <si>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</si>
  <si>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</si>
  <si>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</si>
  <si>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</si>
  <si>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</si>
  <si>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</si>
  <si>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</si>
  <si>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</si>
  <si>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</si>
  <si>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</si>
  <si>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</si>
  <si>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</si>
  <si>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</si>
  <si>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</si>
  <si>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</si>
  <si>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</si>
  <si>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</si>
  <si>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</si>
  <si>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</si>
  <si>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</si>
  <si>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</si>
  <si>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</si>
  <si>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</si>
  <si>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</si>
  <si>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</si>
  <si>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</si>
  <si>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</si>
  <si>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</si>
  <si>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</si>
  <si>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</si>
  <si>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</si>
  <si>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</si>
  <si>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</si>
  <si>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</si>
  <si>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</si>
  <si>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</si>
  <si>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</si>
  <si>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</si>
  <si>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</si>
  <si>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</si>
  <si>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</si>
  <si>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</si>
  <si>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</si>
  <si>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</si>
  <si>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</si>
  <si>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</si>
  <si>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</si>
  <si>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</si>
  <si>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</si>
  <si>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</si>
  <si>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</si>
  <si>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</si>
  <si>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</si>
  <si>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</si>
  <si>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</si>
  <si>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</si>
  <si>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</si>
  <si>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</si>
  <si>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</si>
  <si>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</si>
  <si>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</si>
  <si>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</si>
  <si>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</si>
  <si>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</si>
  <si>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</si>
  <si>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</si>
  <si>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</si>
  <si>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</si>
  <si>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</si>
  <si>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</si>
  <si>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</si>
  <si>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</si>
  <si>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</si>
  <si>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</si>
  <si>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</si>
  <si>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</si>
  <si>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</si>
  <si>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</si>
  <si>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</si>
  <si>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</si>
  <si>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</si>
  <si>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</si>
  <si>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</si>
  <si>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</si>
  <si>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</si>
  <si>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</si>
  <si>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</si>
  <si>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</si>
  <si>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</si>
  <si>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</si>
  <si>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</si>
  <si>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</si>
  <si>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</si>
  <si>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</si>
  <si>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</si>
  <si>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</si>
  <si>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</si>
  <si>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</si>
  <si>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</si>
  <si>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</si>
  <si>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</si>
  <si>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</si>
  <si>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</si>
  <si>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</si>
  <si>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</si>
  <si>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</si>
  <si>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</si>
  <si>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</si>
  <si>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</si>
  <si>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</si>
  <si>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</si>
  <si>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</si>
  <si>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</si>
  <si>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</si>
  <si>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</si>
  <si>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</si>
  <si>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</si>
  <si>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</si>
  <si>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</si>
  <si>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</si>
  <si>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</si>
  <si>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</si>
  <si>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</si>
  <si>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</si>
  <si>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</si>
  <si>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</si>
  <si>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</si>
  <si>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</si>
  <si>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</si>
  <si>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</si>
  <si>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</si>
  <si>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</si>
  <si>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</si>
  <si>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</si>
  <si>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</si>
  <si>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</si>
  <si>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</si>
  <si>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</si>
  <si>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</si>
  <si>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</si>
  <si>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</si>
  <si>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</si>
  <si>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</si>
  <si>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</si>
  <si>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</si>
  <si>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</si>
  <si>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</si>
  <si>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</si>
  <si>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</si>
  <si>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</si>
  <si>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</si>
  <si>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</si>
  <si>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</si>
  <si>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</si>
  <si>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</si>
  <si>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</si>
  <si>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</si>
  <si>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</si>
  <si>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</si>
  <si>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</si>
  <si>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</si>
  <si>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</si>
  <si>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</si>
  <si>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</si>
  <si>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</si>
  <si>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</si>
  <si>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</si>
  <si>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</si>
  <si>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</si>
  <si>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</si>
  <si>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</si>
  <si>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</si>
  <si>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</si>
  <si>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</si>
  <si>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</si>
  <si>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</si>
  <si>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</si>
  <si>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</si>
  <si>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</si>
  <si>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</si>
  <si>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</si>
  <si>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</si>
  <si>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</si>
  <si>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</si>
  <si>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</si>
  <si>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</si>
  <si>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</si>
  <si>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</si>
  <si>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</si>
  <si>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</si>
  <si>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</si>
  <si>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</si>
  <si>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</si>
  <si>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</si>
  <si>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</si>
  <si>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</si>
  <si>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</si>
  <si>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</si>
  <si>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</si>
  <si>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</si>
  <si>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</si>
  <si>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</si>
  <si>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</si>
  <si>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</si>
  <si>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</si>
  <si>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</si>
  <si>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</si>
  <si>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</si>
  <si>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</si>
  <si>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</si>
  <si>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</si>
  <si>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</si>
  <si>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</si>
  <si>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</si>
  <si>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</si>
  <si>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</si>
  <si>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</si>
  <si>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</si>
  <si>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</si>
  <si>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</si>
  <si>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</si>
  <si>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</si>
  <si>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</si>
  <si>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</si>
  <si>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</si>
  <si>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</si>
  <si>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</si>
  <si>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</si>
  <si>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</si>
  <si>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</si>
  <si>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</si>
  <si>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</si>
  <si>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</si>
  <si>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</si>
  <si>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</si>
  <si>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</si>
  <si>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</si>
  <si>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</si>
  <si>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</si>
  <si>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</si>
  <si>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</si>
  <si>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</si>
  <si>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</si>
  <si>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</si>
  <si>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</si>
  <si>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</si>
  <si>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</si>
  <si>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</si>
  <si>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</si>
  <si>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</si>
  <si>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</si>
  <si>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</si>
  <si>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</si>
  <si>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</si>
  <si>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</si>
  <si>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</si>
  <si>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</si>
  <si>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</si>
  <si>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</si>
  <si>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</si>
  <si>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</si>
  <si>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</si>
  <si>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</si>
  <si>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</si>
  <si>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</si>
  <si>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</si>
  <si>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</si>
  <si>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</si>
  <si>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</si>
  <si>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</si>
  <si>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</si>
  <si>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</si>
  <si>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</si>
  <si>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</si>
  <si>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</si>
  <si>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</si>
  <si>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</si>
  <si>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</si>
  <si>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</si>
  <si>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</si>
  <si>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</si>
  <si>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</si>
  <si>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</si>
  <si>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</si>
  <si>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</si>
  <si>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</si>
  <si>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</si>
  <si>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</si>
  <si>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</si>
  <si>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</si>
  <si>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</si>
  <si>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</si>
  <si>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</si>
  <si>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</si>
  <si>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</si>
  <si>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</si>
  <si>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</si>
  <si>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</si>
  <si>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</si>
  <si>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</si>
  <si>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</si>
  <si>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</si>
  <si>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</si>
  <si>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</si>
  <si>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</si>
  <si>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</si>
  <si>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</si>
  <si>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</si>
  <si>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</si>
  <si>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</si>
  <si>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</si>
  <si>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</si>
  <si>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</si>
  <si>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</si>
  <si>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</si>
  <si>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</si>
  <si>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</si>
  <si>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</si>
  <si>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</si>
  <si>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</si>
  <si>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</si>
  <si>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</si>
  <si>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</si>
  <si>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</si>
  <si>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</si>
  <si>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</si>
  <si>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</si>
  <si>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</si>
  <si>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</si>
  <si>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</si>
  <si>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</si>
  <si>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</si>
  <si>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</si>
  <si>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</si>
  <si>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</si>
  <si>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</si>
  <si>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</si>
  <si>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</si>
  <si>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</si>
  <si>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</si>
  <si>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</si>
  <si>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</si>
  <si>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</si>
  <si>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</si>
  <si>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</si>
  <si>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</si>
  <si>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</si>
  <si>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</si>
  <si>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</si>
  <si>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</si>
  <si>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</si>
  <si>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</si>
  <si>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</si>
  <si>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</si>
  <si>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</si>
  <si>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</si>
  <si>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</si>
  <si>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</si>
  <si>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</si>
  <si>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</si>
  <si>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</si>
  <si>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</si>
  <si>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</si>
  <si>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</si>
  <si>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</si>
  <si>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</si>
  <si>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押一</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</si>
  <si>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</si>
  <si>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</si>
  <si>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</si>
  <si>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</si>
  <si>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</si>
  <si>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</si>
  <si>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</si>
  <si>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</si>
  <si>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</si>
  <si>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</si>
  <si>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</si>
  <si>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</si>
  <si>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</si>
  <si>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</si>
  <si>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</si>
  <si>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</si>
  <si>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</si>
  <si>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</si>
  <si>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</si>
  <si>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</si>
  <si>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</si>
  <si>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</si>
  <si>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</si>
  <si>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</si>
  <si>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</si>
  <si>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</si>
  <si>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</si>
  <si>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</si>
  <si>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</si>
  <si>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</si>
  <si>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</si>
  <si>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</si>
  <si>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</si>
  <si>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</si>
  <si>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</si>
  <si>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</si>
  <si>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</si>
  <si>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</si>
  <si>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</si>
  <si>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精装修</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</si>
  <si>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</si>
  <si>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</si>
  <si>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</si>
  <si>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</si>
  <si>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</si>
  <si>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</si>
  <si>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</si>
  <si>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</si>
  <si>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</si>
  <si>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</si>
  <si>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</si>
  <si>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</si>
  <si>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</si>
  <si>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</si>
  <si>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</si>
  <si>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</si>
  <si>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</si>
  <si>
    <t>玉泉营环岛西南角居然之家后面</t>
    <phoneticPr fontId="3" type="noConversion"/>
  </si>
  <si>
    <t>1层</t>
    <phoneticPr fontId="143" type="noConversion"/>
  </si>
  <si>
    <t>2层</t>
    <phoneticPr fontId="143" type="noConversion"/>
  </si>
  <si>
    <t>3层</t>
    <phoneticPr fontId="143" type="noConversion"/>
  </si>
  <si>
    <t>地下2层</t>
    <phoneticPr fontId="143" type="noConversion"/>
  </si>
  <si>
    <t>地下1层</t>
    <phoneticPr fontId="143" type="noConversion"/>
  </si>
  <si>
    <t>系数</t>
    <phoneticPr fontId="143" type="noConversion"/>
  </si>
  <si>
    <t>综合租金</t>
    <phoneticPr fontId="143" type="noConversion"/>
  </si>
  <si>
    <t>建筑面积</t>
    <phoneticPr fontId="143" type="noConversion"/>
  </si>
  <si>
    <t>首经贸中街1号院1号楼</t>
    <phoneticPr fontId="3" type="noConversion"/>
  </si>
  <si>
    <t>1号院1号楼</t>
    <phoneticPr fontId="143" type="noConversion"/>
  </si>
  <si>
    <t>需扣减承租人权益</t>
  </si>
  <si>
    <t>批发零售用地</t>
  </si>
  <si>
    <t>楼层修正</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</si>
  <si>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</si>
  <si>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</si>
  <si>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</si>
  <si>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</si>
  <si>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</si>
  <si>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</si>
  <si>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</si>
  <si>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</si>
  <si>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</si>
  <si>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</si>
  <si>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</si>
  <si>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</si>
  <si>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内街</t>
  </si>
  <si>
    <t>内街</t>
    <phoneticPr fontId="31" type="noConversion"/>
  </si>
  <si>
    <t>外街</t>
  </si>
  <si>
    <t>外街</t>
    <phoneticPr fontId="31" type="noConversion"/>
  </si>
  <si>
    <t>独栋商业</t>
  </si>
  <si>
    <t>独栋商业</t>
    <phoneticPr fontId="31" type="noConversion"/>
  </si>
  <si>
    <t>写字楼底商</t>
    <phoneticPr fontId="31" type="noConversion"/>
  </si>
  <si>
    <t>住宅底商</t>
    <phoneticPr fontId="31" type="noConversion"/>
  </si>
  <si>
    <t>商业类型</t>
    <phoneticPr fontId="3" type="noConversion"/>
  </si>
  <si>
    <t>独栋商业</t>
    <phoneticPr fontId="25" type="noConversion"/>
  </si>
  <si>
    <t>写字楼底商</t>
    <phoneticPr fontId="25" type="noConversion"/>
  </si>
  <si>
    <t>住宅底商</t>
    <phoneticPr fontId="25" type="noConversion"/>
  </si>
  <si>
    <t>可视性</t>
    <phoneticPr fontId="3" type="noConversion"/>
  </si>
  <si>
    <t>外街</t>
    <phoneticPr fontId="25" type="noConversion"/>
  </si>
  <si>
    <t>内街</t>
    <phoneticPr fontId="25" type="noConversion"/>
  </si>
  <si>
    <t>建成年代</t>
    <phoneticPr fontId="143" type="noConversion"/>
  </si>
  <si>
    <t>无租约</t>
    <phoneticPr fontId="143" type="noConversion"/>
  </si>
  <si>
    <t>租约期外</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</si>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</sst>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10" fontId="50" fillId="18" borderId="0" xfId="0" applyNumberFormat="1" applyFont="1" applyFill="1" applyAlignment="1" applyProtection="1">
      <alignment vertical="center"/>
      <protection locked="0"/>
    </xf>
    <xf numFmtId="0" fontId="47" fillId="18" borderId="5" xfId="0" applyFont="1" applyFill="1" applyBorder="1" applyAlignment="1" applyProtection="1">
      <alignment horizontal="center" vertical="center" wrapText="1"/>
    </xf>
    <xf numFmtId="0" fontId="47" fillId="18" borderId="5" xfId="0"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xf>
    <xf numFmtId="0" fontId="47" fillId="18" borderId="3" xfId="0"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7" fillId="18" borderId="38" xfId="1" applyFont="1" applyFill="1" applyBorder="1" applyAlignment="1" applyProtection="1">
      <alignment vertical="center"/>
      <protection locked="0"/>
    </xf>
    <xf numFmtId="0" fontId="119" fillId="0" borderId="0" xfId="0" applyFont="1" applyBorder="1" applyAlignment="1">
      <alignment horizontal="center" vertical="center"/>
    </xf>
    <xf numFmtId="43" fontId="119"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0" fillId="0" borderId="1" xfId="0" applyBorder="1" applyAlignment="1">
      <alignment horizontal="center"/>
    </xf>
    <xf numFmtId="0" fontId="99" fillId="0" borderId="1" xfId="0" applyFont="1" applyBorder="1" applyAlignment="1">
      <alignment horizontal="center"/>
    </xf>
    <xf numFmtId="43" fontId="0" fillId="0" borderId="1" xfId="0" applyNumberFormat="1" applyBorder="1" applyAlignment="1">
      <alignment horizontal="center"/>
    </xf>
    <xf numFmtId="0" fontId="0" fillId="17" borderId="1" xfId="0" applyFill="1" applyBorder="1" applyAlignment="1">
      <alignment horizontal="center"/>
    </xf>
    <xf numFmtId="0" fontId="0" fillId="9" borderId="1" xfId="0" applyFill="1" applyBorder="1" applyAlignment="1">
      <alignment horizontal="center"/>
    </xf>
    <xf numFmtId="0" fontId="99" fillId="0" borderId="1" xfId="0" applyFont="1" applyFill="1" applyBorder="1" applyAlignment="1">
      <alignment horizontal="center"/>
    </xf>
    <xf numFmtId="0" fontId="256" fillId="0" borderId="1" xfId="0" applyFont="1" applyFill="1" applyBorder="1" applyAlignment="1">
      <alignment vertical="center"/>
    </xf>
    <xf numFmtId="43" fontId="119" fillId="0" borderId="1" xfId="0" applyNumberFormat="1" applyFont="1" applyBorder="1" applyAlignment="1">
      <alignment vertical="center"/>
    </xf>
    <xf numFmtId="43" fontId="119" fillId="0" borderId="0" xfId="0" applyNumberFormat="1" applyFont="1" applyBorder="1" applyAlignment="1">
      <alignment vertical="center"/>
    </xf>
    <xf numFmtId="0" fontId="99" fillId="0" borderId="1" xfId="0" applyFont="1" applyBorder="1" applyAlignment="1"/>
    <xf numFmtId="43" fontId="0" fillId="0" borderId="1" xfId="0" applyNumberFormat="1" applyBorder="1" applyAlignment="1"/>
    <xf numFmtId="0" fontId="0" fillId="0" borderId="1" xfId="0" applyBorder="1" applyAlignment="1"/>
    <xf numFmtId="43" fontId="47" fillId="18" borderId="23" xfId="0" applyNumberFormat="1" applyFont="1" applyFill="1" applyBorder="1" applyAlignment="1" applyProtection="1">
      <alignment vertical="center"/>
      <protection locked="0"/>
    </xf>
    <xf numFmtId="43" fontId="57" fillId="18" borderId="24"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9" borderId="0" xfId="0" applyFill="1" applyAlignment="1"/>
    <xf numFmtId="0" fontId="0" fillId="17" borderId="0" xfId="0" applyFill="1" applyAlignment="1"/>
    <xf numFmtId="10" fontId="0" fillId="0" borderId="0" xfId="0" applyNumberFormat="1" applyAlignment="1"/>
    <xf numFmtId="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0" borderId="1" xfId="0" applyFont="1" applyBorder="1" applyAlignment="1">
      <alignment horizontal="center" vertical="center"/>
    </xf>
    <xf numFmtId="0" fontId="113" fillId="0" borderId="1" xfId="0" applyFont="1" applyBorder="1" applyAlignment="1">
      <alignment horizontal="center" vertical="center"/>
    </xf>
    <xf numFmtId="0" fontId="257" fillId="0" borderId="1" xfId="14"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0" fontId="113" fillId="0" borderId="1" xfId="0" applyFont="1" applyBorder="1" applyAlignment="1">
      <alignment horizontal="center" vertical="center" wrapText="1"/>
    </xf>
    <xf numFmtId="43" fontId="113" fillId="0" borderId="1" xfId="13" applyFont="1" applyBorder="1" applyAlignment="1">
      <alignment vertical="center" wrapText="1"/>
    </xf>
    <xf numFmtId="0" fontId="257" fillId="7" borderId="1" xfId="14" applyFont="1" applyFill="1" applyBorder="1" applyAlignment="1">
      <alignment horizontal="center" vertical="center" wrapText="1"/>
    </xf>
    <xf numFmtId="0" fontId="257" fillId="0" borderId="1" xfId="0" applyFont="1" applyFill="1" applyBorder="1" applyAlignment="1">
      <alignment horizontal="center" vertical="center" wrapText="1"/>
    </xf>
    <xf numFmtId="58" fontId="257" fillId="0" borderId="1" xfId="0"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43" fontId="257" fillId="0" borderId="1" xfId="13" applyFont="1" applyFill="1" applyBorder="1" applyAlignment="1">
      <alignment vertical="center" wrapText="1"/>
    </xf>
    <xf numFmtId="0" fontId="99" fillId="0" borderId="58" xfId="0" applyFont="1" applyBorder="1" applyAlignment="1">
      <alignment horizontal="center"/>
    </xf>
    <xf numFmtId="0" fontId="0" fillId="0" borderId="58" xfId="0" applyBorder="1" applyAlignment="1">
      <alignment horizont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0" applyNumberFormat="1" applyFont="1" applyFill="1" applyBorder="1" applyAlignment="1">
      <alignment vertical="center"/>
    </xf>
    <xf numFmtId="0" fontId="0" fillId="0" borderId="0" xfId="0"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13</xdr:col>
      <xdr:colOff>514770</xdr:colOff>
      <xdr:row>45</xdr:row>
      <xdr:rowOff>19050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472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566892</xdr:colOff>
      <xdr:row>24</xdr:row>
      <xdr:rowOff>142874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482292" cy="425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4180;&#33457;&#22478;&#21830;&#38138;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4180;&#33457;&#22478;&#21830;&#38138;2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4186</v>
          </cell>
          <cell r="G14">
            <v>4186</v>
          </cell>
        </row>
      </sheetData>
      <sheetData sheetId="17">
        <row r="19">
          <cell r="G19">
            <v>4186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9510</v>
          </cell>
          <cell r="G14">
            <v>9510</v>
          </cell>
        </row>
      </sheetData>
      <sheetData sheetId="17">
        <row r="19">
          <cell r="G19">
            <v>9510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63832</v>
      </c>
    </row>
    <row r="21" spans="1:2" s="1591" customFormat="1">
      <c r="A21" s="1589" t="s">
        <v>1235</v>
      </c>
      <c r="B21" s="1590">
        <f ca="1">'预评函-2'!D7</f>
        <v>29103</v>
      </c>
    </row>
    <row r="22" spans="1:2" s="1591" customFormat="1">
      <c r="A22" s="1589" t="s">
        <v>1236</v>
      </c>
      <c r="B22" s="1590" t="str">
        <f ca="1">'预评函-2'!D6</f>
        <v>陆亿叁仟捌佰叁拾贰万元整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63832</v>
      </c>
    </row>
    <row r="31" spans="1:2" s="1591" customFormat="1">
      <c r="A31" s="1589" t="s">
        <v>1274</v>
      </c>
      <c r="B31" s="1590">
        <f ca="1">'预评函-2'!D15</f>
        <v>29103</v>
      </c>
    </row>
    <row r="32" spans="1:2" s="1591" customFormat="1">
      <c r="A32" s="1589" t="s">
        <v>1241</v>
      </c>
      <c r="B32" s="1590" t="str">
        <f ca="1">'预评函-2'!D14</f>
        <v>陆亿叁仟捌佰叁拾贰万元整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3177</v>
      </c>
      <c r="C17" s="2013"/>
    </row>
    <row r="18" spans="1:3">
      <c r="A18" s="2012" t="s">
        <v>1767</v>
      </c>
      <c r="B18" s="2012" t="s">
        <v>3178</v>
      </c>
      <c r="C18" s="2013"/>
    </row>
    <row r="19" spans="1:3">
      <c r="A19" s="2012" t="s">
        <v>1768</v>
      </c>
      <c r="B19" s="2012" t="s">
        <v>3179</v>
      </c>
      <c r="C19" s="2013"/>
    </row>
    <row r="20" spans="1:3">
      <c r="A20" s="2012" t="s">
        <v>1769</v>
      </c>
      <c r="B20" s="2012" t="s">
        <v>3208</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7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0" t="s">
        <v>864</v>
      </c>
      <c r="C54" s="2017" t="s">
        <v>1281</v>
      </c>
    </row>
    <row r="55" spans="1:4">
      <c r="A55" s="3072"/>
      <c r="B55" s="2020" t="s">
        <v>865</v>
      </c>
      <c r="C55" s="2017" t="s">
        <v>1282</v>
      </c>
    </row>
    <row r="56" spans="1:4">
      <c r="A56" s="3072"/>
      <c r="B56" s="2020" t="s">
        <v>866</v>
      </c>
      <c r="C56" s="2017" t="s">
        <v>1286</v>
      </c>
    </row>
    <row r="57" spans="1:4">
      <c r="A57" s="307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38" sqref="B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73" t="str">
        <f>IF(B10="北京市","北京市",C10)&amp;F10&amp;IF(结果表!G1="在建","出让国有建设用地使用权及在建建筑物",IF(结果表!G1="土地","出让国有建设用地使用权",))&amp;B9&amp;"预评估"</f>
        <v>北京市丰台区首经贸中街1号房地产抵押价值预评估</v>
      </c>
      <c r="C1" s="3074"/>
      <c r="D1" s="3074"/>
      <c r="E1" s="3074"/>
      <c r="F1" s="3074"/>
      <c r="G1" s="3074"/>
      <c r="H1" s="3074"/>
      <c r="I1" s="307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1778</v>
      </c>
      <c r="B3" s="2034">
        <v>43335</v>
      </c>
      <c r="C3" s="2035" t="s">
        <v>1779</v>
      </c>
      <c r="D3" s="2034">
        <v>43335</v>
      </c>
      <c r="E3" s="2024"/>
      <c r="F3" s="2024"/>
      <c r="G3" s="2024"/>
      <c r="H3" s="2024"/>
      <c r="I3" s="2024"/>
      <c r="J3" s="2024"/>
      <c r="K3" s="2025"/>
      <c r="L3" s="2026"/>
      <c r="M3" s="2026"/>
      <c r="N3" s="2027"/>
      <c r="O3" s="2028"/>
      <c r="P3" s="2027"/>
      <c r="Q3" s="2027"/>
      <c r="R3" s="2027"/>
      <c r="S3" s="2029"/>
    </row>
    <row r="4" spans="1:19" ht="18" customHeight="1" thickBot="1">
      <c r="A4" s="2036" t="s">
        <v>1780</v>
      </c>
      <c r="B4" s="2037" t="s">
        <v>3151</v>
      </c>
      <c r="C4" s="1035">
        <f ca="1">SUMIF(注册房地产估价师,B4,估价师及机构信息!B3:B24)</f>
        <v>1419970001</v>
      </c>
      <c r="D4" s="2037" t="s">
        <v>3152</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1781</v>
      </c>
      <c r="B5" s="2976" t="s">
        <v>3153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77" t="s">
        <v>3156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76" t="s">
        <v>3153</v>
      </c>
      <c r="C7" s="2046"/>
      <c r="D7" s="2047"/>
      <c r="E7" s="2032"/>
      <c r="F7" s="2040"/>
      <c r="G7" s="2040"/>
      <c r="H7" s="2040"/>
      <c r="I7" s="2040"/>
      <c r="J7" s="2040"/>
      <c r="K7" s="2049"/>
      <c r="L7" s="2026"/>
      <c r="M7" s="2026"/>
      <c r="N7" s="2027"/>
      <c r="O7" s="2028"/>
      <c r="P7" s="2027"/>
      <c r="Q7" s="2027"/>
      <c r="R7" s="2027"/>
    </row>
    <row r="8" spans="1:19" ht="18" customHeight="1">
      <c r="A8" s="2045" t="s">
        <v>1784</v>
      </c>
      <c r="B8" s="2050" t="s">
        <v>3154</v>
      </c>
      <c r="C8" s="2051"/>
      <c r="D8" s="3076" t="s">
        <v>1785</v>
      </c>
      <c r="E8" s="2052" t="s">
        <v>3155</v>
      </c>
      <c r="F8" s="2053"/>
      <c r="G8" s="2024"/>
      <c r="H8" s="2024"/>
      <c r="I8" s="2024"/>
      <c r="J8" s="2040"/>
      <c r="K8" s="2041"/>
      <c r="L8" s="2026"/>
      <c r="M8" s="2026"/>
      <c r="N8" s="2027"/>
      <c r="O8" s="2028"/>
      <c r="P8" s="2027"/>
      <c r="Q8" s="2027"/>
      <c r="R8" s="2027"/>
    </row>
    <row r="9" spans="1:19" ht="18" customHeight="1" thickBot="1">
      <c r="A9" s="2038" t="s">
        <v>1786</v>
      </c>
      <c r="B9" s="2054" t="s">
        <v>3155</v>
      </c>
      <c r="C9" s="2055"/>
      <c r="D9" s="3077"/>
      <c r="E9" s="2054"/>
      <c r="F9" s="2056"/>
      <c r="G9" s="2057"/>
      <c r="H9" s="2057"/>
      <c r="I9" s="2057"/>
      <c r="J9" s="2040"/>
      <c r="K9" s="2049"/>
      <c r="L9" s="2026"/>
      <c r="M9" s="2026"/>
      <c r="N9" s="2027"/>
      <c r="O9" s="2028"/>
      <c r="P9" s="2027"/>
      <c r="Q9" s="2027"/>
      <c r="R9" s="2027"/>
    </row>
    <row r="10" spans="1:19" ht="18" customHeight="1" thickTop="1" thickBot="1">
      <c r="A10" s="2058" t="s">
        <v>1787</v>
      </c>
      <c r="B10" s="2059" t="s">
        <v>3157</v>
      </c>
      <c r="C10" s="2060"/>
      <c r="D10" s="2044"/>
      <c r="E10" s="2061" t="s">
        <v>1788</v>
      </c>
      <c r="F10" s="2062" t="s">
        <v>3159</v>
      </c>
      <c r="G10" s="2063"/>
      <c r="H10" s="2064"/>
      <c r="I10" s="2044"/>
      <c r="J10" s="2040"/>
      <c r="K10" s="2049"/>
      <c r="L10" s="2026"/>
      <c r="M10" s="2026"/>
      <c r="N10" s="2027"/>
      <c r="O10" s="2028"/>
      <c r="P10" s="2027"/>
      <c r="Q10" s="2027"/>
      <c r="R10" s="2027"/>
    </row>
    <row r="11" spans="1:19" ht="18" customHeight="1" thickTop="1">
      <c r="A11" s="2065" t="s">
        <v>1789</v>
      </c>
      <c r="B11" s="2066" t="s">
        <v>3158</v>
      </c>
      <c r="C11" s="2976" t="s">
        <v>3153</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3160</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1799</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1800</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1801</v>
      </c>
      <c r="B16" s="3083"/>
      <c r="C16" s="3084"/>
      <c r="D16" s="3085"/>
      <c r="E16" s="2080" t="s">
        <v>1802</v>
      </c>
      <c r="F16" s="3086"/>
      <c r="G16" s="3087"/>
      <c r="H16" s="3087"/>
      <c r="I16" s="3088"/>
      <c r="J16" s="2027"/>
      <c r="K16" s="2077"/>
      <c r="L16" s="2078"/>
      <c r="M16" s="2078"/>
      <c r="N16" s="2079"/>
      <c r="O16" s="2078"/>
      <c r="P16" s="2079"/>
      <c r="Q16" s="2027"/>
      <c r="R16" s="2027"/>
    </row>
    <row r="17" spans="1:22" ht="18" customHeight="1">
      <c r="A17" s="2081" t="s">
        <v>1803</v>
      </c>
      <c r="B17" s="2033" t="s">
        <v>1804</v>
      </c>
      <c r="C17" s="1052">
        <f>'数据-汇总表'!E3</f>
        <v>21933.11</v>
      </c>
      <c r="D17" s="2082" t="s">
        <v>1805</v>
      </c>
      <c r="E17" s="3089" t="s">
        <v>1806</v>
      </c>
      <c r="F17" s="3090"/>
      <c r="G17" s="3090"/>
      <c r="H17" s="3090"/>
      <c r="I17" s="3091"/>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11402.02</v>
      </c>
      <c r="D18" s="2085" t="s">
        <v>1805</v>
      </c>
      <c r="E18" s="3092" t="s">
        <v>1809</v>
      </c>
      <c r="F18" s="3093"/>
      <c r="G18" s="3093"/>
      <c r="H18" s="3093"/>
      <c r="I18" s="3094"/>
      <c r="J18" s="2027"/>
      <c r="K18" s="2083"/>
      <c r="L18" s="2078"/>
      <c r="M18" s="2078"/>
      <c r="N18" s="2079"/>
      <c r="O18" s="2078"/>
      <c r="P18" s="2079"/>
      <c r="Q18" s="2027"/>
      <c r="R18" s="2027"/>
      <c r="S18" s="2027"/>
      <c r="T18" s="2027"/>
      <c r="U18" s="2027"/>
      <c r="V18" s="2027"/>
    </row>
    <row r="19" spans="1:22" ht="37.5" customHeight="1" thickTop="1" thickBot="1">
      <c r="A19" s="372" t="s">
        <v>1810</v>
      </c>
      <c r="B19" s="351" t="s">
        <v>1811</v>
      </c>
      <c r="C19" s="2086" t="s">
        <v>3161</v>
      </c>
      <c r="D19" s="2087" t="s">
        <v>1812</v>
      </c>
      <c r="E19" s="2088" t="s">
        <v>3161</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1813</v>
      </c>
      <c r="B20" s="3079" t="s">
        <v>1814</v>
      </c>
      <c r="C20" s="3080"/>
      <c r="D20" s="3081" t="s">
        <v>1815</v>
      </c>
      <c r="E20" s="3082"/>
      <c r="F20" s="2092" t="s">
        <v>1816</v>
      </c>
      <c r="G20" s="2040"/>
      <c r="H20" s="2040"/>
      <c r="I20" s="2040"/>
      <c r="J20" s="2040"/>
      <c r="K20" s="3078" t="s">
        <v>1817</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1818</v>
      </c>
      <c r="C21" s="2094" t="s">
        <v>1819</v>
      </c>
      <c r="D21" s="2095" t="s">
        <v>1820</v>
      </c>
      <c r="E21" s="2096" t="s">
        <v>1819</v>
      </c>
      <c r="F21" s="2097"/>
      <c r="G21" s="2040"/>
      <c r="H21" s="2040"/>
      <c r="I21" s="2040"/>
      <c r="J21" s="2040"/>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1821</v>
      </c>
      <c r="C22" s="2094" t="s">
        <v>3163</v>
      </c>
      <c r="D22" s="2024"/>
      <c r="E22" s="2024"/>
      <c r="F22" s="2099"/>
      <c r="G22" s="2040"/>
      <c r="H22" s="2040"/>
      <c r="I22" s="2040"/>
      <c r="J22" s="2040"/>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1822</v>
      </c>
      <c r="B23" s="182" t="s">
        <v>1823</v>
      </c>
      <c r="C23" s="2101"/>
      <c r="D23" s="2102" t="s">
        <v>1823</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1824</v>
      </c>
      <c r="C24" s="2106"/>
      <c r="D24" s="2100" t="s">
        <v>1824</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1825</v>
      </c>
      <c r="C25" s="2106"/>
      <c r="D25" s="2100" t="s">
        <v>1825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1826</v>
      </c>
      <c r="C26" s="2110"/>
      <c r="D26" s="2111" t="s">
        <v>1827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96" t="s">
        <v>1828</v>
      </c>
      <c r="B27" s="2058" t="s">
        <v>1829</v>
      </c>
      <c r="C27" s="2114" t="s">
        <v>3164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96"/>
      <c r="B28" s="2033" t="s">
        <v>1830</v>
      </c>
      <c r="C28" s="2116" t="s">
        <v>3165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96"/>
      <c r="B29" s="2033" t="s">
        <v>1831</v>
      </c>
      <c r="C29" s="2119" t="s">
        <v>3161</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97"/>
      <c r="B30" s="2033" t="s">
        <v>1832</v>
      </c>
      <c r="C30" s="3098"/>
      <c r="D30" s="309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00" t="s">
        <v>1833</v>
      </c>
      <c r="B31" s="2121" t="s">
        <v>3166</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01"/>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01"/>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8" t="s">
        <v>3167</v>
      </c>
      <c r="C34" s="2128" t="s">
        <v>3168</v>
      </c>
      <c r="D34" s="2128" t="s">
        <v>3169</v>
      </c>
      <c r="E34" s="2128" t="s">
        <v>3170</v>
      </c>
      <c r="F34" s="2128" t="s">
        <v>3171</v>
      </c>
      <c r="G34" s="2128" t="s">
        <v>3172</v>
      </c>
      <c r="H34" s="2128"/>
      <c r="I34" s="2040"/>
      <c r="J34" s="2040"/>
      <c r="K34" s="1793">
        <f>COUNTIF(B34:H34,"——")</f>
        <v>0</v>
      </c>
      <c r="L34" s="2069" t="s">
        <v>1835</v>
      </c>
      <c r="M34" s="2069" t="s">
        <v>1836</v>
      </c>
      <c r="N34" s="2069" t="s">
        <v>1837</v>
      </c>
      <c r="O34" s="2069" t="s">
        <v>1838</v>
      </c>
      <c r="P34" s="2069" t="s">
        <v>1839</v>
      </c>
      <c r="Q34" s="2069" t="s">
        <v>1840</v>
      </c>
      <c r="R34" s="2069" t="s">
        <v>1841</v>
      </c>
      <c r="S34" s="3095" t="s">
        <v>1842</v>
      </c>
      <c r="T34" s="2129" t="str">
        <f>NUMBERSTRING(7-K34,1)&amp;"通"</f>
        <v>七通</v>
      </c>
      <c r="U34" s="2027"/>
      <c r="V34" s="2027"/>
    </row>
    <row r="35" spans="1:22" ht="18" customHeight="1">
      <c r="A35" s="2130"/>
      <c r="B35" s="3102" t="s">
        <v>1843</v>
      </c>
      <c r="C35" s="3102"/>
      <c r="D35" s="3102"/>
      <c r="E35" s="3102"/>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95"/>
      <c r="T35" s="48" t="str">
        <f>IF(T34="一通",L35,IF(T34="二通",M35,IF(T34="三通",N35,IF(T34="四通",O35,IF(T34="五通",P35,IF(T34="六通",Q35,R35))))))</f>
        <v>通路、通电、通讯、通上水、通下水、通热、</v>
      </c>
      <c r="U35" s="2027"/>
      <c r="V35" s="2027"/>
    </row>
    <row r="36" spans="1:22" ht="18" customHeight="1">
      <c r="A36" s="2132"/>
      <c r="B36" s="2131" t="s">
        <v>1844</v>
      </c>
      <c r="C36" s="2131" t="s">
        <v>1845</v>
      </c>
      <c r="D36" s="2131" t="s">
        <v>1846</v>
      </c>
      <c r="E36" s="2131" t="s">
        <v>1847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1848</v>
      </c>
      <c r="B37" s="2135" t="s">
        <v>523</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1849</v>
      </c>
      <c r="B38" s="2137" t="s">
        <v>336</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1852</v>
      </c>
      <c r="B42" s="1793" t="s">
        <v>1853</v>
      </c>
      <c r="C42" s="1793" t="s">
        <v>1854</v>
      </c>
      <c r="D42" s="1793" t="s">
        <v>1855</v>
      </c>
      <c r="E42" s="1793" t="s">
        <v>1856</v>
      </c>
      <c r="F42" s="1793" t="s">
        <v>1857</v>
      </c>
      <c r="G42" s="1793" t="s">
        <v>1858</v>
      </c>
      <c r="H42" s="1793" t="s">
        <v>1859</v>
      </c>
      <c r="I42" s="1793" t="s">
        <v>1860</v>
      </c>
      <c r="J42" s="2147" t="s">
        <v>1861</v>
      </c>
      <c r="K42" s="2070" t="s">
        <v>1862</v>
      </c>
      <c r="L42" s="2070" t="s">
        <v>1863</v>
      </c>
      <c r="M42" s="2070" t="s">
        <v>1864</v>
      </c>
      <c r="N42" s="1793" t="s">
        <v>1865</v>
      </c>
      <c r="O42" s="1793" t="s">
        <v>1866</v>
      </c>
      <c r="P42" s="1793" t="s">
        <v>1867</v>
      </c>
      <c r="Q42" s="2069" t="s">
        <v>1868</v>
      </c>
      <c r="R42" s="2069" t="s">
        <v>1869</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1875</v>
      </c>
      <c r="AZ2" s="1268"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1888</v>
      </c>
      <c r="AV7" s="23" t="s">
        <v>1889</v>
      </c>
      <c r="AW7" s="2161" t="s">
        <v>1890</v>
      </c>
      <c r="AX7" s="23" t="s">
        <v>1883</v>
      </c>
      <c r="AY7" s="1801"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6"/>
      <c r="K8" s="1816"/>
      <c r="L8" s="1816"/>
      <c r="M8" s="1816"/>
      <c r="N8" s="1816"/>
      <c r="O8" s="1816"/>
      <c r="P8" s="1816"/>
      <c r="Q8" s="1816"/>
      <c r="R8" s="1816"/>
      <c r="S8" s="1816"/>
      <c r="T8" s="1816"/>
      <c r="U8" s="1816"/>
      <c r="V8" s="2181"/>
      <c r="W8" s="1816"/>
      <c r="X8" s="1816"/>
      <c r="Y8" s="1816"/>
      <c r="Z8" s="1816"/>
      <c r="AA8" s="2181"/>
      <c r="AB8" s="2182"/>
      <c r="AC8" s="979" t="s">
        <v>1894</v>
      </c>
      <c r="AD8" s="2183"/>
      <c r="AE8" s="2175"/>
      <c r="AF8" s="1816"/>
      <c r="AG8" s="1816"/>
      <c r="AH8" s="1816"/>
      <c r="AI8" s="1816"/>
      <c r="AJ8" s="1816"/>
      <c r="AK8" s="1816"/>
      <c r="AL8" s="1816"/>
      <c r="AM8" s="1816"/>
      <c r="AN8" s="1816"/>
      <c r="AO8" s="1816"/>
      <c r="AP8" s="1816"/>
      <c r="AQ8" s="1816"/>
      <c r="AR8" s="1816"/>
      <c r="AS8" s="1816"/>
      <c r="AT8" s="1290" t="s">
        <v>1895</v>
      </c>
      <c r="AU8" s="2177" t="s">
        <v>1896</v>
      </c>
      <c r="AV8" s="1290"/>
      <c r="AW8" s="2160"/>
      <c r="AX8" s="1290"/>
      <c r="AY8" s="2161"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1899</v>
      </c>
      <c r="I9" s="2186" t="s">
        <v>3173</v>
      </c>
      <c r="J9" s="979"/>
      <c r="K9" s="2186"/>
      <c r="L9" s="979"/>
      <c r="M9" s="2186"/>
      <c r="N9" s="979"/>
      <c r="O9" s="2186"/>
      <c r="P9" s="979"/>
      <c r="Q9" s="2186"/>
      <c r="R9" s="979"/>
      <c r="S9" s="2186"/>
      <c r="T9" s="979"/>
      <c r="U9" s="2186"/>
      <c r="V9" s="979"/>
      <c r="W9" s="2186"/>
      <c r="X9" s="2187"/>
      <c r="Y9" s="2186"/>
      <c r="Z9" s="979"/>
      <c r="AA9" s="2186"/>
      <c r="AB9" s="979"/>
      <c r="AC9" s="2178"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88"/>
      <c r="AT9" s="2177"/>
      <c r="AU9" s="2177" t="s">
        <v>1902</v>
      </c>
      <c r="AV9" s="1290"/>
      <c r="AW9" s="2160"/>
      <c r="AX9" s="1290"/>
      <c r="AY9" s="28"/>
      <c r="AZ9" s="28" t="s">
        <v>1892</v>
      </c>
      <c r="BA9" s="2189" t="s">
        <v>1903</v>
      </c>
      <c r="BB9" s="2190"/>
      <c r="BC9" s="1336"/>
      <c r="BD9" s="1336"/>
      <c r="BE9" s="1336"/>
      <c r="BF9" s="1336"/>
      <c r="BG9" s="1336"/>
      <c r="BH9" s="1336"/>
      <c r="BI9" s="1336"/>
      <c r="BJ9" s="1336"/>
      <c r="BK9" s="2191"/>
      <c r="BL9" s="15" t="s">
        <v>1904</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1905</v>
      </c>
      <c r="AE10" s="2193"/>
      <c r="AF10" s="15" t="s">
        <v>1905</v>
      </c>
      <c r="AG10" s="2193"/>
      <c r="AH10" s="15" t="s">
        <v>1906</v>
      </c>
      <c r="AI10" s="2193"/>
      <c r="AJ10" s="15" t="s">
        <v>1906</v>
      </c>
      <c r="AK10" s="2193"/>
      <c r="AL10" s="15" t="s">
        <v>1907</v>
      </c>
      <c r="AM10" s="1296"/>
      <c r="AN10" s="15" t="s">
        <v>1907</v>
      </c>
      <c r="AO10" s="1296"/>
      <c r="AP10" s="15" t="s">
        <v>1908</v>
      </c>
      <c r="AQ10" s="1296"/>
      <c r="AR10" s="15" t="s">
        <v>1908</v>
      </c>
      <c r="AS10" s="1296"/>
      <c r="AT10" s="2177"/>
      <c r="AU10" s="2177"/>
      <c r="AV10" s="1290"/>
      <c r="AW10" s="2160"/>
      <c r="AX10" s="1290"/>
      <c r="AY10" s="28"/>
      <c r="AZ10" s="28"/>
      <c r="BA10" s="2194" t="s">
        <v>1899</v>
      </c>
      <c r="BB10" s="2195" t="str">
        <f>I9</f>
        <v>地上</v>
      </c>
      <c r="BC10" s="29">
        <f>K9</f>
        <v>0</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1909</v>
      </c>
      <c r="AE11" s="1817"/>
      <c r="AF11" s="2199" t="s">
        <v>1909</v>
      </c>
      <c r="AG11" s="1817"/>
      <c r="AH11" s="2199" t="s">
        <v>1910</v>
      </c>
      <c r="AI11" s="2200"/>
      <c r="AJ11" s="2199" t="s">
        <v>1910</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4"/>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3162</v>
      </c>
      <c r="E13" s="16">
        <f>IF($C$3="是",ROUND($A$3*G13/$B$3,2),ROUND($A$3*(G13-AT13)/$B$3,2))</f>
        <v>11402.02</v>
      </c>
      <c r="F13" s="32"/>
      <c r="G13" s="33">
        <f>H13+AC13+AT13</f>
        <v>21933.11</v>
      </c>
      <c r="H13" s="20">
        <f>SUMIF(I$12:AB$12,"总值",I13:AB13)</f>
        <v>21933.11</v>
      </c>
      <c r="I13" s="2209">
        <f>SUM(抵押物清单!E80:E82)</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3161</v>
      </c>
      <c r="E14" s="16">
        <f>IF($C$3="是",ROUND($A$3*G14/$B$3,2),ROUND($A$3*(G14-AT14)/$B$3,2))</f>
        <v>1316.52</v>
      </c>
      <c r="F14" s="32"/>
      <c r="G14" s="33">
        <f>H14+AC14+AT14</f>
        <v>2532.4700000000003</v>
      </c>
      <c r="H14" s="20">
        <f>SUMIF(I$12:AB$12,"总值",I14:AB14)</f>
        <v>2532.4700000000003</v>
      </c>
      <c r="I14" s="2209">
        <f>抵押物清单!E83</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3161</v>
      </c>
      <c r="E15" s="16">
        <f>IF($C$3="是",ROUND($A$3*G15/$B$3,2),ROUND($A$3*(G15-AT15)/$B$3,2))</f>
        <v>676.74</v>
      </c>
      <c r="F15" s="32"/>
      <c r="G15" s="33">
        <f>H15+AC15+AT15</f>
        <v>1301.79</v>
      </c>
      <c r="H15" s="20">
        <f>SUMIF(I$12:AB$12,"总值",I15:AB15)</f>
        <v>1301.79</v>
      </c>
      <c r="I15" s="2209">
        <f>抵押物清单!E84</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0"/>
      <c r="C1" s="1390"/>
      <c r="D1" s="1390"/>
      <c r="E1" s="1390"/>
      <c r="F1" s="1390"/>
      <c r="G1" s="1390"/>
      <c r="H1" s="1390"/>
      <c r="I1" s="1390"/>
      <c r="J1" s="1390"/>
      <c r="K1" s="1390"/>
      <c r="L1" s="1390"/>
      <c r="M1" s="1390"/>
      <c r="N1" s="1390"/>
      <c r="O1" s="1390"/>
      <c r="P1" s="1390"/>
    </row>
    <row r="2" spans="1:16" ht="15">
      <c r="A2" s="3114" t="s">
        <v>1939</v>
      </c>
      <c r="B2" s="3114"/>
      <c r="C2" s="3114"/>
      <c r="D2" s="965" t="s">
        <v>1915</v>
      </c>
      <c r="E2" s="2222" t="s">
        <v>1916</v>
      </c>
      <c r="F2" s="1390"/>
      <c r="G2" s="2223"/>
      <c r="H2" s="2224"/>
      <c r="I2" s="2225" t="s">
        <v>1940</v>
      </c>
      <c r="J2" s="1390"/>
      <c r="K2" s="1390"/>
      <c r="L2" s="1390"/>
      <c r="M2" s="1390"/>
      <c r="N2" s="1425"/>
      <c r="O2" s="1390"/>
      <c r="P2" s="1390"/>
    </row>
    <row r="3" spans="1:16" ht="15.75" thickBot="1">
      <c r="A3" s="3115" t="s">
        <v>1913</v>
      </c>
      <c r="B3" s="3115"/>
      <c r="C3" s="3115"/>
      <c r="D3" s="46">
        <f>'数据-基础表'!AY6</f>
        <v>11402.02</v>
      </c>
      <c r="E3" s="46">
        <f>'数据-基础表'!AZ5</f>
        <v>21933.11</v>
      </c>
      <c r="F3" s="1390"/>
      <c r="G3" s="1397"/>
      <c r="H3" s="1245" t="s">
        <v>1914</v>
      </c>
      <c r="I3" s="55">
        <f>ROUND('数据-基础表'!B3/'数据-基础表'!A3,2)</f>
        <v>1.92</v>
      </c>
      <c r="J3" s="1390"/>
      <c r="K3" s="1390"/>
      <c r="L3" s="1390"/>
      <c r="M3" s="1390"/>
      <c r="N3" s="1425"/>
      <c r="O3" s="1390"/>
      <c r="P3" s="1390"/>
    </row>
    <row r="4" spans="1:16" ht="15">
      <c r="A4" s="3116"/>
      <c r="B4" s="3117"/>
      <c r="C4" s="3118"/>
      <c r="D4" s="2226" t="s">
        <v>1915</v>
      </c>
      <c r="E4" s="2227" t="s">
        <v>1916</v>
      </c>
      <c r="F4" s="1390"/>
      <c r="G4" s="2228" t="s">
        <v>1941</v>
      </c>
      <c r="H4" s="1245" t="s">
        <v>1921</v>
      </c>
      <c r="I4" s="55">
        <f>ROUND(SUMIF('数据-基础表'!I9:AS9,"地上",'数据-基础表'!I5:AS5)/'数据-基础表'!A3,2)</f>
        <v>1.92</v>
      </c>
      <c r="J4" s="1390"/>
      <c r="K4" s="1390"/>
      <c r="L4" s="1390"/>
      <c r="M4" s="1390"/>
      <c r="N4" s="1425"/>
      <c r="O4" s="1390"/>
      <c r="P4" s="1390"/>
    </row>
    <row r="5" spans="1:16">
      <c r="A5" s="47" t="s">
        <v>1917</v>
      </c>
      <c r="B5" s="3119" t="s">
        <v>1918</v>
      </c>
      <c r="C5" s="3119"/>
      <c r="D5" s="48">
        <f>ROUND($D$3*E5/$E$3,2)</f>
        <v>0</v>
      </c>
      <c r="E5" s="49">
        <f>SUMIF('数据-基础表'!$11:$11,"住宅",'数据-基础表'!$5:$5)</f>
        <v>0</v>
      </c>
      <c r="F5" s="1390"/>
      <c r="G5" s="1397"/>
      <c r="H5" s="1245" t="s">
        <v>1914</v>
      </c>
      <c r="I5" s="55">
        <f>ROUND(E31/D31,2)</f>
        <v>1.92</v>
      </c>
      <c r="J5" s="1390"/>
      <c r="K5" s="1390"/>
      <c r="L5" s="1390"/>
      <c r="M5" s="1390"/>
      <c r="N5" s="1390"/>
      <c r="O5" s="1390"/>
      <c r="P5" s="1390"/>
    </row>
    <row r="6" spans="1:16" ht="15" thickBot="1">
      <c r="A6" s="2229"/>
      <c r="B6" s="3119" t="s">
        <v>1919</v>
      </c>
      <c r="C6" s="3119"/>
      <c r="D6" s="48">
        <f>ROUND($D$3*E6/$E$3,2)</f>
        <v>11402.02</v>
      </c>
      <c r="E6" s="49">
        <f>E3-E5</f>
        <v>21933.11</v>
      </c>
      <c r="F6" s="1390"/>
      <c r="G6" s="2230" t="s">
        <v>1920</v>
      </c>
      <c r="H6" s="1397" t="s">
        <v>1921</v>
      </c>
      <c r="I6" s="937">
        <f>ROUND(F31/D31,2)</f>
        <v>1.92</v>
      </c>
      <c r="J6" s="1390"/>
      <c r="K6" s="1390"/>
      <c r="L6" s="1390"/>
      <c r="M6" s="1390"/>
      <c r="N6" s="1390"/>
      <c r="O6" s="1390"/>
      <c r="P6" s="1390"/>
    </row>
    <row r="7" spans="1:16" ht="15">
      <c r="A7" s="3111"/>
      <c r="B7" s="3112"/>
      <c r="C7" s="3113"/>
      <c r="D7" s="2226" t="s">
        <v>1915</v>
      </c>
      <c r="E7" s="2231" t="s">
        <v>1922</v>
      </c>
      <c r="F7" s="1390"/>
      <c r="G7" s="2223" t="s">
        <v>1923</v>
      </c>
      <c r="H7" s="63"/>
      <c r="I7" s="419"/>
      <c r="J7" s="1390"/>
      <c r="K7" s="1390"/>
      <c r="L7" s="1390"/>
      <c r="M7" s="1390"/>
      <c r="N7" s="1390"/>
      <c r="O7" s="1390"/>
      <c r="P7" s="1390"/>
    </row>
    <row r="8" spans="1:16">
      <c r="A8" s="47" t="s">
        <v>1924</v>
      </c>
      <c r="B8" s="50" t="s">
        <v>1925</v>
      </c>
      <c r="C8" s="48" t="s">
        <v>1926</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1927</v>
      </c>
      <c r="D9" s="48">
        <f t="shared" si="0"/>
        <v>0</v>
      </c>
      <c r="E9" s="52">
        <v>0</v>
      </c>
      <c r="F9" s="1390"/>
      <c r="G9" s="2232"/>
      <c r="H9" s="2232"/>
      <c r="I9" s="1390"/>
      <c r="J9" s="1390"/>
      <c r="K9" s="1390"/>
      <c r="L9" s="1390"/>
      <c r="M9" s="1390"/>
      <c r="N9" s="1390"/>
      <c r="O9" s="1390"/>
      <c r="P9" s="1390"/>
    </row>
    <row r="10" spans="1:16">
      <c r="A10" s="2233"/>
      <c r="B10" s="2234"/>
      <c r="C10" s="48" t="s">
        <v>1936</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1928</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1929</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1930</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1942</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1937</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1931</v>
      </c>
      <c r="D16" s="50">
        <f>SUM(D8:D15)</f>
        <v>11402.02</v>
      </c>
      <c r="E16" s="53">
        <f>SUM(E8:E15)</f>
        <v>21933.11</v>
      </c>
      <c r="F16" s="1390"/>
      <c r="G16" s="2232"/>
      <c r="H16" s="2235" t="s">
        <v>1943</v>
      </c>
      <c r="I16" s="2236"/>
      <c r="J16" s="1390"/>
      <c r="K16" s="3108" t="s">
        <v>1943</v>
      </c>
      <c r="L16" s="3109"/>
      <c r="M16" s="3109"/>
      <c r="N16" s="3109"/>
      <c r="O16" s="3109"/>
      <c r="P16" s="3110"/>
    </row>
    <row r="17" spans="1:19" ht="15">
      <c r="A17" s="2237" t="s">
        <v>1944</v>
      </c>
      <c r="B17" s="2238" t="s">
        <v>1945</v>
      </c>
      <c r="C17" s="2239" t="s">
        <v>1946</v>
      </c>
      <c r="D17" s="2240" t="s">
        <v>1934</v>
      </c>
      <c r="E17" s="2241" t="s">
        <v>1935</v>
      </c>
      <c r="F17" s="2242"/>
      <c r="G17" s="2243"/>
      <c r="H17" s="2244" t="s">
        <v>1947</v>
      </c>
      <c r="I17" s="2245" t="s">
        <v>1932</v>
      </c>
      <c r="J17" s="1390"/>
      <c r="K17" s="3105" t="s">
        <v>1948</v>
      </c>
      <c r="L17" s="3106"/>
      <c r="M17" s="3107"/>
      <c r="N17" s="3105" t="s">
        <v>1949</v>
      </c>
      <c r="O17" s="3106"/>
      <c r="P17" s="3107"/>
      <c r="R17" s="2223" t="s">
        <v>1950</v>
      </c>
      <c r="S17" s="63"/>
    </row>
    <row r="18" spans="1:19" ht="15">
      <c r="A18" s="2233"/>
      <c r="B18" s="2246"/>
      <c r="C18" s="2247"/>
      <c r="D18" s="2248"/>
      <c r="E18" s="2249" t="s">
        <v>1951</v>
      </c>
      <c r="F18" s="2250" t="s">
        <v>1952</v>
      </c>
      <c r="G18" s="2251" t="s">
        <v>1953</v>
      </c>
      <c r="H18" s="1260" t="s">
        <v>1954</v>
      </c>
      <c r="I18" s="2252" t="s">
        <v>1955</v>
      </c>
      <c r="J18" s="1390"/>
      <c r="K18" s="1260" t="s">
        <v>1956</v>
      </c>
      <c r="L18" s="2253" t="s">
        <v>1957</v>
      </c>
      <c r="M18" s="1044" t="s">
        <v>1958</v>
      </c>
      <c r="N18" s="1260" t="s">
        <v>1956</v>
      </c>
      <c r="O18" s="2253" t="s">
        <v>1957</v>
      </c>
      <c r="P18" s="1044" t="s">
        <v>1958</v>
      </c>
      <c r="R18" s="1245" t="s">
        <v>1959</v>
      </c>
      <c r="S18" s="1245" t="s">
        <v>1960</v>
      </c>
    </row>
    <row r="19" spans="1:19">
      <c r="A19" s="2254"/>
      <c r="B19" s="50" t="s">
        <v>1933</v>
      </c>
      <c r="C19" s="2978" t="s">
        <v>3174</v>
      </c>
      <c r="D19" s="48">
        <f>ROUND($D$3*E19/$E$3,2)</f>
        <v>924.47</v>
      </c>
      <c r="E19" s="56">
        <f t="shared" ref="E19:E26" si="1">SUM(F19:G19)</f>
        <v>1778.3200000000002</v>
      </c>
      <c r="F19" s="2979">
        <f>抵押物清单!E80</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1961</v>
      </c>
      <c r="C20" s="2255" t="s">
        <v>3175</v>
      </c>
      <c r="D20" s="48">
        <f t="shared" ref="D20:D26" si="6">ROUND($D$3*E20/$E$3,2)</f>
        <v>2915.2</v>
      </c>
      <c r="E20" s="56">
        <f t="shared" si="1"/>
        <v>5607.7300000000005</v>
      </c>
      <c r="F20" s="2979">
        <f>抵押物清单!E81</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1961</v>
      </c>
      <c r="C21" s="2255" t="s">
        <v>3176</v>
      </c>
      <c r="D21" s="48">
        <f t="shared" si="6"/>
        <v>7562.35</v>
      </c>
      <c r="E21" s="56">
        <f t="shared" si="1"/>
        <v>14547.060000000001</v>
      </c>
      <c r="F21" s="2979">
        <f>抵押物清单!E82</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1961</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1961</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1961</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1961</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1961</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1962</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1963</v>
      </c>
      <c r="C28" s="1257" t="s">
        <v>1964</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1963</v>
      </c>
      <c r="C29" s="2262" t="s">
        <v>1965</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1966</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1967</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1968</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1969</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1976</v>
      </c>
      <c r="B5" s="2285" t="s">
        <v>1977</v>
      </c>
      <c r="C5" s="2286" t="s">
        <v>1978</v>
      </c>
      <c r="D5" s="2287" t="s">
        <v>1979</v>
      </c>
      <c r="E5" s="1266" t="s">
        <v>1980</v>
      </c>
      <c r="F5" s="2288" t="s">
        <v>1981</v>
      </c>
      <c r="G5" s="1266" t="s">
        <v>1982</v>
      </c>
      <c r="H5" s="1266" t="s">
        <v>1983</v>
      </c>
      <c r="I5" s="1266" t="s">
        <v>1984</v>
      </c>
      <c r="J5" s="2289" t="s">
        <v>1985</v>
      </c>
      <c r="K5" s="2290" t="s">
        <v>1986</v>
      </c>
      <c r="L5" s="2291" t="s">
        <v>1987</v>
      </c>
      <c r="M5" s="2292" t="s">
        <v>1988</v>
      </c>
      <c r="N5" s="2293" t="s">
        <v>3180</v>
      </c>
      <c r="O5" s="2291" t="s">
        <v>1989</v>
      </c>
      <c r="P5" s="2294" t="s">
        <v>1990</v>
      </c>
      <c r="Q5" s="68" t="s">
        <v>1991</v>
      </c>
      <c r="R5" s="2295" t="s">
        <v>1992</v>
      </c>
      <c r="S5" s="2296" t="s">
        <v>1993</v>
      </c>
      <c r="T5" s="2297" t="s">
        <v>1994</v>
      </c>
      <c r="U5" s="1265" t="s">
        <v>1995</v>
      </c>
      <c r="V5" s="1266" t="s">
        <v>1996</v>
      </c>
      <c r="W5" s="1266" t="s">
        <v>1997</v>
      </c>
      <c r="X5" s="70"/>
      <c r="Y5" s="69" t="s">
        <v>1998</v>
      </c>
      <c r="Z5" s="2298" t="s">
        <v>1995</v>
      </c>
      <c r="AA5" s="1266" t="s">
        <v>1996</v>
      </c>
      <c r="AB5" s="1266" t="s">
        <v>1997</v>
      </c>
      <c r="AC5" s="70"/>
      <c r="AD5" s="70" t="s">
        <v>1998</v>
      </c>
      <c r="AE5" s="1265" t="s">
        <v>1999</v>
      </c>
      <c r="AF5" s="1266" t="s">
        <v>2000</v>
      </c>
      <c r="AG5" s="69" t="s">
        <v>2001</v>
      </c>
      <c r="AH5" s="1265" t="s">
        <v>2002</v>
      </c>
      <c r="AI5" s="2298" t="s">
        <v>2003</v>
      </c>
      <c r="AJ5" s="2298" t="s">
        <v>2004</v>
      </c>
      <c r="AK5" s="1266" t="s">
        <v>2005</v>
      </c>
      <c r="AL5" s="1266" t="s">
        <v>2006</v>
      </c>
      <c r="AM5" s="69" t="s">
        <v>2007</v>
      </c>
      <c r="AN5" s="2299" t="s">
        <v>2008</v>
      </c>
      <c r="AO5" s="2069" t="s">
        <v>2009</v>
      </c>
      <c r="AP5" s="1247" t="s">
        <v>2010</v>
      </c>
      <c r="AQ5" s="2300" t="s">
        <v>2011</v>
      </c>
      <c r="AR5" s="2300" t="s">
        <v>2012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0.82799999999999996</v>
      </c>
      <c r="H6" s="800">
        <v>0.05</v>
      </c>
      <c r="I6" s="800">
        <v>5.5E-2</v>
      </c>
      <c r="J6" s="73">
        <v>8.5000000000000006E-2</v>
      </c>
      <c r="K6" s="1249">
        <f>SUMIF('数据-汇总表'!C$19:C$33,A6,'数据-汇总表'!E$19:E$33)</f>
        <v>1778.3200000000002</v>
      </c>
      <c r="L6" s="801">
        <v>2600</v>
      </c>
      <c r="M6" s="74">
        <f t="shared" ref="M6:M14" si="0">ROUND(K6*L6/10000,0)</f>
        <v>462</v>
      </c>
      <c r="N6" s="799">
        <f>抵押物清单!I90</f>
        <v>0.8</v>
      </c>
      <c r="O6" s="74" t="str">
        <f>IF($N$5="成新度","——",ROUND(M6*N6,0))</f>
        <v>——</v>
      </c>
      <c r="P6" s="75" t="str">
        <f>IF($N$5="成新度","——",M6-O6)</f>
        <v>——</v>
      </c>
      <c r="Q6" s="802">
        <v>0.2</v>
      </c>
      <c r="R6" s="76">
        <f ca="1">SUMIF('数据-汇总表'!C$19:C$33,A6,'数据-汇总表'!R$19:R$27)</f>
        <v>924.47</v>
      </c>
      <c r="S6" s="54">
        <f>IF('数据-汇总表'!$I$17="按面积比例",SUMIF('数据-汇总表'!C$19:C$33,A6,'数据-汇总表'!K$19:K$33),SUMIF('数据-汇总表'!C$19:C$33,A6,'数据-汇总表'!N$19:N$33))</f>
        <v>0</v>
      </c>
      <c r="T6" s="1441">
        <f>ROUND($L$14*S6/10000,0)</f>
        <v>0</v>
      </c>
      <c r="U6" s="3017">
        <f>抵押物清单!F80</f>
        <v>5.04</v>
      </c>
      <c r="V6" s="78">
        <v>0.03</v>
      </c>
      <c r="W6" s="2994">
        <v>0.05</v>
      </c>
      <c r="X6" s="1259"/>
      <c r="Y6" s="79">
        <f>N6</f>
        <v>0.8</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0.02</v>
      </c>
      <c r="AN6" s="2304" t="s">
        <v>3177</v>
      </c>
      <c r="AO6" s="55">
        <f ca="1">SUMIF(INDIRECT("'"&amp;AN6&amp;"'"&amp;"!A:A"),"总价",INDIRECT("'"&amp;AN6&amp;"'"&amp;"!B:B"))</f>
        <v>4364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0.82799999999999996</v>
      </c>
      <c r="H7" s="800">
        <v>0.05</v>
      </c>
      <c r="I7" s="800">
        <v>5.5E-2</v>
      </c>
      <c r="J7" s="73">
        <v>8.5000000000000006E-2</v>
      </c>
      <c r="K7" s="1249">
        <f>SUMIF('数据-汇总表'!C$19:C$33,A7,'数据-汇总表'!E$19:E$33)</f>
        <v>5607.7300000000005</v>
      </c>
      <c r="L7" s="801">
        <v>2600</v>
      </c>
      <c r="M7" s="74">
        <f t="shared" si="0"/>
        <v>1458</v>
      </c>
      <c r="N7" s="799">
        <f>抵押物清单!I91</f>
        <v>0.81</v>
      </c>
      <c r="O7" s="74" t="str">
        <f t="shared" ref="O7:O14" si="3">IF($N$5="成新度","——",ROUND(M7*N7,0))</f>
        <v>——</v>
      </c>
      <c r="P7" s="75" t="str">
        <f t="shared" ref="P7:P14" si="4">IF($N$5="成新度","——",M7-O7)</f>
        <v>——</v>
      </c>
      <c r="Q7" s="802">
        <v>0.2</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0.81</v>
      </c>
      <c r="Z7" s="2999">
        <f>ROUND(抵押物清单!F81*(1+AA7)^AF7,2)</f>
        <v>5.99</v>
      </c>
      <c r="AA7" s="73">
        <v>3.5000000000000003E-2</v>
      </c>
      <c r="AB7" s="73">
        <v>0.05</v>
      </c>
      <c r="AC7" s="1259"/>
      <c r="AD7" s="3000">
        <f>抵押物清单!I96</f>
        <v>0.73</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0.02</v>
      </c>
      <c r="AN7" s="2304" t="s">
        <v>3178</v>
      </c>
      <c r="AO7" s="55">
        <f t="shared" ref="AO7:AO13" ca="1" si="8">SUMIF(INDIRECT("'"&amp;AN7&amp;"'"&amp;"!A:A"),"总价",INDIRECT("'"&amp;AN7&amp;"'"&amp;"!B:B"))</f>
        <v>14128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0.82799999999999996</v>
      </c>
      <c r="H8" s="800">
        <v>0.05</v>
      </c>
      <c r="I8" s="800">
        <v>5.5E-2</v>
      </c>
      <c r="J8" s="73">
        <v>8.5000000000000006E-2</v>
      </c>
      <c r="K8" s="1249">
        <f>SUMIF('数据-汇总表'!C$19:C$33,A8,'数据-汇总表'!E$19:E$33)</f>
        <v>14547.060000000001</v>
      </c>
      <c r="L8" s="801">
        <v>2600</v>
      </c>
      <c r="M8" s="74">
        <f>ROUND(K8*L8/10000,0)</f>
        <v>3782</v>
      </c>
      <c r="N8" s="799">
        <f>抵押物清单!I92</f>
        <v>0.82</v>
      </c>
      <c r="O8" s="74" t="str">
        <f t="shared" si="3"/>
        <v>——</v>
      </c>
      <c r="P8" s="75" t="str">
        <f t="shared" si="4"/>
        <v>——</v>
      </c>
      <c r="Q8" s="802">
        <v>0.2</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0.82</v>
      </c>
      <c r="Z8" s="2999">
        <f>ROUND(抵押物清单!F82*(1+AA8)^AF8,2)</f>
        <v>6.49</v>
      </c>
      <c r="AA8" s="73">
        <v>3.5000000000000003E-2</v>
      </c>
      <c r="AB8" s="73">
        <v>0.05</v>
      </c>
      <c r="AC8" s="1259"/>
      <c r="AD8" s="3000">
        <f>抵押物清单!I98</f>
        <v>0.66700000000000004</v>
      </c>
      <c r="AE8" s="1260">
        <f t="shared" ca="1" si="6"/>
        <v>25.42</v>
      </c>
      <c r="AF8" s="1802">
        <v>9.2100000000000009</v>
      </c>
      <c r="AG8" s="146">
        <f t="shared" ca="1" si="7"/>
        <v>16.21</v>
      </c>
      <c r="AH8" s="806"/>
      <c r="AI8" s="84">
        <v>365</v>
      </c>
      <c r="AJ8" s="85"/>
      <c r="AK8" s="86">
        <v>1.4999999999999999E-2</v>
      </c>
      <c r="AL8" s="87">
        <v>1.5E-3</v>
      </c>
      <c r="AM8" s="88">
        <v>0.02</v>
      </c>
      <c r="AN8" s="2304" t="s">
        <v>3179</v>
      </c>
      <c r="AO8" s="55">
        <f t="shared" ca="1" si="8"/>
        <v>27152</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2013</v>
      </c>
      <c r="B14" s="2302" t="s">
        <v>2014</v>
      </c>
      <c r="C14" s="2307" t="s">
        <v>2013</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2015</v>
      </c>
      <c r="B15" s="2302" t="s">
        <v>2014</v>
      </c>
      <c r="C15" s="2307" t="s">
        <v>2016</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2017</v>
      </c>
      <c r="B16" s="96"/>
      <c r="C16" s="1003"/>
      <c r="D16" s="2309"/>
      <c r="E16" s="96"/>
      <c r="F16" s="96"/>
      <c r="G16" s="97">
        <f>ROUND(SUMPRODUCT(G6:G13,K6:K13)/SUMPRODUCT((G6:G13&gt;0)*(K6:K13)),3)</f>
        <v>0.82799999999999996</v>
      </c>
      <c r="H16" s="98">
        <f>ROUND(SUMPRODUCT(H6:H13,K6:K13)/SUMPRODUCT((H6:H13&gt;0)*(K6:K13)),3)</f>
        <v>0.05</v>
      </c>
      <c r="I16" s="99"/>
      <c r="J16" s="99"/>
      <c r="K16" s="100">
        <f>SUM(K6:K15)</f>
        <v>21933.11</v>
      </c>
      <c r="L16" s="101">
        <f>ROUND(M16*10000/SUM(K6:K14),0)</f>
        <v>2600</v>
      </c>
      <c r="M16" s="101">
        <f>SUM(M6:M14)</f>
        <v>5702</v>
      </c>
      <c r="N16" s="102">
        <f>ROUND(SUMPRODUCT(M6:M14,N6:N14)/M16,3)</f>
        <v>0.81599999999999995</v>
      </c>
      <c r="O16" s="101">
        <f>SUM(O6:O14)</f>
        <v>0</v>
      </c>
      <c r="P16" s="101">
        <f>SUM(P6:P14)</f>
        <v>0</v>
      </c>
      <c r="Q16" s="103">
        <f>ROUND(SUMPRODUCT(Q6:Q13,K6:K13)/SUMPRODUCT((Q6:Q13&gt;0)*(K6:K13)),2)</f>
        <v>0.2</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2018</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3182</v>
      </c>
      <c r="AD18" s="1579"/>
      <c r="AE18" s="1579"/>
      <c r="AF18" s="1579"/>
      <c r="AG18" s="1579"/>
      <c r="AH18" s="1579"/>
      <c r="AI18" s="1579"/>
      <c r="AJ18" s="1579"/>
      <c r="AK18" s="1579"/>
      <c r="AL18" s="1579"/>
      <c r="AM18" s="1579"/>
    </row>
    <row r="19" spans="1:67" ht="14.25">
      <c r="A19" s="2311" t="s">
        <v>2019</v>
      </c>
      <c r="B19" s="111">
        <v>0</v>
      </c>
      <c r="C19" s="2272" t="s">
        <v>2020</v>
      </c>
      <c r="D19" s="2273"/>
      <c r="E19" s="2272"/>
      <c r="F19" s="2272"/>
      <c r="G19" s="2272"/>
      <c r="H19" s="2272"/>
      <c r="I19" s="2272"/>
      <c r="J19" s="2272"/>
      <c r="K19" s="167"/>
      <c r="L19" s="167"/>
      <c r="M19" s="2980"/>
      <c r="N19" s="2981"/>
      <c r="O19" s="1579"/>
      <c r="P19" s="1579"/>
      <c r="Q19" s="1579"/>
      <c r="R19" s="1579"/>
      <c r="S19" s="1579"/>
      <c r="T19" s="1579"/>
      <c r="U19" s="1579"/>
      <c r="V19" s="1579"/>
      <c r="W19" s="1579"/>
      <c r="X19" s="1579"/>
      <c r="Y19" s="1579"/>
      <c r="Z19" s="1579"/>
      <c r="AA19" s="1579"/>
      <c r="AB19" s="1579"/>
      <c r="AC19" s="2980" t="s">
        <v>3181</v>
      </c>
      <c r="AD19" s="2981">
        <f>ROUND((60-(2023-2008))/60,2)</f>
        <v>0.75</v>
      </c>
      <c r="AE19" s="1579"/>
      <c r="AF19" s="1579"/>
      <c r="AG19" s="1579"/>
      <c r="AH19" s="1579"/>
      <c r="AI19" s="1579"/>
      <c r="AJ19" s="1579"/>
      <c r="AK19" s="1579"/>
      <c r="AL19" s="1579"/>
      <c r="AM19" s="1579"/>
    </row>
    <row r="20" spans="1:67" ht="14.25">
      <c r="A20" s="2312" t="s">
        <v>2021</v>
      </c>
      <c r="B20" s="112">
        <v>2</v>
      </c>
      <c r="C20" s="2272" t="s">
        <v>2022</v>
      </c>
      <c r="D20" s="2273"/>
      <c r="E20" s="2272"/>
      <c r="F20" s="2272"/>
      <c r="G20" s="2272"/>
      <c r="H20" s="2272"/>
      <c r="I20" s="2272"/>
      <c r="J20" s="2272"/>
      <c r="K20" s="167"/>
      <c r="L20" s="167"/>
      <c r="M20" s="2980"/>
      <c r="N20" s="2981"/>
      <c r="O20" s="1579"/>
      <c r="P20" s="1579"/>
      <c r="Q20" s="1579"/>
      <c r="R20" s="1579"/>
      <c r="S20" s="1579"/>
      <c r="T20" s="1579"/>
      <c r="U20" s="1579"/>
      <c r="V20" s="1579"/>
      <c r="W20" s="1579"/>
      <c r="X20" s="1579"/>
      <c r="Y20" s="1579"/>
      <c r="Z20" s="1579"/>
      <c r="AA20" s="1579"/>
      <c r="AB20" s="1579"/>
      <c r="AC20" s="2980"/>
      <c r="AD20" s="2995"/>
      <c r="AE20" s="1579"/>
      <c r="AF20" s="1579"/>
      <c r="AG20" s="1579"/>
      <c r="AH20" s="1579"/>
      <c r="AI20" s="1579"/>
      <c r="AJ20" s="1579"/>
      <c r="AK20" s="1579"/>
      <c r="AL20" s="1579"/>
      <c r="AM20" s="1579"/>
    </row>
    <row r="21" spans="1:67" ht="14.25">
      <c r="A21" s="2313" t="s">
        <v>2023</v>
      </c>
      <c r="B21" s="112">
        <v>2</v>
      </c>
      <c r="C21" s="2272"/>
      <c r="D21" s="2273"/>
      <c r="E21" s="2272"/>
      <c r="F21" s="2272"/>
      <c r="G21" s="2272"/>
      <c r="H21" s="2272"/>
      <c r="I21" s="2272"/>
      <c r="J21" s="2272"/>
      <c r="K21" s="167"/>
      <c r="L21" s="167"/>
      <c r="M21" s="1579"/>
      <c r="N21" s="2981"/>
      <c r="O21" s="1579"/>
      <c r="P21" s="1579"/>
      <c r="Q21" s="1579"/>
      <c r="R21" s="1579"/>
      <c r="S21" s="1579"/>
      <c r="T21" s="1579"/>
      <c r="U21" s="1579"/>
      <c r="V21" s="1579"/>
      <c r="W21" s="1579"/>
      <c r="X21" s="1579"/>
      <c r="Y21" s="1579"/>
      <c r="Z21" s="1579"/>
      <c r="AA21" s="1579"/>
      <c r="AB21" s="1579"/>
      <c r="AC21" s="1579"/>
      <c r="AD21" s="2981"/>
      <c r="AE21" s="1579"/>
      <c r="AF21" s="1579"/>
      <c r="AG21" s="1579"/>
      <c r="AH21" s="1579"/>
      <c r="AI21" s="1579"/>
      <c r="AJ21" s="1579"/>
      <c r="AK21" s="1579"/>
      <c r="AL21" s="1579"/>
      <c r="AM21" s="1579"/>
    </row>
    <row r="22" spans="1:67" ht="14.25">
      <c r="A22" s="2312" t="s">
        <v>2024</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2025</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3183</v>
      </c>
      <c r="AD23" s="1579"/>
      <c r="AE23" s="1579"/>
      <c r="AF23" s="1579"/>
      <c r="AG23" s="1579"/>
      <c r="AH23" s="1579"/>
      <c r="AI23" s="1579"/>
      <c r="AJ23" s="1579"/>
      <c r="AK23" s="1579"/>
      <c r="AL23" s="1579"/>
      <c r="AM23" s="1579"/>
    </row>
    <row r="24" spans="1:67" ht="15" thickBot="1">
      <c r="A24" s="2314" t="s">
        <v>2026</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0" t="s">
        <v>3181</v>
      </c>
      <c r="AD24" s="2981">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0"/>
      <c r="AD25" s="2995"/>
      <c r="AE25" s="1579"/>
      <c r="AF25" s="1579"/>
      <c r="AG25" s="1579"/>
      <c r="AH25" s="1579"/>
      <c r="AI25" s="1579"/>
      <c r="AJ25" s="1579"/>
      <c r="AK25" s="1579"/>
      <c r="AL25" s="1579"/>
      <c r="AM25" s="1579"/>
    </row>
    <row r="26" spans="1:67" ht="15" thickBot="1">
      <c r="A26" s="2271" t="s">
        <v>2027</v>
      </c>
      <c r="B26" s="2315" t="s">
        <v>2028</v>
      </c>
      <c r="C26" s="2316" t="s">
        <v>2029</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1"/>
      <c r="AE26" s="1579"/>
      <c r="AF26" s="1579"/>
      <c r="AG26" s="1579"/>
      <c r="AH26" s="1579"/>
      <c r="AI26" s="1579"/>
      <c r="AJ26" s="1579"/>
      <c r="AK26" s="1579"/>
      <c r="AL26" s="1579"/>
      <c r="AM26" s="1579"/>
    </row>
    <row r="27" spans="1:67" s="2319" customFormat="1" ht="27.75">
      <c r="A27" s="2317" t="s">
        <v>2030</v>
      </c>
      <c r="B27" s="115"/>
      <c r="C27" s="1762" t="s">
        <v>2031</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2032</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2033</v>
      </c>
      <c r="B29" s="120"/>
      <c r="C29" s="1762" t="s">
        <v>2034</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2035</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2036</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2037</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2038</v>
      </c>
      <c r="B33" s="724">
        <v>0.03</v>
      </c>
      <c r="C33" s="1761" t="s">
        <v>2039</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2040</v>
      </c>
      <c r="B34" s="121">
        <v>0</v>
      </c>
      <c r="C34" s="1761" t="s">
        <v>2041</v>
      </c>
      <c r="D34" s="2273" t="s">
        <v>2042</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2043</v>
      </c>
      <c r="B35" s="118">
        <v>200</v>
      </c>
      <c r="C35" s="1761" t="s">
        <v>2044</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2045</v>
      </c>
      <c r="B36" s="122">
        <v>1.4999999999999999E-2</v>
      </c>
      <c r="C36" s="1761" t="s">
        <v>2046</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2047</v>
      </c>
      <c r="B37" s="123">
        <v>0.02</v>
      </c>
      <c r="C37" s="1761" t="s">
        <v>2048</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2049</v>
      </c>
      <c r="B38" s="121">
        <v>0.02</v>
      </c>
      <c r="C38" s="1761" t="s">
        <v>2048</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2050</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2051</v>
      </c>
      <c r="B40" s="1298">
        <f ca="1">存贷款利率!G1</f>
        <v>4.7500000000000001E-2</v>
      </c>
      <c r="C40" s="1761" t="s">
        <v>2052</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2053</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2054</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2055</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2056</v>
      </c>
      <c r="B44" s="127">
        <v>7.0000000000000007E-2</v>
      </c>
      <c r="C44" s="1761" t="s">
        <v>2057</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2058</v>
      </c>
      <c r="B45" s="125">
        <v>0.03</v>
      </c>
      <c r="C45" s="1762" t="s">
        <v>2059</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2060</v>
      </c>
      <c r="B46" s="125">
        <v>0.02</v>
      </c>
      <c r="C46" s="1762" t="s">
        <v>2061</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2062</v>
      </c>
      <c r="B47" s="128"/>
      <c r="C47" s="1762" t="s">
        <v>2063</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2064</v>
      </c>
      <c r="B48" s="129">
        <v>0.03</v>
      </c>
      <c r="C48" s="1769" t="s">
        <v>2065</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2066</v>
      </c>
      <c r="B49" s="125">
        <v>5.0000000000000001E-4</v>
      </c>
      <c r="C49" s="1769" t="s">
        <v>2067</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2068</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2069</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2070</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2071</v>
      </c>
      <c r="B53" s="2331" t="s">
        <v>523</v>
      </c>
      <c r="C53" s="1425" t="s">
        <v>2072</v>
      </c>
      <c r="D53" s="2332" t="s">
        <v>2073</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2074</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2075</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2076</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2077</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2078</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2079</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2080</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2081</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2082</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2083</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120" t="s">
        <v>2084</v>
      </c>
      <c r="B1" s="3121"/>
      <c r="C1" s="3121"/>
      <c r="D1" s="3121"/>
      <c r="E1" s="3121"/>
      <c r="F1" s="3121"/>
      <c r="G1" s="312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2085</v>
      </c>
      <c r="D2" s="2361"/>
      <c r="E2" s="2362"/>
      <c r="F2" s="2281"/>
      <c r="G2" s="2360" t="s">
        <v>2086</v>
      </c>
      <c r="H2" s="2363"/>
      <c r="I2" s="2363"/>
      <c r="J2" s="2363"/>
      <c r="K2" s="2363"/>
      <c r="L2" s="2363"/>
      <c r="M2" s="2363"/>
      <c r="N2" s="2363"/>
      <c r="O2" s="2363"/>
      <c r="P2" s="2363"/>
      <c r="Q2" s="2363"/>
      <c r="R2" s="2363"/>
    </row>
    <row r="3" spans="1:29" ht="42.75">
      <c r="A3" s="414" t="s">
        <v>2087</v>
      </c>
      <c r="B3" s="1266" t="s">
        <v>2088</v>
      </c>
      <c r="C3" s="2365"/>
      <c r="D3" s="2366"/>
      <c r="E3" s="430" t="s">
        <v>2087</v>
      </c>
      <c r="F3" s="2367" t="s">
        <v>2089</v>
      </c>
      <c r="G3" s="2368" t="s">
        <v>2090</v>
      </c>
      <c r="H3" s="2363"/>
      <c r="I3" s="2363"/>
      <c r="J3" s="2363"/>
      <c r="K3" s="2363"/>
      <c r="L3" s="2363"/>
      <c r="M3" s="2363"/>
      <c r="N3" s="2363"/>
      <c r="O3" s="2363"/>
      <c r="P3" s="2363"/>
      <c r="Q3" s="2363"/>
      <c r="R3" s="2363"/>
    </row>
    <row r="4" spans="1:29" ht="40.5">
      <c r="A4" s="430"/>
      <c r="B4" s="1793" t="s">
        <v>2091</v>
      </c>
      <c r="C4" s="2990" t="s">
        <v>3214</v>
      </c>
      <c r="D4" s="2366"/>
      <c r="E4" s="2370"/>
      <c r="F4" s="42" t="s">
        <v>2092</v>
      </c>
      <c r="G4" s="2371" t="s">
        <v>2093</v>
      </c>
      <c r="H4" s="2363"/>
      <c r="I4" s="2363"/>
      <c r="J4" s="2363"/>
      <c r="K4" s="2363"/>
      <c r="L4" s="2363"/>
      <c r="M4" s="2363"/>
      <c r="N4" s="2363"/>
      <c r="O4" s="2363"/>
      <c r="P4" s="2363"/>
      <c r="Q4" s="2363"/>
      <c r="R4" s="2363"/>
    </row>
    <row r="5" spans="1:29" ht="27">
      <c r="A5" s="430"/>
      <c r="B5" s="1793" t="s">
        <v>2094</v>
      </c>
      <c r="C5" s="2369"/>
      <c r="D5" s="2366"/>
      <c r="E5" s="2370"/>
      <c r="F5" s="1793" t="s">
        <v>2095</v>
      </c>
      <c r="G5" s="2371" t="s">
        <v>2096</v>
      </c>
      <c r="H5" s="2363"/>
      <c r="I5" s="2363"/>
      <c r="J5" s="2363"/>
      <c r="K5" s="2363"/>
      <c r="L5" s="2363"/>
      <c r="M5" s="2363"/>
      <c r="N5" s="2363"/>
      <c r="O5" s="2363"/>
      <c r="P5" s="2363"/>
      <c r="Q5" s="2363"/>
      <c r="R5" s="2363"/>
    </row>
    <row r="6" spans="1:29" ht="67.5">
      <c r="A6" s="430"/>
      <c r="B6" s="1793" t="s">
        <v>2097</v>
      </c>
      <c r="C6" s="2989" t="s">
        <v>3215</v>
      </c>
      <c r="D6" s="2366"/>
      <c r="E6" s="2370"/>
      <c r="F6" s="1793" t="s">
        <v>2098</v>
      </c>
      <c r="G6" s="2371" t="s">
        <v>2099</v>
      </c>
      <c r="H6" s="2363"/>
      <c r="I6" s="2363"/>
      <c r="J6" s="2363"/>
      <c r="K6" s="2363"/>
      <c r="L6" s="2363"/>
      <c r="M6" s="2363"/>
      <c r="N6" s="2363"/>
      <c r="O6" s="2363"/>
      <c r="P6" s="2363"/>
      <c r="Q6" s="2363"/>
      <c r="R6" s="2363"/>
    </row>
    <row r="7" spans="1:29" ht="135.75" thickBot="1">
      <c r="A7" s="430"/>
      <c r="B7" s="1793" t="s">
        <v>2095</v>
      </c>
      <c r="C7" s="2989" t="s">
        <v>3216</v>
      </c>
      <c r="D7" s="2372"/>
      <c r="E7" s="2373"/>
      <c r="F7" s="2374" t="s">
        <v>2100</v>
      </c>
      <c r="G7" s="2375" t="s">
        <v>2101</v>
      </c>
      <c r="H7" s="2363"/>
      <c r="I7" s="2363"/>
      <c r="J7" s="2363"/>
      <c r="K7" s="2363"/>
      <c r="L7" s="2363"/>
      <c r="M7" s="2363"/>
      <c r="N7" s="2363"/>
      <c r="O7" s="2363"/>
      <c r="P7" s="2363"/>
      <c r="Q7" s="2363"/>
      <c r="R7" s="2363"/>
    </row>
    <row r="8" spans="1:29" ht="27">
      <c r="A8" s="430"/>
      <c r="B8" s="1793" t="s">
        <v>2098</v>
      </c>
      <c r="C8" s="2989" t="s">
        <v>3213</v>
      </c>
      <c r="D8" s="2372"/>
      <c r="E8" s="2372"/>
      <c r="F8" s="1131"/>
      <c r="G8" s="1131"/>
      <c r="H8" s="2363"/>
      <c r="I8" s="2363"/>
      <c r="J8" s="2363"/>
      <c r="K8" s="2363"/>
      <c r="L8" s="2363"/>
      <c r="M8" s="2363"/>
      <c r="N8" s="2363"/>
      <c r="O8" s="2363"/>
      <c r="P8" s="2363"/>
      <c r="Q8" s="2363"/>
      <c r="R8" s="2363"/>
    </row>
    <row r="9" spans="1:29" ht="54">
      <c r="A9" s="430"/>
      <c r="B9" s="1793" t="s">
        <v>2102</v>
      </c>
      <c r="C9" s="2990" t="s">
        <v>3217</v>
      </c>
      <c r="D9" s="2366"/>
      <c r="E9" s="2372"/>
      <c r="F9" s="1131"/>
      <c r="G9" s="1131"/>
      <c r="H9" s="2363"/>
      <c r="I9" s="2363"/>
      <c r="J9" s="2363"/>
      <c r="K9" s="2363"/>
      <c r="L9" s="2363"/>
      <c r="M9" s="2363"/>
      <c r="N9" s="2363"/>
      <c r="O9" s="2363"/>
      <c r="P9" s="2363"/>
      <c r="Q9" s="2363"/>
      <c r="R9" s="2363"/>
    </row>
    <row r="10" spans="1:29" s="116" customFormat="1" ht="15.75" thickBot="1">
      <c r="A10" s="2376"/>
      <c r="B10" s="2377" t="s">
        <v>2103</v>
      </c>
      <c r="C10" s="2988" t="s">
        <v>3212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0" t="s">
        <v>2106</v>
      </c>
    </row>
    <row r="15" spans="1:29" ht="42.75">
      <c r="A15" s="67" t="s">
        <v>2107</v>
      </c>
      <c r="B15" s="1265" t="s">
        <v>2088</v>
      </c>
      <c r="C15" s="2397">
        <f>C3</f>
        <v>0</v>
      </c>
      <c r="D15" s="2366"/>
      <c r="E15" s="2398" t="s">
        <v>2108</v>
      </c>
      <c r="F15" s="1265" t="s">
        <v>2109</v>
      </c>
      <c r="G15" s="134" t="str">
        <f>G3</f>
        <v>估价对象位于XX开发区，园区建设成熟度XX，产业集聚程度XX</v>
      </c>
    </row>
    <row r="16" spans="1:29" ht="42.75">
      <c r="A16" s="644"/>
      <c r="B16" s="2399" t="s">
        <v>2091</v>
      </c>
      <c r="C16" s="2400" t="str">
        <f>C4</f>
        <v>估价对象位于丰台区，周边商业氛围较成熟，人流量较大，商业繁华度较好。</v>
      </c>
      <c r="D16" s="2366"/>
      <c r="E16" s="2401"/>
      <c r="F16" s="2402" t="s">
        <v>2092</v>
      </c>
      <c r="G16" s="135" t="str">
        <f>G4</f>
        <v>估价对象周边道路状况、公共交通通达情况、停车便捷程度，综合评价交通便捷度较好</v>
      </c>
    </row>
    <row r="17" spans="1:18" ht="15">
      <c r="A17" s="644"/>
      <c r="B17" s="2399" t="s">
        <v>2094</v>
      </c>
      <c r="C17" s="2400">
        <f>C5</f>
        <v>0</v>
      </c>
      <c r="D17" s="2372"/>
      <c r="E17" s="2401"/>
      <c r="F17" s="2402" t="s">
        <v>2110</v>
      </c>
      <c r="G17" s="1567"/>
    </row>
    <row r="18" spans="1:18" ht="71.25">
      <c r="A18" s="644"/>
      <c r="B18" s="2402" t="s">
        <v>2097</v>
      </c>
      <c r="C18" s="135" t="str">
        <f>C6</f>
        <v>估价对象周边路网较为密集，公共交通通达情况较好，有691、67路及地铁10号线等，停车便捷程度较好，综合评价交通便捷度较好。</v>
      </c>
      <c r="D18" s="2372"/>
      <c r="E18" s="2401"/>
      <c r="F18" s="2402" t="s">
        <v>2100</v>
      </c>
      <c r="G18" s="135" t="str">
        <f>G7</f>
        <v>该园区内是否有污染型企业，绿化情况，卫生条件，整体环境状况判断</v>
      </c>
    </row>
    <row r="19" spans="1:18" ht="28.5">
      <c r="A19" s="644"/>
      <c r="B19" s="2402" t="s">
        <v>2111</v>
      </c>
      <c r="C19" s="1567"/>
      <c r="D19" s="2366"/>
      <c r="E19" s="2401"/>
      <c r="F19" s="1793" t="s">
        <v>2095</v>
      </c>
      <c r="G19" s="135" t="str">
        <f>G5</f>
        <v>估价对象所在区域公共配套设施齐备情况</v>
      </c>
    </row>
    <row r="20" spans="1:18" ht="57">
      <c r="A20" s="644"/>
      <c r="B20" s="2402" t="s">
        <v>2112</v>
      </c>
      <c r="C20" s="2400" t="str">
        <f>C9</f>
        <v>区域自然环境：东管头城市休闲公园；人文环境：首都经济贸易大学；综合评价环境状况一般。</v>
      </c>
      <c r="D20" s="2372"/>
      <c r="E20" s="2401"/>
      <c r="F20" s="1793" t="s">
        <v>2113</v>
      </c>
      <c r="G20" s="135" t="str">
        <f>G6</f>
        <v>估价对象所在区域基础设施水平</v>
      </c>
    </row>
    <row r="21" spans="1:18" ht="142.5">
      <c r="A21" s="644"/>
      <c r="B21" s="1793" t="s">
        <v>2095</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2114</v>
      </c>
      <c r="G21" s="2403"/>
    </row>
    <row r="22" spans="1:18" ht="13.5" customHeight="1">
      <c r="A22" s="644"/>
      <c r="B22" s="1793" t="s">
        <v>2098</v>
      </c>
      <c r="C22" s="135" t="str">
        <f>C8</f>
        <v>估价对象所在区域基础设施水平达到“七通”。</v>
      </c>
      <c r="D22" s="2366"/>
      <c r="E22" s="2401"/>
      <c r="F22" s="2402" t="s">
        <v>2103</v>
      </c>
      <c r="G22" s="1567"/>
    </row>
    <row r="23" spans="1:18" s="2363"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3" customFormat="1" ht="15.75" thickBot="1">
      <c r="A24" s="2407"/>
      <c r="B24" s="2405" t="s">
        <v>2116</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77528</v>
      </c>
      <c r="C5" s="1741">
        <f ca="1">ROUND(B5*10000/$B$1,0)</f>
        <v>30088</v>
      </c>
      <c r="D5" s="1741">
        <f ca="1">ROUND(B5*10000/$B$2,0)</f>
        <v>57877</v>
      </c>
      <c r="E5" s="1740"/>
      <c r="F5" s="1738"/>
      <c r="G5" s="1738"/>
    </row>
    <row r="6" spans="1:10" ht="16.5">
      <c r="A6" s="1741" t="s">
        <v>1356</v>
      </c>
      <c r="B6" s="1741">
        <f ca="1">SUM(G14:G23)</f>
        <v>77528</v>
      </c>
      <c r="C6" s="1741">
        <f ca="1">ROUND(B6*10000/$B$1,0)</f>
        <v>30088</v>
      </c>
      <c r="D6" s="1741">
        <f ca="1">ROUND(B6*10000/$B$2,0)</f>
        <v>57877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63832</v>
      </c>
      <c r="E14" s="1739">
        <f ca="1">ROUND(D14*10000/B14,0)</f>
        <v>29103</v>
      </c>
      <c r="F14" s="1739">
        <f ca="1">ROUND(D14*10000/C14,0)</f>
        <v>55983</v>
      </c>
      <c r="G14" s="1739">
        <f ca="1">结果表!D122</f>
        <v>63832</v>
      </c>
      <c r="H14" s="1739" t="str">
        <f>结果表!D124</f>
        <v>——</v>
      </c>
      <c r="I14" s="1739" t="str">
        <f>结果表!D126</f>
        <v>——</v>
      </c>
      <c r="J14" s="1738"/>
    </row>
    <row r="15" spans="1:10" ht="16.5">
      <c r="A15" s="1737" t="s">
        <v>1349</v>
      </c>
      <c r="B15" s="1744">
        <f>[1]系统读取表!$B$14</f>
        <v>1301.79</v>
      </c>
      <c r="C15" s="1744">
        <f>[1]系统读取表!$C$14</f>
        <v>676.74</v>
      </c>
      <c r="D15" s="1744">
        <f>[1]系统读取表!$D$14</f>
        <v>4186</v>
      </c>
      <c r="E15" s="1739">
        <f t="shared" ref="E15:E23" si="0">ROUND(D15*10000/B15,0)</f>
        <v>32156</v>
      </c>
      <c r="F15" s="1739">
        <f t="shared" ref="F15:F23" si="1">ROUND(D15*10000/C15,0)</f>
        <v>61855</v>
      </c>
      <c r="G15" s="1745">
        <f>[1]系统读取表!$G$14</f>
        <v>4186</v>
      </c>
      <c r="H15" s="1745"/>
      <c r="I15" s="1744"/>
      <c r="J15" s="1738"/>
    </row>
    <row r="16" spans="1:10" ht="16.5">
      <c r="A16" s="1737" t="s">
        <v>1348</v>
      </c>
      <c r="B16" s="1744">
        <f>[2]系统读取表!$B$14</f>
        <v>2532.4700000000003</v>
      </c>
      <c r="C16" s="1744">
        <f>[2]系统读取表!$C$14</f>
        <v>1316.52</v>
      </c>
      <c r="D16" s="1744">
        <f>[2]系统读取表!$D$14</f>
        <v>9510</v>
      </c>
      <c r="E16" s="1739">
        <f t="shared" si="0"/>
        <v>37552</v>
      </c>
      <c r="F16" s="1739">
        <f t="shared" si="1"/>
        <v>72236</v>
      </c>
      <c r="G16" s="1745">
        <f>[2]系统读取表!$G$14</f>
        <v>9510</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2117</v>
      </c>
      <c r="B1" s="2413"/>
      <c r="C1" s="2414"/>
      <c r="D1" s="2413"/>
      <c r="E1" s="2413"/>
      <c r="F1" s="2415" t="s">
        <v>2118</v>
      </c>
      <c r="G1" s="2066" t="s">
        <v>3166</v>
      </c>
      <c r="H1" s="2416" t="str">
        <f>IF(G1="现房","——","估价对象范围")</f>
        <v>——</v>
      </c>
      <c r="I1" s="2417"/>
    </row>
    <row r="2" spans="1:12" ht="21.75" customHeight="1" thickBot="1">
      <c r="A2" s="3194" t="str">
        <f>项目基本情况!S2</f>
        <v>北京市丰台区首经贸中街1号房地产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20" t="s">
        <v>2120</v>
      </c>
      <c r="B4" s="2421" t="s">
        <v>2121</v>
      </c>
      <c r="C4" s="2422" t="s">
        <v>3208</v>
      </c>
      <c r="D4" s="2422" t="s">
        <v>3209</v>
      </c>
      <c r="E4" s="3178" t="s">
        <v>2122</v>
      </c>
      <c r="F4" s="3191"/>
      <c r="G4" s="3191"/>
      <c r="H4" s="3191"/>
      <c r="I4" s="3179"/>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69" t="s">
        <v>2123</v>
      </c>
      <c r="B5" s="3095">
        <v>25</v>
      </c>
      <c r="C5" s="3199"/>
      <c r="D5" s="3187"/>
      <c r="E5" s="139" t="s">
        <v>2124</v>
      </c>
      <c r="F5" s="2424"/>
      <c r="G5" s="2424"/>
      <c r="H5" s="2424"/>
      <c r="I5" s="1829"/>
    </row>
    <row r="6" spans="1:12" ht="12.75">
      <c r="A6" s="3169"/>
      <c r="B6" s="3095"/>
      <c r="C6" s="3201"/>
      <c r="D6" s="3187"/>
      <c r="E6" s="139" t="s">
        <v>2125</v>
      </c>
      <c r="F6" s="2424"/>
      <c r="G6" s="2424"/>
      <c r="H6" s="2424"/>
      <c r="I6" s="1829"/>
    </row>
    <row r="7" spans="1:12" ht="12.75">
      <c r="A7" s="3169"/>
      <c r="B7" s="3095"/>
      <c r="C7" s="3200"/>
      <c r="D7" s="3187"/>
      <c r="E7" s="139" t="s">
        <v>2126</v>
      </c>
      <c r="F7" s="2424"/>
      <c r="G7" s="2424"/>
      <c r="H7" s="2424"/>
      <c r="I7" s="1829"/>
    </row>
    <row r="8" spans="1:12" ht="12.75">
      <c r="A8" s="3169" t="s">
        <v>2127</v>
      </c>
      <c r="B8" s="3095">
        <v>15</v>
      </c>
      <c r="C8" s="3199"/>
      <c r="D8" s="3187"/>
      <c r="E8" s="139" t="s">
        <v>2128</v>
      </c>
      <c r="F8" s="2424"/>
      <c r="G8" s="2424"/>
      <c r="H8" s="2424"/>
      <c r="I8" s="1829"/>
    </row>
    <row r="9" spans="1:12" ht="12.75">
      <c r="A9" s="3169"/>
      <c r="B9" s="3095"/>
      <c r="C9" s="3200"/>
      <c r="D9" s="3187"/>
      <c r="E9" s="139" t="s">
        <v>2129</v>
      </c>
      <c r="F9" s="2424"/>
      <c r="G9" s="2424"/>
      <c r="H9" s="2424"/>
      <c r="I9" s="1829"/>
    </row>
    <row r="10" spans="1:12" ht="12.75">
      <c r="A10" s="3169" t="s">
        <v>2130</v>
      </c>
      <c r="B10" s="3095">
        <v>15</v>
      </c>
      <c r="C10" s="3199"/>
      <c r="D10" s="3187"/>
      <c r="E10" s="139" t="s">
        <v>2131</v>
      </c>
      <c r="F10" s="2424"/>
      <c r="G10" s="2424"/>
      <c r="H10" s="2424"/>
      <c r="I10" s="1829"/>
    </row>
    <row r="11" spans="1:12" ht="12.75">
      <c r="A11" s="3169"/>
      <c r="B11" s="3095"/>
      <c r="C11" s="3200"/>
      <c r="D11" s="3187"/>
      <c r="E11" s="139" t="s">
        <v>2132</v>
      </c>
      <c r="F11" s="2424"/>
      <c r="G11" s="2424"/>
      <c r="H11" s="2424"/>
      <c r="I11" s="1829"/>
    </row>
    <row r="12" spans="1:12" ht="12.75">
      <c r="A12" s="3169" t="s">
        <v>2133</v>
      </c>
      <c r="B12" s="3095">
        <v>15</v>
      </c>
      <c r="C12" s="3199"/>
      <c r="D12" s="3187"/>
      <c r="E12" s="139" t="s">
        <v>2134</v>
      </c>
      <c r="F12" s="2424"/>
      <c r="G12" s="2424"/>
      <c r="H12" s="2424"/>
      <c r="I12" s="1829"/>
    </row>
    <row r="13" spans="1:12" ht="12.75">
      <c r="A13" s="3169"/>
      <c r="B13" s="3095"/>
      <c r="C13" s="3200"/>
      <c r="D13" s="3187"/>
      <c r="E13" s="139" t="s">
        <v>2135</v>
      </c>
      <c r="F13" s="2424"/>
      <c r="G13" s="2424"/>
      <c r="H13" s="2424"/>
      <c r="I13" s="1829"/>
    </row>
    <row r="14" spans="1:12" ht="12.75">
      <c r="A14" s="3169" t="s">
        <v>2136</v>
      </c>
      <c r="B14" s="3095">
        <v>30</v>
      </c>
      <c r="C14" s="3199">
        <v>4</v>
      </c>
      <c r="D14" s="3187">
        <v>6</v>
      </c>
      <c r="E14" s="139" t="s">
        <v>2137</v>
      </c>
      <c r="F14" s="2424"/>
      <c r="G14" s="2424"/>
      <c r="H14" s="2424"/>
      <c r="I14" s="1829"/>
    </row>
    <row r="15" spans="1:12" ht="12.75">
      <c r="A15" s="3169"/>
      <c r="B15" s="3095"/>
      <c r="C15" s="3201"/>
      <c r="D15" s="3187"/>
      <c r="E15" s="139" t="s">
        <v>2138</v>
      </c>
      <c r="F15" s="2424"/>
      <c r="G15" s="2424"/>
      <c r="H15" s="2424"/>
      <c r="I15" s="1829"/>
    </row>
    <row r="16" spans="1:12" ht="12.75">
      <c r="A16" s="3169"/>
      <c r="B16" s="3095"/>
      <c r="C16" s="3200"/>
      <c r="D16" s="3187"/>
      <c r="E16" s="139" t="s">
        <v>2139</v>
      </c>
      <c r="F16" s="2424"/>
      <c r="G16" s="2424"/>
      <c r="H16" s="2424"/>
      <c r="I16" s="1829"/>
    </row>
    <row r="17" spans="1:35" ht="15">
      <c r="A17" s="2425" t="s">
        <v>2140</v>
      </c>
      <c r="B17" s="63"/>
      <c r="C17" s="140">
        <f>SUM(C5:C16)</f>
        <v>4</v>
      </c>
      <c r="D17" s="140">
        <f>SUM(D5:D16)</f>
        <v>6</v>
      </c>
      <c r="E17" s="137"/>
      <c r="F17" s="137"/>
      <c r="G17" s="137"/>
      <c r="H17" s="137"/>
      <c r="I17" s="137"/>
      <c r="K17" s="2423"/>
      <c r="L17" s="2426" t="s">
        <v>2141</v>
      </c>
      <c r="M17" s="2426" t="s">
        <v>2142</v>
      </c>
    </row>
    <row r="18" spans="1:35" ht="15.75" thickBot="1">
      <c r="A18" s="2427" t="s">
        <v>2143</v>
      </c>
      <c r="B18" s="2428"/>
      <c r="C18" s="141">
        <f>ROUND(C17/SUM(C17:D17),2)</f>
        <v>0.4</v>
      </c>
      <c r="D18" s="141">
        <f>1-C18</f>
        <v>0.6</v>
      </c>
      <c r="E18" s="137"/>
      <c r="F18" s="137"/>
      <c r="G18" s="137"/>
      <c r="H18" s="137"/>
      <c r="I18" s="137"/>
      <c r="K18" s="2423" t="s">
        <v>2144</v>
      </c>
      <c r="L18" s="2423">
        <f>IF(C1="",'数据-汇总表'!E3,SUMIF(项目类型,C1,'数据-汇总表'!E17:E26)+SUMIF(项目类型,C1,'数据-汇总表'!I17:I26))</f>
        <v>21933.11</v>
      </c>
      <c r="M18" s="2423">
        <f>IF(C1="",'数据-汇总表'!E3,SUMIF(项目类型,C1,'数据-汇总表'!E17:E26))</f>
        <v>21933.11</v>
      </c>
    </row>
    <row r="19" spans="1:35" ht="15">
      <c r="A19" s="2429" t="s">
        <v>2145</v>
      </c>
      <c r="B19" s="2430" t="s">
        <v>2146</v>
      </c>
      <c r="C19" s="142">
        <f ca="1">SUMIF(INDIRECT("'"&amp;C4&amp;"'"&amp;"!A:A"),结果表!B19,INDIRECT("'"&amp;C4&amp;"'"&amp;"!B:B"))</f>
        <v>91115</v>
      </c>
      <c r="D19" s="143">
        <f ca="1">SUMIF(INDIRECT("'"&amp;D4&amp;"'"&amp;"!A:A"),结果表!B19,INDIRECT("'"&amp;D4&amp;"'"&amp;"!B:B"))</f>
        <v>45644</v>
      </c>
      <c r="E19" s="2429" t="s">
        <v>2147</v>
      </c>
      <c r="F19" s="2430" t="s">
        <v>2146</v>
      </c>
      <c r="G19" s="144">
        <f ca="1">ROUND(C19*$C$18+D19*$D$18,0)</f>
        <v>63832</v>
      </c>
      <c r="H19" s="2431" t="s">
        <v>2148</v>
      </c>
      <c r="I19" s="137"/>
      <c r="J19" s="793">
        <f ca="1">G19+[2]结果表!$G$19+[1]结果表!$G$19</f>
        <v>77528</v>
      </c>
      <c r="K19" s="2423" t="s">
        <v>2149</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2150</v>
      </c>
      <c r="C20" s="145">
        <f ca="1">SUMIF(INDIRECT("'"&amp;C4&amp;"'"&amp;"!A:A"),结果表!B20,INDIRECT("'"&amp;C4&amp;"'"&amp;"!B:B"))</f>
        <v>41542</v>
      </c>
      <c r="D20" s="146">
        <f ca="1">SUMIF(INDIRECT("'"&amp;D4&amp;"'"&amp;"!A:A"),结果表!B20,INDIRECT("'"&amp;D4&amp;"'"&amp;"!B:B"))</f>
        <v>20811</v>
      </c>
      <c r="E20" s="2432"/>
      <c r="F20" s="1245" t="s">
        <v>2150</v>
      </c>
      <c r="G20" s="147">
        <f ca="1">ROUND(C20*$C$18+D20*$D$18,0)</f>
        <v>29103</v>
      </c>
      <c r="H20" s="978" t="s">
        <v>2151</v>
      </c>
      <c r="I20" s="137"/>
      <c r="J20" s="793">
        <f ca="1">ROUND(J19*10000/25767.37,0)</f>
        <v>30088</v>
      </c>
    </row>
    <row r="21" spans="1:35" ht="15" customHeight="1" thickBot="1">
      <c r="A21" s="998"/>
      <c r="B21" s="2433" t="s">
        <v>2152</v>
      </c>
      <c r="C21" s="787">
        <f ca="1">ROUND(C19*10000/L19,0)</f>
        <v>79911</v>
      </c>
      <c r="D21" s="788">
        <f ca="1">ROUND(D19*10000/L19,0)</f>
        <v>40032</v>
      </c>
      <c r="E21" s="998"/>
      <c r="F21" s="2433" t="s">
        <v>2152</v>
      </c>
      <c r="G21" s="148">
        <f ca="1">ROUND(G19*10000/L19,0)</f>
        <v>55983</v>
      </c>
      <c r="H21" s="2434" t="s">
        <v>2151</v>
      </c>
      <c r="I21" s="137"/>
    </row>
    <row r="22" spans="1:35" ht="15" thickBot="1">
      <c r="A22" s="2276" t="s">
        <v>2153</v>
      </c>
      <c r="B22" s="2435"/>
      <c r="C22" s="2436"/>
      <c r="D22" s="789">
        <f ca="1">IF(C19&lt;D19,D19/C19-1,C19/D19-1)</f>
        <v>0.99620979756375427</v>
      </c>
      <c r="E22" s="137"/>
      <c r="F22" s="137"/>
      <c r="G22" s="137"/>
      <c r="H22" s="137"/>
      <c r="I22" s="137"/>
    </row>
    <row r="23" spans="1:35" ht="13.5" thickBot="1">
      <c r="A23" s="2413"/>
      <c r="B23" s="2413"/>
      <c r="C23" s="2413"/>
      <c r="D23" s="2413"/>
      <c r="E23" s="137"/>
      <c r="F23" s="137"/>
      <c r="G23" s="137"/>
      <c r="H23" s="137"/>
      <c r="I23" s="137"/>
    </row>
    <row r="24" spans="1:35" ht="14.25">
      <c r="A24" s="3208" t="s">
        <v>2154</v>
      </c>
      <c r="B24" s="2430" t="s">
        <v>2146</v>
      </c>
      <c r="C24" s="144">
        <f>IF(B30=0,0,D30)</f>
        <v>0</v>
      </c>
      <c r="D24" s="2437"/>
      <c r="E24" s="137"/>
      <c r="F24" s="137"/>
      <c r="G24" s="137"/>
      <c r="H24" s="137"/>
      <c r="I24" s="137"/>
    </row>
    <row r="25" spans="1:35" ht="14.25">
      <c r="A25" s="3209"/>
      <c r="B25" s="1245"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20" t="s">
        <v>3033</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2">
        <f ca="1">IF(D32="总价",G19-C24,G20-C25)</f>
        <v>63832</v>
      </c>
      <c r="D32" s="2444" t="s">
        <v>2161</v>
      </c>
      <c r="E32" s="137"/>
      <c r="F32" s="137"/>
      <c r="G32" s="137"/>
      <c r="H32" s="137"/>
      <c r="I32" s="137"/>
    </row>
    <row r="33" spans="1:15" ht="15">
      <c r="A33" s="955" t="s">
        <v>2162</v>
      </c>
      <c r="B33" s="2445"/>
      <c r="C33" s="2446"/>
      <c r="D33" s="2447"/>
      <c r="E33" s="2448" t="s">
        <v>2163</v>
      </c>
      <c r="F33" s="2449" t="str">
        <f>IF(D32="楼面单价","取值（单价）","取值（总价）")</f>
        <v>取值（总价）</v>
      </c>
      <c r="G33" s="137"/>
      <c r="H33" s="137"/>
      <c r="I33" s="137"/>
    </row>
    <row r="34" spans="1:15" ht="15">
      <c r="A34" s="2450"/>
      <c r="B34" s="2451"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2165</v>
      </c>
      <c r="F34" s="1734"/>
      <c r="G34" s="137"/>
      <c r="H34" s="137"/>
      <c r="I34" s="137"/>
    </row>
    <row r="35" spans="1:15" ht="15.75" thickBot="1">
      <c r="A35" s="2453"/>
      <c r="B35" s="2454"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2167</v>
      </c>
      <c r="F35" s="162"/>
      <c r="G35" s="137"/>
      <c r="H35" s="137"/>
      <c r="I35" s="137"/>
    </row>
    <row r="36" spans="1:15" ht="15.75" thickBot="1">
      <c r="A36" s="3188" t="s">
        <v>2168</v>
      </c>
      <c r="B36" s="2456" t="s">
        <v>2169</v>
      </c>
      <c r="C36" s="153"/>
      <c r="D36" s="2457"/>
      <c r="E36" s="2458"/>
      <c r="F36" s="2459"/>
      <c r="G36" s="137"/>
      <c r="H36" s="137"/>
      <c r="I36" s="137"/>
    </row>
    <row r="37" spans="1:15" ht="15.75" thickBot="1">
      <c r="A37" s="3189"/>
      <c r="B37" s="2262" t="s">
        <v>2170</v>
      </c>
      <c r="C37" s="155"/>
      <c r="D37" s="1390"/>
      <c r="E37" s="1390"/>
      <c r="F37" s="2459"/>
      <c r="G37" s="137"/>
      <c r="H37" s="137"/>
      <c r="I37" s="137"/>
    </row>
    <row r="38" spans="1:15" ht="15.75" thickBot="1">
      <c r="A38" s="3190"/>
      <c r="B38" s="2460" t="s">
        <v>2171</v>
      </c>
      <c r="C38" s="725"/>
      <c r="D38" s="2461" t="s">
        <v>2172</v>
      </c>
      <c r="E38" s="1390"/>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205" t="s">
        <v>2182</v>
      </c>
      <c r="B45" s="3206"/>
      <c r="C45" s="3207"/>
      <c r="D45" s="163">
        <f ca="1">ROUND(H101*F45,0)</f>
        <v>63832</v>
      </c>
      <c r="E45" s="164" t="s">
        <v>2183</v>
      </c>
      <c r="F45" s="165">
        <v>1</v>
      </c>
      <c r="G45" s="166" t="s">
        <v>2184</v>
      </c>
      <c r="H45" s="137"/>
      <c r="I45" s="137"/>
      <c r="J45" s="3124" t="s">
        <v>2185</v>
      </c>
      <c r="K45" s="3124"/>
      <c r="L45" s="3124"/>
      <c r="M45" s="3124"/>
      <c r="N45" s="3124"/>
      <c r="O45" s="3124"/>
    </row>
    <row r="46" spans="1:15" ht="14.25" customHeight="1">
      <c r="A46" s="3202" t="s">
        <v>2186</v>
      </c>
      <c r="B46" s="3203"/>
      <c r="C46" s="3203"/>
      <c r="D46" s="3203"/>
      <c r="E46" s="3203"/>
      <c r="F46" s="3203"/>
      <c r="G46" s="3204"/>
      <c r="H46" s="2475"/>
      <c r="I46" s="167"/>
      <c r="J46" s="1807">
        <v>1</v>
      </c>
      <c r="K46" s="3124" t="s">
        <v>2187</v>
      </c>
      <c r="L46" s="3124"/>
      <c r="M46" s="3125"/>
      <c r="N46" s="3125"/>
      <c r="O46" s="3125"/>
    </row>
    <row r="47" spans="1:15" ht="12" customHeight="1">
      <c r="A47" s="168" t="s">
        <v>2188</v>
      </c>
      <c r="B47" s="169"/>
      <c r="C47" s="170"/>
      <c r="D47" s="171" t="s">
        <v>2189</v>
      </c>
      <c r="E47" s="24" t="s">
        <v>2190</v>
      </c>
      <c r="F47" s="172" t="s">
        <v>2191</v>
      </c>
      <c r="G47" s="173" t="s">
        <v>2192</v>
      </c>
      <c r="H47" s="2475"/>
      <c r="I47" s="167"/>
      <c r="J47" s="1807">
        <v>2</v>
      </c>
      <c r="K47" s="3124" t="s">
        <v>2193</v>
      </c>
      <c r="L47" s="3124"/>
      <c r="M47" s="3126">
        <f>'数据-取费表'!B2</f>
        <v>43335</v>
      </c>
      <c r="N47" s="3126"/>
      <c r="O47" s="3126"/>
    </row>
    <row r="48" spans="1:15" ht="25.5">
      <c r="A48" s="3192" t="s">
        <v>2194</v>
      </c>
      <c r="B48" s="3193"/>
      <c r="C48" s="3193"/>
      <c r="D48" s="139">
        <f>IF(H48="情况1",0,IF(H48="情况2",D52,IF(H48="情况3",D53,IF(H48="情况4",D54))))</f>
        <v>0</v>
      </c>
      <c r="E48" s="1796" t="str">
        <f>IF(H48="情况4","(销售额-原购置价)×税（费）率","销售额×税（费）率")</f>
        <v>销售额×税（费）率</v>
      </c>
      <c r="F48" s="174" t="str">
        <f>IF(H48="情况1","免征",'数据-取费表'!B41)</f>
        <v>免征</v>
      </c>
      <c r="G48" s="2476" t="s">
        <v>2195</v>
      </c>
      <c r="H48" s="2477" t="s">
        <v>2196</v>
      </c>
      <c r="I48" s="2475"/>
      <c r="J48" s="1807">
        <v>3</v>
      </c>
      <c r="K48" s="3124" t="s">
        <v>2197</v>
      </c>
      <c r="L48" s="3124"/>
      <c r="M48" s="3127">
        <f ca="1">H101</f>
        <v>63832</v>
      </c>
      <c r="N48" s="3127"/>
      <c r="O48" s="3127"/>
    </row>
    <row r="49" spans="1:35" ht="25.5" customHeight="1">
      <c r="A49" s="175" t="s">
        <v>2198</v>
      </c>
      <c r="B49" s="3172" t="s">
        <v>2199</v>
      </c>
      <c r="C49" s="3172"/>
      <c r="D49" s="176">
        <v>0</v>
      </c>
      <c r="E49" s="23" t="s">
        <v>2200</v>
      </c>
      <c r="F49" s="28" t="s">
        <v>34</v>
      </c>
      <c r="G49" s="3153"/>
      <c r="H49" s="137"/>
      <c r="I49" s="2478"/>
      <c r="J49" s="1807">
        <v>4</v>
      </c>
      <c r="K49" s="3124" t="str">
        <f>IF(项目基本情况!E8="房地产抵押价值","房地产抵押价值","抵押担保权已注销时的房地产抵押价值")</f>
        <v>房地产抵押价值</v>
      </c>
      <c r="L49" s="3124"/>
      <c r="M49" s="3127">
        <f ca="1">IF(项目基本情况!E8="房地产抵押价值",H107,H109)</f>
        <v>63832</v>
      </c>
      <c r="N49" s="3127"/>
      <c r="O49" s="3127"/>
    </row>
    <row r="50" spans="1:35" ht="25.5" customHeight="1">
      <c r="A50" s="177"/>
      <c r="B50" s="3172" t="s">
        <v>2201</v>
      </c>
      <c r="C50" s="3172"/>
      <c r="D50" s="178"/>
      <c r="E50" s="31"/>
      <c r="F50" s="179"/>
      <c r="G50" s="3154"/>
      <c r="H50" s="137"/>
      <c r="I50" s="2478"/>
      <c r="J50" s="3124" t="s">
        <v>2202</v>
      </c>
      <c r="K50" s="3124"/>
      <c r="L50" s="3124"/>
      <c r="M50" s="3124"/>
      <c r="N50" s="3124"/>
      <c r="O50" s="3124"/>
    </row>
    <row r="51" spans="1:35" ht="12" customHeight="1">
      <c r="A51" s="180"/>
      <c r="B51" s="3172" t="s">
        <v>2203</v>
      </c>
      <c r="C51" s="3172"/>
      <c r="D51" s="181"/>
      <c r="E51" s="30"/>
      <c r="F51" s="179"/>
      <c r="G51" s="3155"/>
      <c r="H51" s="137"/>
      <c r="I51" s="2478"/>
      <c r="J51" s="2479" t="s">
        <v>2204</v>
      </c>
      <c r="K51" s="3124" t="s">
        <v>2205</v>
      </c>
      <c r="L51" s="3124"/>
      <c r="M51" s="2479" t="s">
        <v>2206</v>
      </c>
      <c r="N51" s="2479" t="s">
        <v>2207</v>
      </c>
      <c r="O51" s="2479" t="s">
        <v>2208</v>
      </c>
    </row>
    <row r="52" spans="1:35" ht="24" customHeight="1">
      <c r="A52" s="182" t="s">
        <v>2209</v>
      </c>
      <c r="B52" s="3172" t="s">
        <v>2210</v>
      </c>
      <c r="C52" s="3172"/>
      <c r="D52" s="181">
        <f ca="1">ROUND(D45*'数据-取费表'!B41/(1+'数据-取费表'!C42),0)</f>
        <v>3404</v>
      </c>
      <c r="E52" s="11" t="s">
        <v>2211</v>
      </c>
      <c r="F52" s="183">
        <f>'数据-取费表'!B41</f>
        <v>5.6000000000000001E-2</v>
      </c>
      <c r="G52" s="2480"/>
      <c r="H52" s="137"/>
      <c r="I52" s="2478"/>
      <c r="J52" s="1807">
        <v>1</v>
      </c>
      <c r="K52" s="3147" t="s">
        <v>2212</v>
      </c>
      <c r="L52" s="3147"/>
      <c r="M52" s="1749">
        <f>D48</f>
        <v>0</v>
      </c>
      <c r="N52" s="1807" t="str">
        <f>E48</f>
        <v>销售额×税（费）率</v>
      </c>
      <c r="O52" s="1750" t="str">
        <f>F48</f>
        <v>免征</v>
      </c>
    </row>
    <row r="53" spans="1:35" ht="12" customHeight="1">
      <c r="A53" s="182" t="s">
        <v>2213</v>
      </c>
      <c r="B53" s="3173" t="s">
        <v>2214</v>
      </c>
      <c r="C53" s="3174"/>
      <c r="D53" s="181">
        <f ca="1">ROUND(D45*'数据-取费表'!B41/(1+'数据-取费表'!C42),0)</f>
        <v>3404</v>
      </c>
      <c r="E53" s="11" t="s">
        <v>2211</v>
      </c>
      <c r="F53" s="183">
        <f>'数据-取费表'!B41</f>
        <v>5.6000000000000001E-2</v>
      </c>
      <c r="G53" s="2480"/>
      <c r="H53" s="137"/>
      <c r="I53" s="2478"/>
      <c r="J53" s="1807">
        <v>2</v>
      </c>
      <c r="K53" s="3147" t="s">
        <v>2215</v>
      </c>
      <c r="L53" s="3147"/>
      <c r="M53" s="1749">
        <f t="shared" ref="M53:O54" ca="1" si="0">D55</f>
        <v>32</v>
      </c>
      <c r="N53" s="1807" t="str">
        <f t="shared" si="0"/>
        <v>销售额×税（费）率</v>
      </c>
      <c r="O53" s="1750">
        <f t="shared" si="0"/>
        <v>5.0000000000000001E-4</v>
      </c>
    </row>
    <row r="54" spans="1:35" ht="12" customHeight="1">
      <c r="A54" s="182" t="s">
        <v>2216</v>
      </c>
      <c r="B54" s="3173" t="s">
        <v>2217</v>
      </c>
      <c r="C54" s="3174"/>
      <c r="D54" s="181">
        <f ca="1">C68</f>
        <v>3404</v>
      </c>
      <c r="E54" s="30" t="s">
        <v>2218</v>
      </c>
      <c r="F54" s="183">
        <f>'数据-取费表'!B41</f>
        <v>5.6000000000000001E-2</v>
      </c>
      <c r="G54" s="2480"/>
      <c r="H54" s="2481"/>
      <c r="I54" s="2478"/>
      <c r="J54" s="1807">
        <v>3</v>
      </c>
      <c r="K54" s="3147" t="s">
        <v>2219</v>
      </c>
      <c r="L54" s="3147"/>
      <c r="M54" s="1749">
        <f t="shared" ca="1" si="0"/>
        <v>36128</v>
      </c>
      <c r="N54" s="1807" t="str">
        <f t="shared" si="0"/>
        <v>增值额×税（费）率</v>
      </c>
      <c r="O54" s="1751" t="str">
        <f t="shared" si="0"/>
        <v>——</v>
      </c>
    </row>
    <row r="55" spans="1:35" ht="24" customHeight="1">
      <c r="A55" s="3211" t="s">
        <v>2220</v>
      </c>
      <c r="B55" s="3193"/>
      <c r="C55" s="3193"/>
      <c r="D55" s="184">
        <f ca="1">IF(H55="个人住宅",0,ROUND(D45*I55,0))</f>
        <v>32</v>
      </c>
      <c r="E55" s="11" t="s">
        <v>2221</v>
      </c>
      <c r="F55" s="183">
        <f>IF(H55="正常",I55,"免征")</f>
        <v>5.0000000000000001E-4</v>
      </c>
      <c r="G55" s="2480"/>
      <c r="H55" s="2477" t="s">
        <v>2222</v>
      </c>
      <c r="I55" s="185">
        <f>'数据-取费表'!B49</f>
        <v>5.0000000000000001E-4</v>
      </c>
      <c r="J55" s="1807" t="str">
        <f>IF(H59="非个人房产","",4)</f>
        <v/>
      </c>
      <c r="K55" s="3147" t="str">
        <f>IF(H59="非个人房产","——","个人所得税")</f>
        <v>——</v>
      </c>
      <c r="L55" s="3147"/>
      <c r="M55" s="1752" t="str">
        <f>D59</f>
        <v>——</v>
      </c>
      <c r="N55" s="1805" t="str">
        <f>E59</f>
        <v>——</v>
      </c>
      <c r="O55" s="1753" t="str">
        <f>F59</f>
        <v>——</v>
      </c>
    </row>
    <row r="56" spans="1:35" ht="24.75">
      <c r="A56" s="3211" t="s">
        <v>2223</v>
      </c>
      <c r="B56" s="3193"/>
      <c r="C56" s="3193"/>
      <c r="D56" s="184">
        <f ca="1">IF(H56="个人住宅",D57,D58)</f>
        <v>36128</v>
      </c>
      <c r="E56" s="11" t="s">
        <v>2224</v>
      </c>
      <c r="F56" s="183" t="str">
        <f>IF(H56="正常",F58,"免征")</f>
        <v>——</v>
      </c>
      <c r="G56" s="2482" t="s">
        <v>2225</v>
      </c>
      <c r="H56" s="2483" t="s">
        <v>2222</v>
      </c>
      <c r="I56" s="2484"/>
      <c r="J56" s="1807" t="str">
        <f>IF(项目基本情况!K6="上海银行",IF(J55="",4,J55+1),"")</f>
        <v/>
      </c>
      <c r="K56" s="3130" t="str">
        <f>IF(项目基本情况!K6="上海银行","其他处置费用","")</f>
        <v/>
      </c>
      <c r="L56" s="3131"/>
      <c r="M56" s="1749" t="str">
        <f>IF(项目基本情况!K6="上海银行",M69,"")</f>
        <v/>
      </c>
      <c r="N56" s="3133" t="str">
        <f>IF(项目基本情况!K6="上海银行","包含处置中涉及的律师、诉讼、拍卖、评估等费用","")</f>
        <v/>
      </c>
      <c r="O56" s="3134"/>
    </row>
    <row r="57" spans="1:35" ht="12.75">
      <c r="A57" s="182" t="s">
        <v>2198</v>
      </c>
      <c r="B57" s="3178" t="s">
        <v>2226</v>
      </c>
      <c r="C57" s="3179"/>
      <c r="D57" s="186">
        <v>0</v>
      </c>
      <c r="E57" s="23" t="s">
        <v>2200</v>
      </c>
      <c r="F57" s="154"/>
      <c r="G57" s="2480"/>
      <c r="H57" s="2484"/>
      <c r="I57" s="2484"/>
      <c r="J57" s="3147">
        <f>IF(AND(J55="",J56=""),4,IF(项目基本情况!K6="上海银行",结果表!J56+1,结果表!J55+1))</f>
        <v>4</v>
      </c>
      <c r="K57" s="3147" t="s">
        <v>2227</v>
      </c>
      <c r="L57" s="2485" t="s">
        <v>2228</v>
      </c>
      <c r="M57" s="1754"/>
      <c r="N57" s="1755">
        <f ca="1">SUMIF(M52:M56,"&lt;9e307")</f>
        <v>36160</v>
      </c>
      <c r="O57" s="2486"/>
      <c r="P57" s="1748">
        <f ca="1">N57/M49</f>
        <v>0.56648702844968046</v>
      </c>
    </row>
    <row r="58" spans="1:35" ht="24.75">
      <c r="A58" s="182" t="s">
        <v>2209</v>
      </c>
      <c r="B58" s="3178" t="s">
        <v>2229</v>
      </c>
      <c r="C58" s="3191"/>
      <c r="D58" s="184">
        <f ca="1">IF(H58="转让取得",C81,C97)</f>
        <v>36128</v>
      </c>
      <c r="E58" s="11" t="s">
        <v>2224</v>
      </c>
      <c r="F58" s="24" t="s">
        <v>34</v>
      </c>
      <c r="G58" s="2480"/>
      <c r="H58" s="2483" t="s">
        <v>2230</v>
      </c>
      <c r="I58" s="2484"/>
      <c r="J58" s="3147"/>
      <c r="K58" s="3147"/>
      <c r="L58" s="2485" t="s">
        <v>2231</v>
      </c>
      <c r="M58" s="1756"/>
      <c r="N58" s="2487" t="str">
        <f ca="1">NUMBERSTRING(INT(N57*10000),2)&amp;"元整"</f>
        <v>叁亿陆仟壹佰陆拾万元整</v>
      </c>
      <c r="O58" s="2488"/>
    </row>
    <row r="59" spans="1:35" ht="24.75" thickBot="1">
      <c r="A59" s="3151" t="s">
        <v>2232</v>
      </c>
      <c r="B59" s="3152"/>
      <c r="C59" s="3152"/>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49">
        <f>J57+1</f>
        <v>5</v>
      </c>
      <c r="K59" s="3147" t="s">
        <v>2234</v>
      </c>
      <c r="L59" s="1807" t="s">
        <v>2228</v>
      </c>
      <c r="M59" s="1757"/>
      <c r="N59" s="1758">
        <f ca="1">M49-N57</f>
        <v>27672</v>
      </c>
      <c r="O59" s="2490"/>
    </row>
    <row r="60" spans="1:35" ht="12" customHeight="1">
      <c r="A60" s="2491"/>
      <c r="B60" s="2413"/>
      <c r="C60" s="2413"/>
      <c r="D60" s="2413"/>
      <c r="E60" s="2161"/>
      <c r="F60" s="2484"/>
      <c r="G60" s="2484"/>
      <c r="H60" s="2492"/>
      <c r="I60" s="137"/>
      <c r="J60" s="3150"/>
      <c r="K60" s="3147"/>
      <c r="L60" s="2485" t="s">
        <v>2231</v>
      </c>
      <c r="M60" s="1756"/>
      <c r="N60" s="2487" t="str">
        <f ca="1">NUMBERSTRING(INT(N59*10000),2)&amp;"元整"</f>
        <v>贰亿柒仟陆佰柒拾贰万元整</v>
      </c>
      <c r="O60" s="2488"/>
    </row>
    <row r="61" spans="1:35" ht="13.5" thickBot="1">
      <c r="A61" s="3210" t="s">
        <v>2235</v>
      </c>
      <c r="B61" s="3210"/>
      <c r="C61" s="3210"/>
      <c r="D61" s="3210"/>
      <c r="E61" s="3210"/>
      <c r="F61" s="2484"/>
      <c r="G61" s="2484"/>
      <c r="H61" s="2492"/>
      <c r="I61" s="137"/>
      <c r="J61" s="1807">
        <f>J59+1</f>
        <v>6</v>
      </c>
      <c r="K61" s="3147" t="s">
        <v>2236</v>
      </c>
      <c r="L61" s="3147"/>
      <c r="M61" s="1759"/>
      <c r="N61" s="1760">
        <f ca="1">ROUND(N59*10000/'数据-汇总表'!E3,0)</f>
        <v>12617</v>
      </c>
      <c r="O61" s="2493"/>
    </row>
    <row r="62" spans="1:35" ht="12.75">
      <c r="A62" s="3167" t="s">
        <v>2237</v>
      </c>
      <c r="B62" s="3168"/>
      <c r="C62" s="1799"/>
      <c r="D62" s="1799" t="s">
        <v>2238</v>
      </c>
      <c r="E62" s="191" t="s">
        <v>2239</v>
      </c>
      <c r="F62" s="2484"/>
      <c r="G62" s="2484"/>
      <c r="H62" s="2492"/>
      <c r="I62" s="137"/>
    </row>
    <row r="63" spans="1:35" ht="12.75">
      <c r="A63" s="202" t="s">
        <v>775</v>
      </c>
      <c r="B63" s="192" t="s">
        <v>2240</v>
      </c>
      <c r="C63" s="193">
        <f ca="1">ROUND((C64+C65)/(1+'数据-取费表'!C42),0)</f>
        <v>60792</v>
      </c>
      <c r="D63" s="194"/>
      <c r="E63" s="195"/>
      <c r="F63" s="2484"/>
      <c r="G63" s="2484"/>
      <c r="H63" s="2492"/>
      <c r="I63" s="137"/>
      <c r="J63" s="3132" t="s">
        <v>2241</v>
      </c>
      <c r="K63" s="2494" t="s">
        <v>2242</v>
      </c>
      <c r="L63" s="1747">
        <f ca="1">IF(M49&gt;10000,M49*0.5%,IF(AND(M49&gt;1000,M49&lt;=10000),M49*1%,IF(AND(M49&gt;100,M49&lt;=1000),M49*3%,IF(AND(M49&gt;10,M49&lt;=100),M49*5%,M49*8%))))</f>
        <v>319.16000000000003</v>
      </c>
      <c r="M63" s="24">
        <f ca="1">ROUND(L63,1)</f>
        <v>319.2</v>
      </c>
      <c r="Z63" s="2418"/>
      <c r="AI63" s="2419"/>
    </row>
    <row r="64" spans="1:35" ht="14.25" customHeight="1">
      <c r="A64" s="196" t="s">
        <v>770</v>
      </c>
      <c r="B64" s="197" t="s">
        <v>2243</v>
      </c>
      <c r="C64" s="198">
        <f ca="1">D45</f>
        <v>63832</v>
      </c>
      <c r="D64" s="199" t="s">
        <v>32</v>
      </c>
      <c r="E64" s="200"/>
      <c r="F64" s="2484"/>
      <c r="G64" s="2484"/>
      <c r="H64" s="2492"/>
      <c r="I64" s="137"/>
      <c r="J64" s="3132"/>
      <c r="K64" s="2494" t="s">
        <v>2244</v>
      </c>
      <c r="L64" s="1747">
        <f ca="1">IF(M49&gt;2000,M49*0.5%,IF(AND(M49&gt;1000,M49&lt;=2000),M49*0.6%,IF(AND(M49&gt;500,M49&lt;=1000),M49*0.7%,IF(AND(M49&gt;200,M49&lt;=500),M49*0.8%,IF(AND(M49&gt;100,M49&lt;=200),M49*0.9%,IF(AND(M49&gt;50,M49&lt;=100),M49*1%,IF(AND(M49&gt;20,M49&lt;=50),M49*1.5%,IF(AND(M49&gt;10,M49&lt;=20),M49*2%,IF(AND(M49&gt;1,M49&lt;=10),M49*2.5%)))))))))</f>
        <v>319.16000000000003</v>
      </c>
      <c r="M64" s="24">
        <f t="shared" ref="M64:M65" ca="1" si="1">ROUND(L64,1)</f>
        <v>319.2</v>
      </c>
      <c r="N64" s="137" t="s">
        <v>2245</v>
      </c>
      <c r="Z64" s="2418"/>
      <c r="AI64" s="2419"/>
    </row>
    <row r="65" spans="1:35" ht="14.25" customHeight="1">
      <c r="A65" s="196" t="s">
        <v>771</v>
      </c>
      <c r="B65" s="197" t="s">
        <v>2246</v>
      </c>
      <c r="C65" s="201"/>
      <c r="D65" s="199"/>
      <c r="E65" s="200"/>
      <c r="F65" s="2484"/>
      <c r="G65" s="2484"/>
      <c r="H65" s="2492"/>
      <c r="I65" s="137"/>
      <c r="J65" s="3132"/>
      <c r="K65" s="2494" t="s">
        <v>2247</v>
      </c>
      <c r="L65" s="1747">
        <f ca="1">IF(M49&gt;1000,M49*0.1%,IF(AND(M49&gt;500,M49&lt;=1000),M49*0.5%,IF(AND(M49&gt;50,M49&lt;=500),M49*1%,IF(AND(M49&gt;1,M49&lt;=50),M49*1.5%))))</f>
        <v>63.832000000000001</v>
      </c>
      <c r="M65" s="24">
        <f t="shared" ca="1" si="1"/>
        <v>63.8</v>
      </c>
      <c r="N65" s="137" t="s">
        <v>2245</v>
      </c>
      <c r="Z65" s="2418"/>
      <c r="AI65" s="2419"/>
    </row>
    <row r="66" spans="1:35" ht="14.25" customHeight="1">
      <c r="A66" s="202" t="s">
        <v>772</v>
      </c>
      <c r="B66" s="203" t="s">
        <v>2248</v>
      </c>
      <c r="C66" s="204"/>
      <c r="D66" s="205" t="s">
        <v>32</v>
      </c>
      <c r="E66" s="1771" t="s">
        <v>1371</v>
      </c>
      <c r="F66" s="2484"/>
      <c r="G66" s="2484"/>
      <c r="H66" s="2492"/>
      <c r="I66" s="137"/>
      <c r="J66" s="3132"/>
      <c r="K66" s="2494" t="s">
        <v>2249</v>
      </c>
      <c r="L66" s="1747">
        <f ca="1">M49*0.5%</f>
        <v>319.16000000000003</v>
      </c>
      <c r="M66" s="24">
        <f ca="1">IF(L66&gt;0.5,0.5,ROUND(L66,0))</f>
        <v>0.5</v>
      </c>
      <c r="N66" s="137" t="s">
        <v>2250</v>
      </c>
      <c r="Z66" s="2418"/>
      <c r="AI66" s="2419"/>
    </row>
    <row r="67" spans="1:35" ht="14.25" customHeight="1">
      <c r="A67" s="202" t="s">
        <v>773</v>
      </c>
      <c r="B67" s="203" t="s">
        <v>2251</v>
      </c>
      <c r="C67" s="206">
        <f ca="1">C63-C66</f>
        <v>60792</v>
      </c>
      <c r="D67" s="199" t="s">
        <v>32</v>
      </c>
      <c r="E67" s="200"/>
      <c r="F67" s="2484"/>
      <c r="G67" s="2484"/>
      <c r="H67" s="2492"/>
      <c r="I67" s="137"/>
      <c r="J67" s="3132"/>
      <c r="K67" s="2494" t="s">
        <v>2252</v>
      </c>
      <c r="L67" s="1747">
        <f ca="1">IF(M49&gt;=10000,(8.25+(M49-10000)*0.01%),IF(AND(M49&gt;=8000,M49&lt;10000),(7.85+(M49-8000)*0.02%),IF(AND(M49&gt;=5000,M49&lt;8000),(6.65+(M49-5000)*0.04%),IF(AND(M49&gt;=2000,M49&lt;5000),(4.25+(PM49-2000)*0.08%),IF(AND(M49&gt;=1000,M49&lt;2000),(2.75+(M49-1000)*0.15%),IF(AND(M49&gt;=100,M49&lt;1000),(0.5+(M49-100)*0.25%),IF(AND(M49&gt;0,M49&lt;100),M49*0.5%)))))))</f>
        <v>13.6332</v>
      </c>
      <c r="M67" s="24">
        <f ca="1">ROUND(L67*0.9,1)</f>
        <v>12.3</v>
      </c>
      <c r="Z67" s="2418"/>
      <c r="AI67" s="2419"/>
    </row>
    <row r="68" spans="1:35" ht="14.25" customHeight="1" thickBot="1">
      <c r="A68" s="207" t="s">
        <v>774</v>
      </c>
      <c r="B68" s="208" t="s">
        <v>2253</v>
      </c>
      <c r="C68" s="209">
        <f ca="1">IF(C67&lt;=0,0,ROUND(C67*D68,0))</f>
        <v>3404</v>
      </c>
      <c r="D68" s="210">
        <f>'数据-取费表'!B41</f>
        <v>5.6000000000000001E-2</v>
      </c>
      <c r="E68" s="211"/>
      <c r="F68" s="2484"/>
      <c r="G68" s="2484"/>
      <c r="H68" s="2492"/>
      <c r="I68" s="137"/>
      <c r="J68" s="3132"/>
      <c r="K68" s="2494" t="s">
        <v>2254</v>
      </c>
      <c r="L68" s="1747">
        <f ca="1">IF(M49&gt;10000,M49*0.5%,IF(AND(M49&gt;5000,M49&lt;=10000),M49*1%,IF(AND(M49&gt;1000,M49&lt;=5000),M49*2%,IF(AND(M49&gt;200,M49&lt;=1000),M49*3%,M49*5%))))</f>
        <v>319.16000000000003</v>
      </c>
      <c r="M68" s="24">
        <f ca="1">ROUND(L68,1)</f>
        <v>319.2</v>
      </c>
      <c r="Z68" s="2418"/>
      <c r="AI68" s="2419"/>
    </row>
    <row r="69" spans="1:35" s="2441" customFormat="1" ht="16.5" customHeight="1">
      <c r="A69" s="2495"/>
      <c r="B69" s="2496"/>
      <c r="C69" s="2497"/>
      <c r="D69" s="2498"/>
      <c r="E69" s="2499"/>
      <c r="F69" s="2161"/>
      <c r="G69" s="2161"/>
      <c r="H69" s="2160"/>
      <c r="I69" s="2413"/>
      <c r="J69" s="3132"/>
      <c r="K69" s="2494" t="s">
        <v>2255</v>
      </c>
      <c r="L69" s="2500"/>
      <c r="M69" s="24">
        <f ca="1">ROUND(SUM(M63:M68),0)</f>
        <v>1034</v>
      </c>
      <c r="N69" s="1748">
        <f ca="1">M69/M49</f>
        <v>1.619877177591177E-2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76" t="s">
        <v>2256</v>
      </c>
      <c r="B70" s="3177"/>
      <c r="C70" s="3177"/>
      <c r="D70" s="3177"/>
      <c r="E70" s="3177"/>
      <c r="F70" s="3177"/>
      <c r="G70" s="3177"/>
      <c r="H70" s="317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67" t="s">
        <v>2237</v>
      </c>
      <c r="B71" s="3168"/>
      <c r="C71" s="1799"/>
      <c r="D71" s="1799"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60792</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365</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73" t="s">
        <v>2265</v>
      </c>
      <c r="F76" s="3172"/>
      <c r="G76" s="3172"/>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365</v>
      </c>
      <c r="D78" s="225">
        <f>'数据-取费表'!B43</f>
        <v>6.000000000000001E-3</v>
      </c>
      <c r="E78" s="3164" t="s">
        <v>2270</v>
      </c>
      <c r="F78" s="3165"/>
      <c r="G78" s="3165"/>
      <c r="H78" s="316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60427</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165.55342465753424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36128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6" t="s">
        <v>2274</v>
      </c>
      <c r="B83" s="3177"/>
      <c r="C83" s="3177"/>
      <c r="D83" s="3177"/>
      <c r="E83" s="3177"/>
      <c r="F83" s="3177"/>
      <c r="G83" s="3177"/>
      <c r="H83" s="317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67" t="s">
        <v>2237</v>
      </c>
      <c r="B84" s="3168"/>
      <c r="C84" s="1799"/>
      <c r="D84" s="1799"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60792</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365</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5"/>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IF(H91="——",成本法!C33,I91)</f>
        <v>0</v>
      </c>
      <c r="D91" s="225"/>
      <c r="E91" s="3164" t="s">
        <v>2283</v>
      </c>
      <c r="F91" s="3165"/>
      <c r="G91" s="3165"/>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64" t="s">
        <v>2287</v>
      </c>
      <c r="F92" s="3165"/>
      <c r="G92" s="3165"/>
      <c r="H92" s="316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365</v>
      </c>
      <c r="D93" s="225">
        <f>'数据-取费表'!B43</f>
        <v>6.000000000000001E-3</v>
      </c>
      <c r="E93" s="3164" t="s">
        <v>2270</v>
      </c>
      <c r="F93" s="3165"/>
      <c r="G93" s="3165"/>
      <c r="H93" s="316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212" t="s">
        <v>2291</v>
      </c>
      <c r="F94" s="3213"/>
      <c r="G94" s="3213"/>
      <c r="H94" s="321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60427</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165.55342465753424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36128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116" t="s">
        <v>2293</v>
      </c>
      <c r="B100" s="3117"/>
      <c r="C100" s="3117"/>
      <c r="D100" s="3148"/>
      <c r="E100" s="3117" t="s">
        <v>2294</v>
      </c>
      <c r="F100" s="3117"/>
      <c r="G100" s="3117"/>
      <c r="H100" s="3148"/>
      <c r="I100" s="137"/>
    </row>
    <row r="101" spans="1:35" ht="18.75" customHeight="1">
      <c r="A101" s="3156" t="s">
        <v>2295</v>
      </c>
      <c r="B101" s="3157"/>
      <c r="C101" s="734" t="str">
        <f>C4</f>
        <v>典型户型修正</v>
      </c>
      <c r="D101" s="735" t="str">
        <f>D4</f>
        <v>收益法（汇总）</v>
      </c>
      <c r="E101" s="3128" t="s">
        <v>2296</v>
      </c>
      <c r="F101" s="3129"/>
      <c r="G101" s="2515" t="s">
        <v>2297</v>
      </c>
      <c r="H101" s="1043">
        <f ca="1">H118</f>
        <v>63832</v>
      </c>
      <c r="I101" s="137"/>
    </row>
    <row r="102" spans="1:35" ht="18.75" customHeight="1">
      <c r="A102" s="3158" t="s">
        <v>2298</v>
      </c>
      <c r="B102" s="2515" t="s">
        <v>2297</v>
      </c>
      <c r="C102" s="734">
        <f ca="1">C19</f>
        <v>91115</v>
      </c>
      <c r="D102" s="735">
        <f ca="1">D19</f>
        <v>45644</v>
      </c>
      <c r="E102" s="3128"/>
      <c r="F102" s="3129"/>
      <c r="G102" s="2515" t="s">
        <v>2299</v>
      </c>
      <c r="H102" s="370">
        <f ca="1">I118</f>
        <v>29103</v>
      </c>
      <c r="I102" s="137"/>
    </row>
    <row r="103" spans="1:35" ht="42.75" customHeight="1">
      <c r="A103" s="3158"/>
      <c r="B103" s="2515" t="s">
        <v>2299</v>
      </c>
      <c r="C103" s="736">
        <f ca="1">C20</f>
        <v>41542</v>
      </c>
      <c r="D103" s="737">
        <f ca="1">D20</f>
        <v>20811</v>
      </c>
      <c r="E103" s="3122" t="s">
        <v>2300</v>
      </c>
      <c r="F103" s="3123"/>
      <c r="G103" s="2516" t="s">
        <v>2301</v>
      </c>
      <c r="H103" s="1043">
        <f>IF(D36="正常操作",H104+H105+H106,H105+H106)</f>
        <v>0</v>
      </c>
      <c r="I103" s="137"/>
    </row>
    <row r="104" spans="1:35" ht="18.75" customHeight="1">
      <c r="A104" s="3158" t="s">
        <v>2302</v>
      </c>
      <c r="B104" s="2517" t="s">
        <v>2297</v>
      </c>
      <c r="C104" s="738">
        <f ca="1">H118</f>
        <v>63832</v>
      </c>
      <c r="D104" s="739"/>
      <c r="E104" s="2262" t="s">
        <v>2303</v>
      </c>
      <c r="F104" s="2253"/>
      <c r="G104" s="2516" t="s">
        <v>2301</v>
      </c>
      <c r="H104" s="1044">
        <f>IF(D36="同一抵押权人同一抵押物续贷",C36&amp;"（未扣减，详见特别提示）",C36)</f>
        <v>0</v>
      </c>
      <c r="I104" s="137"/>
    </row>
    <row r="105" spans="1:35" ht="18.75" customHeight="1" thickBot="1">
      <c r="A105" s="3170"/>
      <c r="B105" s="2518" t="s">
        <v>2299</v>
      </c>
      <c r="C105" s="740">
        <f ca="1">I118</f>
        <v>29103</v>
      </c>
      <c r="D105" s="741"/>
      <c r="E105" s="2262"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59" t="str">
        <f>IF(项目基本情况!E8="已注销","——","3.房地产抵押价值")</f>
        <v>3.房地产抵押价值</v>
      </c>
      <c r="F107" s="3129"/>
      <c r="G107" s="2515" t="s">
        <v>2297</v>
      </c>
      <c r="H107" s="1043">
        <f ca="1">IF(E107="——","——",H101-H103)</f>
        <v>63832</v>
      </c>
      <c r="I107" s="137"/>
    </row>
    <row r="108" spans="1:35" ht="18.75" customHeight="1">
      <c r="A108" s="137"/>
      <c r="B108" s="137"/>
      <c r="C108" s="137"/>
      <c r="D108" s="137"/>
      <c r="E108" s="3159"/>
      <c r="F108" s="3129"/>
      <c r="G108" s="2515" t="s">
        <v>2299</v>
      </c>
      <c r="H108" s="370">
        <f ca="1">ROUND(H107*10000/'数据-汇总表'!E3,0)</f>
        <v>29103</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29"/>
      <c r="G109" s="2515" t="s">
        <v>2297</v>
      </c>
      <c r="H109" s="347" t="str">
        <f>IF(E109="——","——",H101-H105-H106)</f>
        <v>——</v>
      </c>
      <c r="I109" s="137"/>
    </row>
    <row r="110" spans="1:35" ht="18.75" customHeight="1">
      <c r="A110" s="137"/>
      <c r="B110" s="137"/>
      <c r="C110" s="137"/>
      <c r="D110" s="137"/>
      <c r="E110" s="3159"/>
      <c r="F110" s="3129"/>
      <c r="G110" s="2515" t="s">
        <v>2299</v>
      </c>
      <c r="H110" s="370" t="str">
        <f>IF(H109="——","——",ROUND(H109*10000/'数据-汇总表'!E3,0))</f>
        <v>——</v>
      </c>
      <c r="I110" s="137"/>
    </row>
    <row r="111" spans="1:35" ht="18.75" customHeight="1">
      <c r="A111" s="137"/>
      <c r="B111" s="137"/>
      <c r="C111" s="137"/>
      <c r="D111" s="137"/>
      <c r="E111" s="3160" t="str">
        <f>IF(项目基本情况!E9="抵押净值",IF(OR(项目基本情况!E8="已注销",项目基本情况!E8="房地产抵押价值"),"4.抵押净值","5.抵押净值"),"——")</f>
        <v>——</v>
      </c>
      <c r="F111" s="3161"/>
      <c r="G111" s="2515" t="s">
        <v>2297</v>
      </c>
      <c r="H111" s="1043" t="str">
        <f>IF(E111="——","——",N59)</f>
        <v>——</v>
      </c>
      <c r="I111" s="137"/>
    </row>
    <row r="112" spans="1:35" ht="18.75" customHeight="1" thickBot="1">
      <c r="A112" s="137"/>
      <c r="B112" s="137"/>
      <c r="C112" s="137"/>
      <c r="D112" s="137"/>
      <c r="E112" s="3162"/>
      <c r="F112" s="3163"/>
      <c r="G112" s="2520" t="s">
        <v>2299</v>
      </c>
      <c r="H112" s="788" t="str">
        <f>IF(E111="——","——",N61)</f>
        <v>——</v>
      </c>
      <c r="I112" s="137"/>
    </row>
    <row r="113" spans="1:11" ht="18.75" customHeight="1">
      <c r="A113" s="137"/>
      <c r="B113" s="137"/>
      <c r="C113" s="137"/>
      <c r="D113" s="137"/>
      <c r="E113" s="3171" t="s">
        <v>2305</v>
      </c>
      <c r="F113" s="3171"/>
      <c r="G113" s="3171"/>
      <c r="H113" s="3171"/>
      <c r="I113" s="137"/>
    </row>
    <row r="114" spans="1:11" ht="3.75" customHeight="1">
      <c r="A114" s="2413"/>
      <c r="B114" s="2413"/>
      <c r="C114" s="2413"/>
      <c r="D114" s="2413"/>
      <c r="E114" s="2491"/>
      <c r="F114" s="2491"/>
      <c r="G114" s="2491"/>
      <c r="H114" s="2491"/>
      <c r="I114" s="2413"/>
    </row>
    <row r="115" spans="1:11" ht="18.75" customHeight="1">
      <c r="A115" s="3184" t="s">
        <v>2307</v>
      </c>
      <c r="B115" s="3185"/>
      <c r="C115" s="3185"/>
      <c r="D115" s="3185"/>
      <c r="E115" s="3185"/>
      <c r="F115" s="3185"/>
      <c r="G115" s="3185"/>
      <c r="H115" s="3185"/>
      <c r="I115" s="3186"/>
    </row>
    <row r="116" spans="1:11" ht="27" customHeight="1">
      <c r="A116" s="3095" t="s">
        <v>2308</v>
      </c>
      <c r="B116" s="3138" t="s">
        <v>2309</v>
      </c>
      <c r="C116" s="3138" t="s">
        <v>2310</v>
      </c>
      <c r="D116" s="3144" t="s">
        <v>2311</v>
      </c>
      <c r="E116" s="3145"/>
      <c r="F116" s="3180" t="s">
        <v>2312</v>
      </c>
      <c r="G116" s="3180"/>
      <c r="H116" s="3095" t="s">
        <v>2313</v>
      </c>
      <c r="I116" s="3095"/>
    </row>
    <row r="117" spans="1:11" ht="18.75" customHeight="1">
      <c r="A117" s="3095"/>
      <c r="B117" s="3139"/>
      <c r="C117" s="3139"/>
      <c r="D117" s="1793" t="s">
        <v>2314</v>
      </c>
      <c r="E117" s="1793" t="s">
        <v>2315</v>
      </c>
      <c r="F117" s="1793" t="s">
        <v>2314</v>
      </c>
      <c r="G117" s="1793" t="s">
        <v>2316</v>
      </c>
      <c r="H117" s="1793" t="s">
        <v>2314</v>
      </c>
      <c r="I117" s="1793" t="s">
        <v>2316</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63832</v>
      </c>
      <c r="I118" s="1793">
        <f ca="1">ROUND(IF(D32="楼面单价",C32,H118*10000/B118),0)</f>
        <v>29103</v>
      </c>
    </row>
    <row r="119" spans="1:11" ht="18.75" customHeight="1">
      <c r="A119" s="3095" t="s">
        <v>2317</v>
      </c>
      <c r="B119" s="3095"/>
      <c r="C119" s="3095"/>
      <c r="D119" s="3140" t="e">
        <f ca="1">NUMBERSTRING(INT(D118*10000),2)&amp;"元整"</f>
        <v>#REF!</v>
      </c>
      <c r="E119" s="3141"/>
      <c r="F119" s="3140" t="e">
        <f ca="1">NUMBERSTRING(INT(F118*10000),2)&amp;"元整"</f>
        <v>#REF!</v>
      </c>
      <c r="G119" s="3141"/>
      <c r="H119" s="3140" t="str">
        <f ca="1">NUMBERSTRING(INT(H118*10000),2)&amp;"元整"</f>
        <v>陆亿叁仟捌佰叁拾贰万元整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63832</v>
      </c>
      <c r="E122" s="3136"/>
      <c r="F122" s="3136"/>
      <c r="G122" s="3136"/>
      <c r="H122" s="3136"/>
      <c r="I122" s="3137"/>
    </row>
    <row r="123" spans="1:11" ht="18.75" customHeight="1">
      <c r="A123" s="3095" t="s">
        <v>2317</v>
      </c>
      <c r="B123" s="3095"/>
      <c r="C123" s="3095"/>
      <c r="D123" s="3140" t="str">
        <f ca="1">NUMBERSTRING(INT(D122*10000),2)&amp;"元整"</f>
        <v>陆亿叁仟捌佰叁拾贰万元整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9</v>
      </c>
    </row>
    <row r="2" spans="1:9" s="243" customFormat="1" ht="18" customHeight="1">
      <c r="A2" s="244" t="s">
        <v>2327</v>
      </c>
      <c r="B2" s="245">
        <f ca="1">IF(D2="——",C52,C52-E2)</f>
        <v>7838</v>
      </c>
      <c r="C2" s="242" t="s">
        <v>2328</v>
      </c>
      <c r="D2" s="2544" t="s">
        <v>70</v>
      </c>
      <c r="E2" s="1438"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3574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7"/>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c r="H9" s="1388"/>
      <c r="I9" s="2549"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439</v>
      </c>
      <c r="D19" s="1034">
        <f ca="1">D9+D10</f>
        <v>21933.11</v>
      </c>
      <c r="E19" s="254">
        <f>'数据-取费表'!B31</f>
        <v>200</v>
      </c>
      <c r="F19" s="274"/>
      <c r="G19" s="2547"/>
    </row>
    <row r="20" spans="1:7" s="257" customFormat="1" ht="13.5" customHeight="1">
      <c r="A20" s="298" t="s">
        <v>2358</v>
      </c>
      <c r="B20" s="253" t="s">
        <v>2359</v>
      </c>
      <c r="C20" s="275">
        <f ca="1">ROUND((C5+C19)*F20,0)</f>
        <v>9</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43</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90</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90</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630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6398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2391</v>
      </c>
    </row>
    <row r="35" spans="1:7" ht="13.5" customHeight="1">
      <c r="A35" s="949" t="s">
        <v>796</v>
      </c>
      <c r="B35" s="258" t="s">
        <v>2392</v>
      </c>
      <c r="C35" s="263">
        <f ca="1">ROUND(C34*F35,0)</f>
        <v>171</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439</v>
      </c>
      <c r="D37" s="260">
        <f ca="1">D19</f>
        <v>21933.11</v>
      </c>
      <c r="E37" s="292">
        <f>'数据-取费表'!B35</f>
        <v>200</v>
      </c>
      <c r="F37" s="302"/>
      <c r="G37" s="304" t="s">
        <v>2397</v>
      </c>
    </row>
    <row r="38" spans="1:7" ht="13.5" customHeight="1">
      <c r="A38" s="949" t="s">
        <v>799</v>
      </c>
      <c r="B38" s="258" t="s">
        <v>2398</v>
      </c>
      <c r="C38" s="263">
        <f ca="1">ROUND(C34*F38,0)</f>
        <v>86</v>
      </c>
      <c r="D38" s="263"/>
      <c r="E38" s="263"/>
      <c r="F38" s="302">
        <f>'数据-取费表'!B36</f>
        <v>1.4999999999999999E-2</v>
      </c>
      <c r="G38" s="262" t="s">
        <v>2393</v>
      </c>
    </row>
    <row r="39" spans="1:7" s="257" customFormat="1" ht="13.5" customHeight="1">
      <c r="A39" s="298" t="s">
        <v>2399</v>
      </c>
      <c r="B39" s="253" t="s">
        <v>2400</v>
      </c>
      <c r="C39" s="275">
        <f ca="1">ROUND(C33*F20,0)</f>
        <v>128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304</v>
      </c>
      <c r="D42" s="281"/>
      <c r="E42" s="281"/>
      <c r="F42" s="282"/>
      <c r="G42" s="3215" t="s">
        <v>2409</v>
      </c>
    </row>
    <row r="43" spans="1:7" ht="13.5" customHeight="1">
      <c r="A43" s="949" t="s">
        <v>792</v>
      </c>
      <c r="B43" s="258" t="s">
        <v>2410</v>
      </c>
      <c r="C43" s="281">
        <f ca="1">ROUND(IF('数据-取费表'!B22&lt;=1,C39*F22*'数据-取费表'!B21/2,C39*(POWER((1+F22),'数据-取费表'!B21/2)-1)),0)</f>
        <v>6</v>
      </c>
      <c r="D43" s="281"/>
      <c r="E43" s="281"/>
      <c r="F43" s="282"/>
      <c r="G43" s="3216"/>
    </row>
    <row r="44" spans="1:7" ht="13.5" customHeight="1">
      <c r="A44" s="949" t="s">
        <v>793</v>
      </c>
      <c r="B44" s="258" t="s">
        <v>2411</v>
      </c>
      <c r="C44" s="281">
        <f ca="1">ROUND(IF('数据-取费表'!B22&lt;=1,C40*F22*'数据-取费表'!B21/2,C40*(POWER((1+F22),'数据-取费表'!B21/2)-1)),4)</f>
        <v>1E-3</v>
      </c>
      <c r="D44" s="281"/>
      <c r="E44" s="281"/>
      <c r="F44" s="282"/>
      <c r="G44" s="3217"/>
    </row>
    <row r="45" spans="1:7" s="257" customFormat="1" ht="13.5" customHeight="1">
      <c r="A45" s="298" t="s">
        <v>2412</v>
      </c>
      <c r="B45" s="287" t="s">
        <v>2378</v>
      </c>
      <c r="C45" s="288">
        <f ca="1">C46</f>
        <v>1305</v>
      </c>
      <c r="D45" s="278">
        <f ca="1">C47</f>
        <v>4.0000000000000001E-3</v>
      </c>
      <c r="E45" s="279" t="s">
        <v>2404</v>
      </c>
      <c r="F45" s="289"/>
      <c r="G45" s="290" t="s">
        <v>2413</v>
      </c>
    </row>
    <row r="46" spans="1:7" s="257" customFormat="1" ht="13.5" customHeight="1">
      <c r="A46" s="949" t="s">
        <v>791</v>
      </c>
      <c r="B46" s="291" t="s">
        <v>2414</v>
      </c>
      <c r="C46" s="292">
        <f ca="1">ROUND((C33+C39)*F27,0)</f>
        <v>1305</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8833</v>
      </c>
      <c r="D49" s="275"/>
      <c r="E49" s="275"/>
      <c r="F49" s="307"/>
      <c r="G49" s="277" t="s">
        <v>2419</v>
      </c>
    </row>
    <row r="50" spans="1:7" s="301" customFormat="1" ht="24">
      <c r="A50" s="298" t="s">
        <v>2420</v>
      </c>
      <c r="B50" s="253" t="s">
        <v>2421</v>
      </c>
      <c r="C50" s="275"/>
      <c r="D50" s="275"/>
      <c r="E50" s="275"/>
      <c r="F50" s="307">
        <f>IF('数据-取费表'!B24=0,'数据-取费表'!N16,1)</f>
        <v>0.81599999999999995</v>
      </c>
      <c r="G50" s="290" t="s">
        <v>2422</v>
      </c>
    </row>
    <row r="51" spans="1:7" ht="16.5" customHeight="1">
      <c r="A51" s="298" t="s">
        <v>2423</v>
      </c>
      <c r="B51" s="253" t="s">
        <v>2424</v>
      </c>
      <c r="C51" s="275">
        <f ca="1">ROUND(C49*F50,0)</f>
        <v>7208</v>
      </c>
      <c r="D51" s="275"/>
      <c r="E51" s="275"/>
      <c r="F51" s="307"/>
      <c r="G51" s="277" t="s">
        <v>2425</v>
      </c>
    </row>
    <row r="52" spans="1:7" s="251" customFormat="1" ht="16.5" thickBot="1">
      <c r="A52" s="308" t="s">
        <v>2426</v>
      </c>
      <c r="B52" s="309"/>
      <c r="C52" s="310">
        <f ca="1">C31+C51</f>
        <v>7838</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9" t="str">
        <f>项目基本情况!B1</f>
        <v>北京市丰台区首经贸中街1号房地产抵押价值预评估</v>
      </c>
      <c r="C37" s="3029"/>
      <c r="D37" s="3029"/>
      <c r="E37" s="3029"/>
      <c r="F37" s="3029"/>
      <c r="G37" s="3029"/>
      <c r="H37" s="3029"/>
      <c r="I37" s="3029"/>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0" t="s">
        <v>2428</v>
      </c>
      <c r="D1" s="241"/>
      <c r="E1" s="241"/>
      <c r="F1" s="241"/>
      <c r="G1" s="1377">
        <f>MATCH(B1,'数据-取费表'!A6:A16,0)+5</f>
        <v>9</v>
      </c>
      <c r="H1" s="1280" t="str">
        <f>IF(ISERROR(FIND("住宅",B1)),"非住宅","住宅")</f>
        <v>非住宅</v>
      </c>
    </row>
    <row r="2" spans="1:8" s="243" customFormat="1" ht="18" customHeight="1">
      <c r="A2" s="244" t="s">
        <v>2327</v>
      </c>
      <c r="B2" s="245">
        <f ca="1">ROUND(IF(D2="——",C52/10000,C52/10000-E2),0)</f>
        <v>7837</v>
      </c>
      <c r="C2" s="242" t="s">
        <v>2328</v>
      </c>
      <c r="D2" s="2544" t="s">
        <v>70</v>
      </c>
      <c r="E2" s="1438" t="e">
        <f ca="1">SUMIF(INDIRECT("'"&amp;G2&amp;"'"&amp;"!A:A"),"承租人权益价值",INDIRECT("'"&amp;G2&amp;"'"&amp;"!c:c"))</f>
        <v>#REF!</v>
      </c>
      <c r="F2" s="2545" t="s">
        <v>2328</v>
      </c>
      <c r="G2" s="2546"/>
    </row>
    <row r="3" spans="1:8" s="243" customFormat="1" ht="18" customHeight="1" thickBot="1">
      <c r="A3" s="246" t="s">
        <v>2329</v>
      </c>
      <c r="B3" s="247">
        <f ca="1">ROUND(B2*10000/(IF(B1="",'数据-汇总表'!E3,INDIRECT("'数据-取费表'!k"&amp;$G$1))),0)</f>
        <v>3573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3.0499999999999999E-2</v>
      </c>
      <c r="G7" s="262"/>
    </row>
    <row r="8" spans="1:8" s="266" customFormat="1">
      <c r="A8" s="947" t="s">
        <v>2341</v>
      </c>
      <c r="B8" s="258" t="s">
        <v>2342</v>
      </c>
      <c r="C8" s="263">
        <f ca="1">IF(G8="已包含在土地购买价格中",0,C9+C10)</f>
        <v>0</v>
      </c>
      <c r="D8" s="265"/>
      <c r="E8" s="263"/>
      <c r="F8" s="264"/>
      <c r="G8" s="2547"/>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4386622</v>
      </c>
      <c r="D19" s="1034">
        <f ca="1">D9+D10</f>
        <v>21933.11</v>
      </c>
      <c r="E19" s="254">
        <f>'数据-取费表'!B31</f>
        <v>200</v>
      </c>
      <c r="F19" s="274"/>
      <c r="G19" s="2547"/>
    </row>
    <row r="20" spans="1:7" s="257" customFormat="1" ht="13.5" customHeight="1">
      <c r="A20" s="298" t="s">
        <v>2439</v>
      </c>
      <c r="B20" s="253" t="s">
        <v>2440</v>
      </c>
      <c r="C20" s="275">
        <f ca="1">ROUND((C5+C19)*F20,0)</f>
        <v>87732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430793</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426626</v>
      </c>
      <c r="D24" s="281"/>
      <c r="E24" s="281"/>
      <c r="F24" s="282"/>
      <c r="G24" s="283" t="s">
        <v>2451</v>
      </c>
    </row>
    <row r="25" spans="1:7" s="257" customFormat="1" ht="24">
      <c r="A25" s="949" t="s">
        <v>2341</v>
      </c>
      <c r="B25" s="258" t="s">
        <v>2452</v>
      </c>
      <c r="C25" s="1379">
        <f ca="1">ROUND(IF('数据-取费表'!B22&lt;=1,C20*F22*'数据-取费表'!B22/2,C20*(POWER((1+F22),'数据-取费表'!B22/2)-1)),0)</f>
        <v>4167</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894871</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ROUND((C5+C19+C20)*F27,0)</f>
        <v>894871</v>
      </c>
      <c r="D28" s="278"/>
      <c r="E28" s="279"/>
      <c r="F28" s="289"/>
      <c r="G28" s="290"/>
    </row>
    <row r="29" spans="1:7" s="257" customFormat="1" ht="13.5" customHeight="1">
      <c r="A29" s="949" t="s">
        <v>792</v>
      </c>
      <c r="B29" s="291" t="s">
        <v>2382</v>
      </c>
      <c r="C29" s="281">
        <f ca="1">ROUND(C21*F27,4)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6292740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63978882</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2392</v>
      </c>
      <c r="C35" s="263">
        <f ca="1">ROUND(C34*F35,0)</f>
        <v>1710783</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4386622</v>
      </c>
      <c r="D37" s="260">
        <f ca="1">D19</f>
        <v>21933.11</v>
      </c>
      <c r="E37" s="292">
        <f>'数据-取费表'!B35</f>
        <v>200</v>
      </c>
      <c r="F37" s="302"/>
      <c r="G37" s="304"/>
    </row>
    <row r="38" spans="1:7" ht="13.5" customHeight="1">
      <c r="A38" s="949" t="s">
        <v>799</v>
      </c>
      <c r="B38" s="258" t="s">
        <v>2398</v>
      </c>
      <c r="C38" s="263">
        <f ca="1">ROUND(C34*F38,0)</f>
        <v>855391</v>
      </c>
      <c r="D38" s="263"/>
      <c r="E38" s="263"/>
      <c r="F38" s="302">
        <f>'数据-取费表'!B36</f>
        <v>1.4999999999999999E-2</v>
      </c>
      <c r="G38" s="262" t="s">
        <v>2393</v>
      </c>
    </row>
    <row r="39" spans="1:7" s="257" customFormat="1" ht="13.5" customHeight="1">
      <c r="A39" s="298" t="s">
        <v>2399</v>
      </c>
      <c r="B39" s="253" t="s">
        <v>2400</v>
      </c>
      <c r="C39" s="275">
        <f ca="1">ROUND(C33*F20,0)</f>
        <v>1279578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3099777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3038997</v>
      </c>
      <c r="D42" s="281"/>
      <c r="E42" s="281"/>
      <c r="F42" s="282"/>
      <c r="G42" s="3215" t="s">
        <v>2456</v>
      </c>
    </row>
    <row r="43" spans="1:7" ht="13.5" customHeight="1">
      <c r="A43" s="949" t="s">
        <v>792</v>
      </c>
      <c r="B43" s="258" t="s">
        <v>2410</v>
      </c>
      <c r="C43" s="281">
        <f ca="1">ROUND(IF('数据-取费表'!B22&lt;=1,C39*F22*'数据-取费表'!B20/2,C39*(POWER((1+F22),'数据-取费表'!B20/2)-1)),0)</f>
        <v>60780</v>
      </c>
      <c r="D43" s="281"/>
      <c r="E43" s="281"/>
      <c r="F43" s="282"/>
      <c r="G43" s="3216"/>
    </row>
    <row r="44" spans="1:7" ht="13.5" customHeight="1">
      <c r="A44" s="949" t="s">
        <v>793</v>
      </c>
      <c r="B44" s="258" t="s">
        <v>2411</v>
      </c>
      <c r="C44" s="281">
        <f ca="1">ROUND(IF('数据-取费表'!B22&lt;=1,C40*F22*'数据-取费表'!B20/2,C40*(POWER((1+F22),'数据-取费表'!B20/2)-1)),4)</f>
        <v>1E-3</v>
      </c>
      <c r="D44" s="281"/>
      <c r="E44" s="281"/>
      <c r="F44" s="282"/>
      <c r="G44" s="3217"/>
    </row>
    <row r="45" spans="1:7" s="257" customFormat="1" ht="13.5" customHeight="1">
      <c r="A45" s="298" t="s">
        <v>2412</v>
      </c>
      <c r="B45" s="287" t="s">
        <v>2378</v>
      </c>
      <c r="C45" s="288">
        <f ca="1">C46</f>
        <v>13051692</v>
      </c>
      <c r="D45" s="278">
        <f ca="1">C47</f>
        <v>4.0000000000000001E-3</v>
      </c>
      <c r="E45" s="279" t="s">
        <v>2404</v>
      </c>
      <c r="F45" s="289"/>
      <c r="G45" s="290" t="s">
        <v>2413</v>
      </c>
    </row>
    <row r="46" spans="1:7" s="257" customFormat="1" ht="13.5" customHeight="1">
      <c r="A46" s="949" t="s">
        <v>791</v>
      </c>
      <c r="B46" s="291" t="s">
        <v>2414</v>
      </c>
      <c r="C46" s="292">
        <f ca="1">ROUND((C33+C39)*F27,0)</f>
        <v>13051692</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88325842</v>
      </c>
      <c r="D49" s="275"/>
      <c r="E49" s="275"/>
      <c r="F49" s="307"/>
      <c r="G49" s="277" t="s">
        <v>2419</v>
      </c>
    </row>
    <row r="50" spans="1:7" s="301" customFormat="1">
      <c r="A50" s="298" t="s">
        <v>2420</v>
      </c>
      <c r="B50" s="253" t="s">
        <v>2421</v>
      </c>
      <c r="C50" s="275"/>
      <c r="D50" s="275"/>
      <c r="E50" s="275"/>
      <c r="F50" s="307">
        <f>IF('数据-取费表'!B24=0,'数据-取费表'!N16,1)</f>
        <v>0.81599999999999995</v>
      </c>
      <c r="G50" s="290"/>
    </row>
    <row r="51" spans="1:7" ht="16.5" customHeight="1">
      <c r="A51" s="298" t="s">
        <v>2423</v>
      </c>
      <c r="B51" s="253" t="s">
        <v>2458</v>
      </c>
      <c r="C51" s="275">
        <f ca="1">ROUND(C49*F50,0)</f>
        <v>72073887</v>
      </c>
      <c r="D51" s="275"/>
      <c r="E51" s="275"/>
      <c r="F51" s="307"/>
      <c r="G51" s="277" t="s">
        <v>2425</v>
      </c>
    </row>
    <row r="52" spans="1:7" s="251" customFormat="1" ht="16.5" thickBot="1">
      <c r="A52" s="308" t="s">
        <v>2426</v>
      </c>
      <c r="B52" s="309"/>
      <c r="C52" s="310">
        <f ca="1">C31+C51</f>
        <v>78366627</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1" t="s">
        <v>2465</v>
      </c>
      <c r="D5" s="2551" t="s">
        <v>2466</v>
      </c>
      <c r="E5" s="2551" t="s">
        <v>2467</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4"/>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21933.11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21933.11</v>
      </c>
      <c r="E17" s="24">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3"/>
      <c r="H18" s="1575"/>
      <c r="I18" s="2554"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2495</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0</v>
      </c>
      <c r="D30" s="327"/>
      <c r="E30" s="328"/>
      <c r="F30" s="333"/>
      <c r="G30" s="139"/>
      <c r="H30" s="977"/>
      <c r="I30" s="977"/>
      <c r="J30" s="977"/>
      <c r="K30" s="978"/>
    </row>
    <row r="31" spans="1:33" s="973" customFormat="1" ht="13.5" customHeight="1" thickBot="1">
      <c r="A31" s="2557"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2529</v>
      </c>
      <c r="C1" s="1632" t="s">
        <v>2530</v>
      </c>
      <c r="D1" s="1619"/>
      <c r="E1" s="2580"/>
      <c r="F1" s="2581" t="s">
        <v>2531</v>
      </c>
      <c r="G1" s="1629" t="s">
        <v>2532</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2534</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36" t="s">
        <v>2536</v>
      </c>
      <c r="D4" s="3237"/>
      <c r="E4" s="3238" t="s">
        <v>2537</v>
      </c>
      <c r="F4" s="3239"/>
      <c r="G4" s="3236" t="s">
        <v>2538</v>
      </c>
      <c r="H4" s="3237"/>
      <c r="I4" s="3236" t="s">
        <v>2539</v>
      </c>
      <c r="J4" s="3237"/>
      <c r="K4" s="2593" t="s">
        <v>2540</v>
      </c>
      <c r="L4" s="1128"/>
      <c r="M4" s="1129"/>
      <c r="N4" s="1129"/>
      <c r="O4" s="1129"/>
      <c r="P4" s="3240" t="s">
        <v>2541</v>
      </c>
      <c r="Q4" s="3241"/>
      <c r="R4" s="3223" t="s">
        <v>2537</v>
      </c>
      <c r="S4" s="3224"/>
      <c r="T4" s="3223" t="s">
        <v>2538</v>
      </c>
      <c r="U4" s="3224"/>
      <c r="V4" s="3248" t="s">
        <v>2539</v>
      </c>
      <c r="W4" s="3248"/>
      <c r="X4" s="1811"/>
      <c r="Y4" s="3223" t="s">
        <v>2541</v>
      </c>
      <c r="Z4" s="3224"/>
      <c r="AA4" s="3218" t="s">
        <v>2537</v>
      </c>
      <c r="AB4" s="3218" t="s">
        <v>2538</v>
      </c>
      <c r="AC4" s="3218" t="s">
        <v>2539</v>
      </c>
    </row>
    <row r="5" spans="1:29" ht="15">
      <c r="A5" s="403"/>
      <c r="B5" s="404"/>
      <c r="C5" s="3229" t="s">
        <v>3210</v>
      </c>
      <c r="D5" s="3230"/>
      <c r="E5" s="3227" t="s">
        <v>3191</v>
      </c>
      <c r="F5" s="3228"/>
      <c r="G5" s="3229" t="s">
        <v>3194</v>
      </c>
      <c r="H5" s="3230"/>
      <c r="I5" s="3229" t="s">
        <v>3196</v>
      </c>
      <c r="J5" s="3230"/>
      <c r="K5" s="2594"/>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231" t="s">
        <v>3211</v>
      </c>
      <c r="D6" s="3232"/>
      <c r="E6" s="3233" t="s">
        <v>3192</v>
      </c>
      <c r="F6" s="3234"/>
      <c r="G6" s="3231" t="s">
        <v>3193</v>
      </c>
      <c r="H6" s="3232"/>
      <c r="I6" s="3231" t="s">
        <v>3195</v>
      </c>
      <c r="J6" s="3232"/>
      <c r="K6" s="2594"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21" t="s">
        <v>2549</v>
      </c>
      <c r="Q7" s="3249"/>
      <c r="R7" s="768" t="s">
        <v>23</v>
      </c>
      <c r="S7" s="769">
        <f t="shared" ref="S7:S15" si="0">F7</f>
        <v>100</v>
      </c>
      <c r="T7" s="768" t="s">
        <v>23</v>
      </c>
      <c r="U7" s="769">
        <f t="shared" ref="U7:U15" si="1">H7</f>
        <v>100</v>
      </c>
      <c r="V7" s="768" t="s">
        <v>23</v>
      </c>
      <c r="W7" s="769">
        <f t="shared" ref="W7:W15" si="2">J7</f>
        <v>100</v>
      </c>
      <c r="X7" s="770"/>
      <c r="Y7" s="3221" t="s">
        <v>2549</v>
      </c>
      <c r="Z7" s="3222"/>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5"/>
      <c r="L8" s="1130"/>
      <c r="M8" s="1131"/>
      <c r="N8" s="1131"/>
      <c r="O8" s="1131"/>
      <c r="P8" s="3221" t="s">
        <v>2552</v>
      </c>
      <c r="Q8" s="3222"/>
      <c r="R8" s="768" t="s">
        <v>23</v>
      </c>
      <c r="S8" s="769">
        <f t="shared" si="0"/>
        <v>100</v>
      </c>
      <c r="T8" s="768" t="s">
        <v>23</v>
      </c>
      <c r="U8" s="769">
        <f t="shared" si="1"/>
        <v>100</v>
      </c>
      <c r="V8" s="768" t="s">
        <v>23</v>
      </c>
      <c r="W8" s="769">
        <f t="shared" si="2"/>
        <v>100</v>
      </c>
      <c r="X8" s="770"/>
      <c r="Y8" s="3221" t="s">
        <v>2552</v>
      </c>
      <c r="Z8" s="3222"/>
      <c r="AA8" s="771">
        <f t="shared" ref="AA8:AA19" si="3">D8/F8</f>
        <v>1</v>
      </c>
      <c r="AB8" s="771">
        <f t="shared" ref="AB8:AB19" si="4">D8/H8</f>
        <v>1</v>
      </c>
      <c r="AC8" s="771">
        <f t="shared" ref="AC8:AC19" si="5">D8/J8</f>
        <v>1</v>
      </c>
    </row>
    <row r="9" spans="1:29" s="116" customFormat="1">
      <c r="A9" s="414" t="s">
        <v>2553</v>
      </c>
      <c r="B9" s="70" t="s">
        <v>2554</v>
      </c>
      <c r="C9" s="2982" t="s">
        <v>3190</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235"/>
      <c r="Q11" s="1793" t="str">
        <f t="shared" si="6"/>
        <v>容积率</v>
      </c>
      <c r="R11" s="768" t="s">
        <v>21</v>
      </c>
      <c r="S11" s="769">
        <f t="shared" si="0"/>
        <v>100</v>
      </c>
      <c r="T11" s="768" t="s">
        <v>21</v>
      </c>
      <c r="U11" s="769">
        <f t="shared" si="1"/>
        <v>100</v>
      </c>
      <c r="V11" s="768" t="s">
        <v>21</v>
      </c>
      <c r="W11" s="769">
        <f t="shared" si="2"/>
        <v>100</v>
      </c>
      <c r="X11" s="770"/>
      <c r="Y11" s="3095"/>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35"/>
      <c r="Q12" s="1793">
        <f t="shared" si="6"/>
        <v>111</v>
      </c>
      <c r="R12" s="768" t="s">
        <v>21</v>
      </c>
      <c r="S12" s="769">
        <f t="shared" si="0"/>
        <v>100</v>
      </c>
      <c r="T12" s="768" t="s">
        <v>21</v>
      </c>
      <c r="U12" s="769">
        <f t="shared" si="1"/>
        <v>100</v>
      </c>
      <c r="V12" s="768" t="s">
        <v>21</v>
      </c>
      <c r="W12" s="769">
        <f t="shared" si="2"/>
        <v>100</v>
      </c>
      <c r="X12" s="770"/>
      <c r="Y12" s="3095"/>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35"/>
      <c r="Q13" s="1793">
        <f t="shared" si="6"/>
        <v>111</v>
      </c>
      <c r="R13" s="768" t="s">
        <v>21</v>
      </c>
      <c r="S13" s="769">
        <f t="shared" si="0"/>
        <v>100</v>
      </c>
      <c r="T13" s="768" t="s">
        <v>21</v>
      </c>
      <c r="U13" s="769">
        <f t="shared" si="1"/>
        <v>100</v>
      </c>
      <c r="V13" s="768" t="s">
        <v>21</v>
      </c>
      <c r="W13" s="769">
        <f t="shared" si="2"/>
        <v>100</v>
      </c>
      <c r="X13" s="770"/>
      <c r="Y13" s="3095"/>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35"/>
      <c r="Q14" s="1793">
        <f t="shared" si="6"/>
        <v>111</v>
      </c>
      <c r="R14" s="768" t="s">
        <v>21</v>
      </c>
      <c r="S14" s="769">
        <f t="shared" si="0"/>
        <v>100</v>
      </c>
      <c r="T14" s="768" t="s">
        <v>21</v>
      </c>
      <c r="U14" s="769">
        <f t="shared" si="1"/>
        <v>100</v>
      </c>
      <c r="V14" s="768" t="s">
        <v>21</v>
      </c>
      <c r="W14" s="769">
        <f t="shared" si="2"/>
        <v>100</v>
      </c>
      <c r="X14" s="770"/>
      <c r="Y14" s="3095"/>
      <c r="Z14" s="55">
        <f t="shared" si="7"/>
        <v>111</v>
      </c>
      <c r="AA14" s="771">
        <f t="shared" si="3"/>
        <v>1</v>
      </c>
      <c r="AB14" s="771">
        <f t="shared" si="4"/>
        <v>1</v>
      </c>
      <c r="AC14" s="771">
        <f t="shared" si="5"/>
        <v>1</v>
      </c>
    </row>
    <row r="15" spans="1:29" ht="15">
      <c r="A15" s="439" t="s">
        <v>2559</v>
      </c>
      <c r="B15" s="68" t="s">
        <v>2088</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2" t="s">
        <v>2560</v>
      </c>
      <c r="Q15" s="1808" t="str">
        <f t="shared" si="6"/>
        <v>居住社区成熟度</v>
      </c>
      <c r="R15" s="772" t="s">
        <v>21</v>
      </c>
      <c r="S15" s="773">
        <f t="shared" si="0"/>
        <v>100</v>
      </c>
      <c r="T15" s="772" t="s">
        <v>21</v>
      </c>
      <c r="U15" s="773">
        <f t="shared" si="1"/>
        <v>100</v>
      </c>
      <c r="V15" s="772" t="s">
        <v>21</v>
      </c>
      <c r="W15" s="773">
        <f t="shared" si="2"/>
        <v>100</v>
      </c>
      <c r="X15" s="1811"/>
      <c r="Y15" s="3255" t="s">
        <v>2560</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63"/>
      <c r="Q16" s="1808"/>
      <c r="R16" s="772"/>
      <c r="S16" s="773"/>
      <c r="T16" s="772"/>
      <c r="U16" s="773"/>
      <c r="V16" s="772"/>
      <c r="W16" s="773"/>
      <c r="X16" s="1811"/>
      <c r="Y16" s="3256"/>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3"/>
      <c r="Q17" s="1808" t="str">
        <f>B17</f>
        <v>交通便捷度</v>
      </c>
      <c r="R17" s="772" t="s">
        <v>21</v>
      </c>
      <c r="S17" s="773">
        <f>F17</f>
        <v>100</v>
      </c>
      <c r="T17" s="772" t="s">
        <v>21</v>
      </c>
      <c r="U17" s="773">
        <f>H17</f>
        <v>100</v>
      </c>
      <c r="V17" s="772" t="s">
        <v>21</v>
      </c>
      <c r="W17" s="773">
        <f>J17</f>
        <v>100</v>
      </c>
      <c r="X17" s="1811"/>
      <c r="Y17" s="3256"/>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63"/>
      <c r="Q18" s="1808"/>
      <c r="R18" s="772"/>
      <c r="S18" s="773"/>
      <c r="T18" s="772"/>
      <c r="U18" s="773"/>
      <c r="V18" s="772"/>
      <c r="W18" s="773"/>
      <c r="X18" s="1811"/>
      <c r="Y18" s="3256"/>
      <c r="Z18" s="1812"/>
      <c r="AA18" s="1809">
        <v>1</v>
      </c>
      <c r="AB18" s="1809">
        <v>1</v>
      </c>
      <c r="AC18" s="1809">
        <v>1</v>
      </c>
    </row>
    <row r="19" spans="1:29" ht="228">
      <c r="A19" s="427"/>
      <c r="B19" s="450" t="s">
        <v>2095</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3"/>
      <c r="Q19" s="1808" t="str">
        <f>B19</f>
        <v>公共配套设施</v>
      </c>
      <c r="R19" s="772" t="s">
        <v>21</v>
      </c>
      <c r="S19" s="773">
        <f>F19</f>
        <v>100</v>
      </c>
      <c r="T19" s="772" t="s">
        <v>21</v>
      </c>
      <c r="U19" s="773">
        <f>H19</f>
        <v>100</v>
      </c>
      <c r="V19" s="772" t="s">
        <v>21</v>
      </c>
      <c r="W19" s="773">
        <f>J19</f>
        <v>100</v>
      </c>
      <c r="X19" s="1811"/>
      <c r="Y19" s="3256"/>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63"/>
      <c r="Q20" s="1808"/>
      <c r="R20" s="772"/>
      <c r="S20" s="773"/>
      <c r="T20" s="772"/>
      <c r="U20" s="773"/>
      <c r="V20" s="772"/>
      <c r="W20" s="773"/>
      <c r="X20" s="1811"/>
      <c r="Y20" s="3256"/>
      <c r="Z20" s="1812"/>
      <c r="AA20" s="1809">
        <v>1</v>
      </c>
      <c r="AB20" s="1809">
        <v>1</v>
      </c>
      <c r="AC20" s="1809">
        <v>1</v>
      </c>
    </row>
    <row r="21" spans="1:29" ht="42.75">
      <c r="A21" s="427"/>
      <c r="B21" s="1382" t="s">
        <v>2098</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63"/>
      <c r="Q22" s="1808"/>
      <c r="R22" s="772"/>
      <c r="S22" s="773"/>
      <c r="T22" s="772"/>
      <c r="U22" s="773"/>
      <c r="V22" s="772"/>
      <c r="W22" s="773"/>
      <c r="X22" s="1811"/>
      <c r="Y22" s="3256"/>
      <c r="Z22" s="1812"/>
      <c r="AA22" s="1809">
        <v>1</v>
      </c>
      <c r="AB22" s="1809">
        <v>1</v>
      </c>
      <c r="AC22" s="1809">
        <v>1</v>
      </c>
    </row>
    <row r="23" spans="1:29" ht="99.75">
      <c r="A23" s="427"/>
      <c r="B23" s="450" t="s">
        <v>2102</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3"/>
      <c r="Q23" s="1808" t="str">
        <f>B23</f>
        <v>自然及人文环境</v>
      </c>
      <c r="R23" s="772" t="s">
        <v>21</v>
      </c>
      <c r="S23" s="773">
        <f>F23</f>
        <v>100</v>
      </c>
      <c r="T23" s="772" t="s">
        <v>21</v>
      </c>
      <c r="U23" s="773">
        <f>H23</f>
        <v>100</v>
      </c>
      <c r="V23" s="772" t="s">
        <v>21</v>
      </c>
      <c r="W23" s="773">
        <f>J23</f>
        <v>100</v>
      </c>
      <c r="X23" s="1811"/>
      <c r="Y23" s="3256"/>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63"/>
      <c r="Q24" s="1808"/>
      <c r="R24" s="772"/>
      <c r="S24" s="773"/>
      <c r="T24" s="772"/>
      <c r="U24" s="773"/>
      <c r="V24" s="772"/>
      <c r="W24" s="773"/>
      <c r="X24" s="1811"/>
      <c r="Y24" s="3256"/>
      <c r="Z24" s="1812"/>
      <c r="AA24" s="1809">
        <v>1</v>
      </c>
      <c r="AB24" s="1809">
        <v>1</v>
      </c>
      <c r="AC24" s="1809">
        <v>1</v>
      </c>
    </row>
    <row r="25" spans="1:29" ht="15">
      <c r="A25" s="427"/>
      <c r="B25" s="421"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6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6"/>
      <c r="Z25" s="1812" t="str">
        <f>Q25</f>
        <v>楼层-1</v>
      </c>
      <c r="AA25" s="1809">
        <f t="shared" ref="AA25:AA46" si="15">D25/F25</f>
        <v>1</v>
      </c>
      <c r="AB25" s="1809">
        <f t="shared" ref="AB25:AB46" si="16">D25/H25</f>
        <v>1</v>
      </c>
      <c r="AC25" s="1809">
        <f t="shared" ref="AC25:AC46" si="17">D25/J25</f>
        <v>1</v>
      </c>
    </row>
    <row r="26" spans="1:29" ht="15.75" thickBot="1">
      <c r="A26" s="427"/>
      <c r="B26" s="421"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63"/>
      <c r="Q26" s="1808" t="str">
        <f t="shared" si="11"/>
        <v>朝向</v>
      </c>
      <c r="R26" s="772" t="s">
        <v>21</v>
      </c>
      <c r="S26" s="773">
        <f t="shared" si="12"/>
        <v>100</v>
      </c>
      <c r="T26" s="772" t="s">
        <v>21</v>
      </c>
      <c r="U26" s="773">
        <f t="shared" si="13"/>
        <v>100</v>
      </c>
      <c r="V26" s="772" t="s">
        <v>21</v>
      </c>
      <c r="W26" s="773">
        <f t="shared" si="14"/>
        <v>100</v>
      </c>
      <c r="X26" s="1811"/>
      <c r="Y26" s="3256"/>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63"/>
      <c r="Q27" s="1793">
        <f t="shared" si="11"/>
        <v>111</v>
      </c>
      <c r="R27" s="768" t="s">
        <v>21</v>
      </c>
      <c r="S27" s="769">
        <f t="shared" si="12"/>
        <v>100</v>
      </c>
      <c r="T27" s="768" t="s">
        <v>21</v>
      </c>
      <c r="U27" s="769">
        <f t="shared" si="13"/>
        <v>100</v>
      </c>
      <c r="V27" s="768" t="s">
        <v>21</v>
      </c>
      <c r="W27" s="769">
        <f t="shared" si="14"/>
        <v>100</v>
      </c>
      <c r="X27" s="770"/>
      <c r="Y27" s="3256"/>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63"/>
      <c r="Q28" s="1808">
        <f t="shared" si="11"/>
        <v>111</v>
      </c>
      <c r="R28" s="772" t="s">
        <v>21</v>
      </c>
      <c r="S28" s="773">
        <f t="shared" si="12"/>
        <v>100</v>
      </c>
      <c r="T28" s="772" t="s">
        <v>21</v>
      </c>
      <c r="U28" s="773">
        <f t="shared" si="13"/>
        <v>100</v>
      </c>
      <c r="V28" s="772" t="s">
        <v>21</v>
      </c>
      <c r="W28" s="773">
        <f t="shared" si="14"/>
        <v>100</v>
      </c>
      <c r="X28" s="1811"/>
      <c r="Y28" s="3256"/>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63"/>
      <c r="Q29" s="1808">
        <f t="shared" si="11"/>
        <v>111</v>
      </c>
      <c r="R29" s="772" t="s">
        <v>21</v>
      </c>
      <c r="S29" s="773">
        <f t="shared" si="12"/>
        <v>100</v>
      </c>
      <c r="T29" s="772" t="s">
        <v>21</v>
      </c>
      <c r="U29" s="773">
        <f t="shared" si="13"/>
        <v>100</v>
      </c>
      <c r="V29" s="772" t="s">
        <v>21</v>
      </c>
      <c r="W29" s="773">
        <f t="shared" si="14"/>
        <v>100</v>
      </c>
      <c r="X29" s="1811"/>
      <c r="Y29" s="3256"/>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63"/>
      <c r="Q30" s="1808">
        <f t="shared" si="11"/>
        <v>111</v>
      </c>
      <c r="R30" s="772" t="s">
        <v>21</v>
      </c>
      <c r="S30" s="773">
        <f t="shared" si="12"/>
        <v>100</v>
      </c>
      <c r="T30" s="772" t="s">
        <v>21</v>
      </c>
      <c r="U30" s="773">
        <f t="shared" si="13"/>
        <v>100</v>
      </c>
      <c r="V30" s="772" t="s">
        <v>21</v>
      </c>
      <c r="W30" s="773">
        <f t="shared" si="14"/>
        <v>100</v>
      </c>
      <c r="X30" s="1811"/>
      <c r="Y30" s="3256"/>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63"/>
      <c r="Q31" s="1808">
        <f t="shared" si="11"/>
        <v>111</v>
      </c>
      <c r="R31" s="772" t="s">
        <v>21</v>
      </c>
      <c r="S31" s="773">
        <f t="shared" si="12"/>
        <v>100</v>
      </c>
      <c r="T31" s="772" t="s">
        <v>21</v>
      </c>
      <c r="U31" s="773">
        <f t="shared" si="13"/>
        <v>100</v>
      </c>
      <c r="V31" s="772" t="s">
        <v>21</v>
      </c>
      <c r="W31" s="773">
        <f t="shared" si="14"/>
        <v>100</v>
      </c>
      <c r="X31" s="1811"/>
      <c r="Y31" s="3256"/>
      <c r="Z31" s="1812">
        <f t="shared" si="18"/>
        <v>111</v>
      </c>
      <c r="AA31" s="1809">
        <f t="shared" si="15"/>
        <v>1</v>
      </c>
      <c r="AB31" s="1809">
        <f t="shared" si="16"/>
        <v>1</v>
      </c>
      <c r="AC31" s="1809">
        <f t="shared" si="17"/>
        <v>1</v>
      </c>
    </row>
    <row r="32" spans="1:29" ht="15">
      <c r="A32" s="439" t="s">
        <v>2563</v>
      </c>
      <c r="B32" s="70"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57" t="s">
        <v>2565</v>
      </c>
      <c r="Q32" s="1808" t="str">
        <f t="shared" si="11"/>
        <v>建筑类型</v>
      </c>
      <c r="R32" s="772" t="s">
        <v>21</v>
      </c>
      <c r="S32" s="773">
        <f t="shared" si="12"/>
        <v>100</v>
      </c>
      <c r="T32" s="772" t="s">
        <v>21</v>
      </c>
      <c r="U32" s="773">
        <f t="shared" si="13"/>
        <v>100</v>
      </c>
      <c r="V32" s="772" t="s">
        <v>21</v>
      </c>
      <c r="W32" s="773">
        <f t="shared" si="14"/>
        <v>100</v>
      </c>
      <c r="X32" s="1811"/>
      <c r="Y32" s="3260" t="s">
        <v>2565</v>
      </c>
      <c r="Z32" s="1812" t="str">
        <f t="shared" si="18"/>
        <v>建筑类型</v>
      </c>
      <c r="AA32" s="1809">
        <f t="shared" si="15"/>
        <v>1</v>
      </c>
      <c r="AB32" s="1809">
        <f t="shared" si="16"/>
        <v>1</v>
      </c>
      <c r="AC32" s="1809">
        <f t="shared" si="17"/>
        <v>1</v>
      </c>
    </row>
    <row r="33" spans="1:29" s="470" customFormat="1" ht="15">
      <c r="A33" s="467"/>
      <c r="B33" s="421" t="s">
        <v>2566</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258"/>
      <c r="Q33" s="774" t="str">
        <f t="shared" si="11"/>
        <v>项目建筑规模</v>
      </c>
      <c r="R33" s="775" t="s">
        <v>21</v>
      </c>
      <c r="S33" s="776">
        <f t="shared" si="12"/>
        <v>101</v>
      </c>
      <c r="T33" s="775" t="s">
        <v>21</v>
      </c>
      <c r="U33" s="776">
        <f t="shared" si="13"/>
        <v>101</v>
      </c>
      <c r="V33" s="775" t="s">
        <v>21</v>
      </c>
      <c r="W33" s="776">
        <f t="shared" si="14"/>
        <v>101</v>
      </c>
      <c r="X33" s="777"/>
      <c r="Y33" s="3260"/>
      <c r="Z33" s="778" t="str">
        <f t="shared" si="18"/>
        <v>项目建筑规模</v>
      </c>
      <c r="AA33" s="1809">
        <f t="shared" si="15"/>
        <v>0.99009900990099009</v>
      </c>
      <c r="AB33" s="1809">
        <f t="shared" si="16"/>
        <v>0.99009900990099009</v>
      </c>
      <c r="AC33" s="1809">
        <f t="shared" si="17"/>
        <v>0.99009900990099009</v>
      </c>
    </row>
    <row r="34" spans="1:29" ht="15">
      <c r="A34" s="471"/>
      <c r="B34" s="421"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58"/>
      <c r="Q34" s="1808" t="str">
        <f t="shared" si="11"/>
        <v>建筑结构</v>
      </c>
      <c r="R34" s="772" t="s">
        <v>21</v>
      </c>
      <c r="S34" s="773">
        <f t="shared" si="12"/>
        <v>100</v>
      </c>
      <c r="T34" s="772" t="s">
        <v>21</v>
      </c>
      <c r="U34" s="773">
        <f t="shared" si="13"/>
        <v>100</v>
      </c>
      <c r="V34" s="772" t="s">
        <v>21</v>
      </c>
      <c r="W34" s="773">
        <f t="shared" si="14"/>
        <v>100</v>
      </c>
      <c r="X34" s="1811"/>
      <c r="Y34" s="3260"/>
      <c r="Z34" s="1812" t="str">
        <f t="shared" si="18"/>
        <v>建筑结构</v>
      </c>
      <c r="AA34" s="1809">
        <f t="shared" si="15"/>
        <v>1</v>
      </c>
      <c r="AB34" s="1809">
        <f t="shared" si="16"/>
        <v>1</v>
      </c>
      <c r="AC34" s="1809">
        <f t="shared" si="17"/>
        <v>1</v>
      </c>
    </row>
    <row r="35" spans="1:29" ht="15">
      <c r="A35" s="471"/>
      <c r="B35" s="421"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58"/>
      <c r="Q35" s="1808" t="str">
        <f t="shared" si="11"/>
        <v>建筑品质</v>
      </c>
      <c r="R35" s="772" t="s">
        <v>21</v>
      </c>
      <c r="S35" s="773">
        <f t="shared" si="12"/>
        <v>100</v>
      </c>
      <c r="T35" s="772" t="s">
        <v>21</v>
      </c>
      <c r="U35" s="773">
        <f t="shared" si="13"/>
        <v>100</v>
      </c>
      <c r="V35" s="772" t="s">
        <v>21</v>
      </c>
      <c r="W35" s="773">
        <f t="shared" si="14"/>
        <v>100</v>
      </c>
      <c r="X35" s="1811"/>
      <c r="Y35" s="3260"/>
      <c r="Z35" s="1812" t="str">
        <f t="shared" si="18"/>
        <v>建筑品质</v>
      </c>
      <c r="AA35" s="1809">
        <f t="shared" si="15"/>
        <v>1</v>
      </c>
      <c r="AB35" s="1809">
        <f t="shared" si="16"/>
        <v>1</v>
      </c>
      <c r="AC35" s="1809">
        <f t="shared" si="17"/>
        <v>1</v>
      </c>
    </row>
    <row r="36" spans="1:29" ht="15">
      <c r="A36" s="471"/>
      <c r="B36" s="421"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58"/>
      <c r="Q36" s="1808" t="str">
        <f t="shared" si="11"/>
        <v>公共部分装修</v>
      </c>
      <c r="R36" s="772" t="s">
        <v>21</v>
      </c>
      <c r="S36" s="773">
        <f t="shared" si="12"/>
        <v>100</v>
      </c>
      <c r="T36" s="772" t="s">
        <v>21</v>
      </c>
      <c r="U36" s="773">
        <f t="shared" si="13"/>
        <v>100</v>
      </c>
      <c r="V36" s="772" t="s">
        <v>21</v>
      </c>
      <c r="W36" s="773">
        <f t="shared" si="14"/>
        <v>100</v>
      </c>
      <c r="X36" s="1811"/>
      <c r="Y36" s="3260"/>
      <c r="Z36" s="1812" t="str">
        <f t="shared" si="18"/>
        <v>公共部分装修</v>
      </c>
      <c r="AA36" s="1809">
        <f t="shared" si="15"/>
        <v>1</v>
      </c>
      <c r="AB36" s="1809">
        <f t="shared" si="16"/>
        <v>1</v>
      </c>
      <c r="AC36" s="1809">
        <f t="shared" si="17"/>
        <v>1</v>
      </c>
    </row>
    <row r="37" spans="1:29" s="116" customFormat="1" ht="15">
      <c r="A37" s="472"/>
      <c r="B37" s="421" t="s">
        <v>2570</v>
      </c>
      <c r="C37" s="473">
        <f>'数据-取费表'!Y6</f>
        <v>0.8</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258"/>
      <c r="Q37" s="1793" t="str">
        <f t="shared" si="11"/>
        <v>成新度</v>
      </c>
      <c r="R37" s="768" t="s">
        <v>21</v>
      </c>
      <c r="S37" s="769">
        <f t="shared" si="12"/>
        <v>100</v>
      </c>
      <c r="T37" s="768" t="s">
        <v>21</v>
      </c>
      <c r="U37" s="769">
        <f t="shared" si="13"/>
        <v>100</v>
      </c>
      <c r="V37" s="768" t="s">
        <v>21</v>
      </c>
      <c r="W37" s="769">
        <f t="shared" si="14"/>
        <v>100</v>
      </c>
      <c r="X37" s="770"/>
      <c r="Y37" s="3260"/>
      <c r="Z37" s="55" t="str">
        <f t="shared" si="18"/>
        <v>成新度</v>
      </c>
      <c r="AA37" s="771">
        <f t="shared" si="15"/>
        <v>1</v>
      </c>
      <c r="AB37" s="771">
        <f t="shared" si="16"/>
        <v>1</v>
      </c>
      <c r="AC37" s="771">
        <f t="shared" si="17"/>
        <v>1</v>
      </c>
    </row>
    <row r="38" spans="1:29" ht="15">
      <c r="A38" s="471"/>
      <c r="B38" s="421"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58" t="s">
        <v>2565</v>
      </c>
      <c r="Q38" s="1808" t="str">
        <f t="shared" si="11"/>
        <v>物业管理</v>
      </c>
      <c r="R38" s="772" t="s">
        <v>21</v>
      </c>
      <c r="S38" s="773">
        <f t="shared" si="12"/>
        <v>100</v>
      </c>
      <c r="T38" s="772" t="s">
        <v>21</v>
      </c>
      <c r="U38" s="773">
        <f t="shared" si="13"/>
        <v>100</v>
      </c>
      <c r="V38" s="772" t="s">
        <v>21</v>
      </c>
      <c r="W38" s="773">
        <f t="shared" si="14"/>
        <v>100</v>
      </c>
      <c r="X38" s="1811"/>
      <c r="Y38" s="3260" t="s">
        <v>2565</v>
      </c>
      <c r="Z38" s="1812" t="str">
        <f t="shared" si="18"/>
        <v>物业管理</v>
      </c>
      <c r="AA38" s="1809">
        <f t="shared" si="15"/>
        <v>1</v>
      </c>
      <c r="AB38" s="1809">
        <f t="shared" si="16"/>
        <v>1</v>
      </c>
      <c r="AC38" s="1809">
        <f t="shared" si="17"/>
        <v>1</v>
      </c>
    </row>
    <row r="39" spans="1:29" ht="15">
      <c r="A39" s="471"/>
      <c r="B39" s="421"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58"/>
      <c r="Q39" s="1808" t="str">
        <f t="shared" si="11"/>
        <v>市政基础设施</v>
      </c>
      <c r="R39" s="772" t="s">
        <v>21</v>
      </c>
      <c r="S39" s="773">
        <f t="shared" si="12"/>
        <v>100</v>
      </c>
      <c r="T39" s="772" t="s">
        <v>21</v>
      </c>
      <c r="U39" s="773">
        <f t="shared" si="13"/>
        <v>100</v>
      </c>
      <c r="V39" s="772" t="s">
        <v>21</v>
      </c>
      <c r="W39" s="773">
        <f t="shared" si="14"/>
        <v>100</v>
      </c>
      <c r="X39" s="1811"/>
      <c r="Y39" s="3260"/>
      <c r="Z39" s="1812" t="str">
        <f t="shared" si="18"/>
        <v>市政基础设施</v>
      </c>
      <c r="AA39" s="1809">
        <f t="shared" si="15"/>
        <v>1</v>
      </c>
      <c r="AB39" s="1809">
        <f t="shared" si="16"/>
        <v>1</v>
      </c>
      <c r="AC39" s="1809">
        <f t="shared" si="17"/>
        <v>1</v>
      </c>
    </row>
    <row r="40" spans="1:29" ht="15">
      <c r="A40" s="471"/>
      <c r="B40" s="421"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58"/>
      <c r="Q40" s="1808" t="str">
        <f t="shared" si="11"/>
        <v>房型</v>
      </c>
      <c r="R40" s="772" t="s">
        <v>21</v>
      </c>
      <c r="S40" s="773">
        <f t="shared" si="12"/>
        <v>100</v>
      </c>
      <c r="T40" s="772" t="s">
        <v>21</v>
      </c>
      <c r="U40" s="773">
        <f t="shared" si="13"/>
        <v>100</v>
      </c>
      <c r="V40" s="772" t="s">
        <v>21</v>
      </c>
      <c r="W40" s="773">
        <f t="shared" si="14"/>
        <v>100</v>
      </c>
      <c r="X40" s="1811"/>
      <c r="Y40" s="3260"/>
      <c r="Z40" s="1812" t="str">
        <f t="shared" si="18"/>
        <v>房型</v>
      </c>
      <c r="AA40" s="1809">
        <f t="shared" si="15"/>
        <v>1</v>
      </c>
      <c r="AB40" s="1809">
        <f t="shared" si="16"/>
        <v>1</v>
      </c>
      <c r="AC40" s="1809">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58"/>
      <c r="Q41" s="774" t="str">
        <f t="shared" si="11"/>
        <v>单套/主力户型建筑面积</v>
      </c>
      <c r="R41" s="775" t="s">
        <v>21</v>
      </c>
      <c r="S41" s="776">
        <f t="shared" si="12"/>
        <v>100</v>
      </c>
      <c r="T41" s="775" t="s">
        <v>21</v>
      </c>
      <c r="U41" s="776">
        <f t="shared" si="13"/>
        <v>100</v>
      </c>
      <c r="V41" s="775" t="s">
        <v>21</v>
      </c>
      <c r="W41" s="776">
        <f t="shared" si="14"/>
        <v>100</v>
      </c>
      <c r="X41" s="777"/>
      <c r="Y41" s="3260"/>
      <c r="Z41" s="778" t="str">
        <f t="shared" si="18"/>
        <v>单套/主力户型建筑面积</v>
      </c>
      <c r="AA41" s="1809">
        <f t="shared" si="15"/>
        <v>1</v>
      </c>
      <c r="AB41" s="1809">
        <f t="shared" si="16"/>
        <v>1</v>
      </c>
      <c r="AC41" s="1809">
        <f t="shared" si="17"/>
        <v>1</v>
      </c>
    </row>
    <row r="42" spans="1:29" ht="15">
      <c r="A42" s="471"/>
      <c r="B42" s="421"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58"/>
      <c r="Q42" s="1808" t="str">
        <f t="shared" si="11"/>
        <v>内部装修</v>
      </c>
      <c r="R42" s="772" t="s">
        <v>21</v>
      </c>
      <c r="S42" s="773">
        <f t="shared" si="12"/>
        <v>100</v>
      </c>
      <c r="T42" s="772" t="s">
        <v>21</v>
      </c>
      <c r="U42" s="773">
        <f t="shared" si="13"/>
        <v>100</v>
      </c>
      <c r="V42" s="772" t="s">
        <v>21</v>
      </c>
      <c r="W42" s="773">
        <f t="shared" si="14"/>
        <v>100</v>
      </c>
      <c r="X42" s="1811"/>
      <c r="Y42" s="3260"/>
      <c r="Z42" s="1812" t="str">
        <f t="shared" si="18"/>
        <v>内部装修</v>
      </c>
      <c r="AA42" s="1809">
        <f t="shared" si="15"/>
        <v>1</v>
      </c>
      <c r="AB42" s="1809">
        <f t="shared" si="16"/>
        <v>1</v>
      </c>
      <c r="AC42" s="1809">
        <f t="shared" si="17"/>
        <v>1</v>
      </c>
    </row>
    <row r="43" spans="1:29" ht="15.75" thickBot="1">
      <c r="A43" s="471"/>
      <c r="B43" s="421"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58"/>
      <c r="Q43" s="1808" t="str">
        <f t="shared" si="11"/>
        <v>内部装修维护情况</v>
      </c>
      <c r="R43" s="772" t="s">
        <v>21</v>
      </c>
      <c r="S43" s="773">
        <f t="shared" si="12"/>
        <v>100</v>
      </c>
      <c r="T43" s="772" t="s">
        <v>21</v>
      </c>
      <c r="U43" s="773">
        <f t="shared" si="13"/>
        <v>100</v>
      </c>
      <c r="V43" s="772" t="s">
        <v>21</v>
      </c>
      <c r="W43" s="773">
        <f t="shared" si="14"/>
        <v>100</v>
      </c>
      <c r="X43" s="1811"/>
      <c r="Y43" s="3260"/>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58"/>
      <c r="Q44" s="1793">
        <f t="shared" si="11"/>
        <v>111</v>
      </c>
      <c r="R44" s="768" t="s">
        <v>21</v>
      </c>
      <c r="S44" s="769">
        <f t="shared" si="12"/>
        <v>100</v>
      </c>
      <c r="T44" s="768" t="s">
        <v>21</v>
      </c>
      <c r="U44" s="769">
        <f t="shared" si="13"/>
        <v>100</v>
      </c>
      <c r="V44" s="768" t="s">
        <v>21</v>
      </c>
      <c r="W44" s="769">
        <f t="shared" si="14"/>
        <v>100</v>
      </c>
      <c r="X44" s="770"/>
      <c r="Y44" s="3260"/>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58"/>
      <c r="Q45" s="1808">
        <f t="shared" si="11"/>
        <v>111</v>
      </c>
      <c r="R45" s="772" t="s">
        <v>21</v>
      </c>
      <c r="S45" s="773">
        <f t="shared" si="12"/>
        <v>100</v>
      </c>
      <c r="T45" s="772" t="s">
        <v>21</v>
      </c>
      <c r="U45" s="773">
        <f t="shared" si="13"/>
        <v>100</v>
      </c>
      <c r="V45" s="772" t="s">
        <v>21</v>
      </c>
      <c r="W45" s="773">
        <f t="shared" si="14"/>
        <v>100</v>
      </c>
      <c r="X45" s="1811"/>
      <c r="Y45" s="3260"/>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59"/>
      <c r="Q46" s="1808">
        <f t="shared" si="11"/>
        <v>111</v>
      </c>
      <c r="R46" s="772" t="s">
        <v>20</v>
      </c>
      <c r="S46" s="773">
        <f t="shared" si="12"/>
        <v>100</v>
      </c>
      <c r="T46" s="772" t="s">
        <v>20</v>
      </c>
      <c r="U46" s="773">
        <f t="shared" si="13"/>
        <v>100</v>
      </c>
      <c r="V46" s="772" t="s">
        <v>20</v>
      </c>
      <c r="W46" s="773">
        <f t="shared" si="14"/>
        <v>100</v>
      </c>
      <c r="X46" s="1811"/>
      <c r="Y46" s="3261"/>
      <c r="Z46" s="1812">
        <f t="shared" si="18"/>
        <v>111</v>
      </c>
      <c r="AA46" s="1809">
        <f t="shared" si="15"/>
        <v>1</v>
      </c>
      <c r="AB46" s="1809">
        <f t="shared" si="16"/>
        <v>1</v>
      </c>
      <c r="AC46" s="1809">
        <f t="shared" si="17"/>
        <v>1</v>
      </c>
    </row>
    <row r="47" spans="1:29" ht="15">
      <c r="A47" s="478" t="s">
        <v>2577</v>
      </c>
      <c r="B47" s="479"/>
      <c r="C47" s="1405" t="s">
        <v>19</v>
      </c>
      <c r="D47" s="1406"/>
      <c r="E47" s="1407">
        <v>51964</v>
      </c>
      <c r="F47" s="1408"/>
      <c r="G47" s="1409">
        <v>58391</v>
      </c>
      <c r="H47" s="1410"/>
      <c r="I47" s="1407">
        <v>54054</v>
      </c>
      <c r="J47" s="1410"/>
      <c r="K47" s="2617"/>
      <c r="L47" s="1141"/>
      <c r="M47" s="1142"/>
      <c r="N47" s="1129"/>
      <c r="O47" s="1142"/>
      <c r="P47" s="3253" t="str">
        <f>A47</f>
        <v>成交单价（元/平方米）</v>
      </c>
      <c r="Q47" s="3253"/>
      <c r="R47" s="3254">
        <f>E47</f>
        <v>51964</v>
      </c>
      <c r="S47" s="3254"/>
      <c r="T47" s="3254">
        <f>G47</f>
        <v>58391</v>
      </c>
      <c r="U47" s="3254"/>
      <c r="V47" s="3254">
        <f>I47</f>
        <v>54054</v>
      </c>
      <c r="W47" s="3254"/>
      <c r="X47" s="757"/>
      <c r="Y47" s="779"/>
      <c r="Z47" s="757"/>
      <c r="AA47" s="757"/>
      <c r="AB47" s="757"/>
      <c r="AC47" s="757"/>
    </row>
    <row r="48" spans="1:29" ht="15.75" thickBot="1">
      <c r="A48" s="485" t="s">
        <v>2578</v>
      </c>
      <c r="B48" s="486"/>
      <c r="C48" s="1411">
        <f>R49</f>
        <v>54261</v>
      </c>
      <c r="D48" s="1412"/>
      <c r="E48" s="1413">
        <f>R48</f>
        <v>51450</v>
      </c>
      <c r="F48" s="1413"/>
      <c r="G48" s="1411">
        <f>T48</f>
        <v>57813</v>
      </c>
      <c r="H48" s="1412"/>
      <c r="I48" s="1413">
        <f>V48</f>
        <v>53519</v>
      </c>
      <c r="J48" s="1412"/>
      <c r="K48" s="2618"/>
      <c r="L48" s="1141"/>
      <c r="M48" s="1142"/>
      <c r="N48" s="1142"/>
      <c r="O48" s="1142"/>
      <c r="P48" s="3253" t="str">
        <f>A48</f>
        <v>比较价值（元/平方米）</v>
      </c>
      <c r="Q48" s="3253"/>
      <c r="R48" s="3254">
        <f>IF(F1="售价",ROUND(PRODUCT(R47,AA7:AA46),0),ROUND(PRODUCT(R47,AA7:AA46),1))</f>
        <v>51450</v>
      </c>
      <c r="S48" s="3254"/>
      <c r="T48" s="3254">
        <f>IF(F1="售价",ROUND(PRODUCT(T47,AB7:AB46),0),ROUND(PRODUCT(T47,AB7:AB46),1))</f>
        <v>57813</v>
      </c>
      <c r="U48" s="3254"/>
      <c r="V48" s="3254">
        <f>IF(F1="售价",ROUND(PRODUCT(V47,AC7:AC46),0),ROUND(PRODUCT(V47,AC7:AC46),1))</f>
        <v>53519</v>
      </c>
      <c r="W48" s="3254"/>
      <c r="X48" s="757"/>
      <c r="Y48" s="757"/>
      <c r="Z48" s="757"/>
      <c r="AA48" s="757"/>
      <c r="AB48" s="757"/>
      <c r="AC48" s="757"/>
    </row>
    <row r="49" spans="1:29" ht="15.75" thickBot="1">
      <c r="A49" s="491" t="s">
        <v>2579</v>
      </c>
      <c r="B49" s="492"/>
      <c r="C49" s="1414">
        <f>R49</f>
        <v>54261</v>
      </c>
      <c r="D49" s="1415"/>
      <c r="E49" s="1415"/>
      <c r="F49" s="1415"/>
      <c r="G49" s="1415"/>
      <c r="H49" s="1415"/>
      <c r="I49" s="1415"/>
      <c r="J49" s="1415"/>
      <c r="K49" s="2619"/>
      <c r="L49" s="1141"/>
      <c r="M49" s="1142"/>
      <c r="N49" s="1142"/>
      <c r="O49" s="1142"/>
      <c r="P49" s="3250" t="str">
        <f>A49</f>
        <v>估价对象XX用房的比较价值（楼面单价，元/平方米）</v>
      </c>
      <c r="Q49" s="3251"/>
      <c r="R49" s="3252">
        <f>IF(F1="售价",ROUND(AVERAGE(R48:V48),0),ROUND(AVERAGE(R48:V48),1))</f>
        <v>54261</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2581</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2582</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3"/>
    </row>
    <row r="58" spans="1:29" s="507" customFormat="1" ht="15">
      <c r="A58" s="504" t="s">
        <v>2584</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2586</v>
      </c>
      <c r="B61" s="509"/>
      <c r="C61" s="521" t="s">
        <v>2587</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2604</v>
      </c>
      <c r="D82" s="538" t="s">
        <v>2605</v>
      </c>
      <c r="E82" s="538" t="s">
        <v>2606</v>
      </c>
      <c r="F82" s="538" t="s">
        <v>2607</v>
      </c>
      <c r="G82" s="538" t="s">
        <v>2608</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2611</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2563</v>
      </c>
      <c r="B100" s="527" t="s">
        <v>2612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2613</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2614</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2615</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2616</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2619</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2620</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O27" sqref="O2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2642</v>
      </c>
      <c r="C1" s="1632" t="s">
        <v>2530</v>
      </c>
      <c r="D1" s="1619"/>
      <c r="E1" s="2653"/>
      <c r="F1" s="2581" t="s">
        <v>3219</v>
      </c>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2327</v>
      </c>
      <c r="B2" s="1416">
        <f>IF(C2="——",ROUND(C49*D3/10000,0),ROUND(C49*D3/10000,0)-D2)</f>
        <v>126607</v>
      </c>
      <c r="C2" s="2583" t="s">
        <v>70</v>
      </c>
      <c r="D2" s="1363" t="e">
        <f ca="1">SUMIF(INDIRECT("'"&amp;F2&amp;"'"&amp;"!A:A"),"承租人权益价值",INDIRECT("'"&amp;F2&amp;"'"&amp;"!c:c"))</f>
        <v>#REF!</v>
      </c>
      <c r="E2" s="2584" t="s">
        <v>2328</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f>IF(C2="——",C49,ROUND(B2*10000/D3,0))</f>
        <v>57724</v>
      </c>
      <c r="C3" s="399" t="s">
        <v>2644</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48" t="s">
        <v>2648</v>
      </c>
      <c r="AC4" s="3218" t="s">
        <v>2649</v>
      </c>
    </row>
    <row r="5" spans="1:29" ht="15">
      <c r="A5" s="403"/>
      <c r="B5" s="404"/>
      <c r="C5" s="3229" t="s">
        <v>3210</v>
      </c>
      <c r="D5" s="3230"/>
      <c r="E5" s="3227" t="s">
        <v>3191</v>
      </c>
      <c r="F5" s="3228"/>
      <c r="G5" s="3229" t="s">
        <v>3194</v>
      </c>
      <c r="H5" s="3230"/>
      <c r="I5" s="3229" t="s">
        <v>3196</v>
      </c>
      <c r="J5" s="3230"/>
      <c r="K5" s="609"/>
      <c r="L5" s="1128"/>
      <c r="M5" s="1129"/>
      <c r="N5" s="1129"/>
      <c r="O5" s="1129"/>
      <c r="P5" s="3242"/>
      <c r="Q5" s="3243"/>
      <c r="R5" s="3225"/>
      <c r="S5" s="3226"/>
      <c r="T5" s="3225"/>
      <c r="U5" s="3226"/>
      <c r="V5" s="3248"/>
      <c r="W5" s="3248"/>
      <c r="X5" s="1811"/>
      <c r="Y5" s="3225"/>
      <c r="Z5" s="3226"/>
      <c r="AA5" s="3219"/>
      <c r="AB5" s="3248"/>
      <c r="AC5" s="3219"/>
    </row>
    <row r="6" spans="1:29" ht="15.75" thickBot="1">
      <c r="A6" s="405"/>
      <c r="B6" s="406"/>
      <c r="C6" s="3231" t="s">
        <v>3211</v>
      </c>
      <c r="D6" s="3232"/>
      <c r="E6" s="3233" t="s">
        <v>3243</v>
      </c>
      <c r="F6" s="3234"/>
      <c r="G6" s="3231" t="s">
        <v>3193</v>
      </c>
      <c r="H6" s="3232"/>
      <c r="I6" s="3231" t="s">
        <v>3195</v>
      </c>
      <c r="J6" s="3232"/>
      <c r="K6" s="609" t="s">
        <v>2547</v>
      </c>
      <c r="L6" s="1128"/>
      <c r="M6" s="1129"/>
      <c r="N6" s="1129"/>
      <c r="O6" s="1129"/>
      <c r="P6" s="3244"/>
      <c r="Q6" s="3245"/>
      <c r="R6" s="3225"/>
      <c r="S6" s="3226"/>
      <c r="T6" s="3246"/>
      <c r="U6" s="3247"/>
      <c r="V6" s="3248"/>
      <c r="W6" s="3248"/>
      <c r="X6" s="1811"/>
      <c r="Y6" s="3246"/>
      <c r="Z6" s="3247"/>
      <c r="AA6" s="3220"/>
      <c r="AB6" s="3248"/>
      <c r="AC6" s="3220"/>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21" t="s">
        <v>2549</v>
      </c>
      <c r="Q7" s="3249"/>
      <c r="R7" s="768" t="s">
        <v>17</v>
      </c>
      <c r="S7" s="769">
        <f t="shared" ref="S7:S15" si="0">F7</f>
        <v>100</v>
      </c>
      <c r="T7" s="768" t="s">
        <v>17</v>
      </c>
      <c r="U7" s="769">
        <f t="shared" ref="U7:U15" si="1">H7</f>
        <v>100</v>
      </c>
      <c r="V7" s="768" t="s">
        <v>17</v>
      </c>
      <c r="W7" s="769">
        <f t="shared" ref="W7:W15" si="2">J7</f>
        <v>100</v>
      </c>
      <c r="X7" s="770"/>
      <c r="Y7" s="3221" t="s">
        <v>2549</v>
      </c>
      <c r="Z7" s="3222"/>
      <c r="AA7" s="771">
        <f>D7/F7</f>
        <v>1</v>
      </c>
      <c r="AB7" s="771">
        <f>D7/H7</f>
        <v>1</v>
      </c>
      <c r="AC7" s="771">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21" t="s">
        <v>2552</v>
      </c>
      <c r="Q8" s="3222"/>
      <c r="R8" s="768" t="s">
        <v>17</v>
      </c>
      <c r="S8" s="769">
        <f t="shared" si="0"/>
        <v>100</v>
      </c>
      <c r="T8" s="768" t="s">
        <v>17</v>
      </c>
      <c r="U8" s="769">
        <f t="shared" si="1"/>
        <v>100</v>
      </c>
      <c r="V8" s="768" t="s">
        <v>17</v>
      </c>
      <c r="W8" s="769">
        <f t="shared" si="2"/>
        <v>100</v>
      </c>
      <c r="X8" s="770"/>
      <c r="Y8" s="3221" t="s">
        <v>2552</v>
      </c>
      <c r="Z8" s="3222"/>
      <c r="AA8" s="771">
        <f t="shared" ref="AA8:AA46" si="3">D8/F8</f>
        <v>1</v>
      </c>
      <c r="AB8" s="771">
        <f t="shared" ref="AB8:AB46" si="4">D8/H8</f>
        <v>1</v>
      </c>
      <c r="AC8" s="771">
        <f t="shared" ref="AC8:AC46" si="5">D8/J8</f>
        <v>1</v>
      </c>
    </row>
    <row r="9" spans="1:29" s="116" customFormat="1">
      <c r="A9" s="414" t="s">
        <v>2553</v>
      </c>
      <c r="B9" s="70" t="s">
        <v>2554</v>
      </c>
      <c r="C9" s="2982" t="s">
        <v>3218</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t="s">
        <v>3220</v>
      </c>
      <c r="D10" s="135">
        <v>100</v>
      </c>
      <c r="E10" s="422" t="s">
        <v>3220</v>
      </c>
      <c r="F10" s="424">
        <f>SUMIF(65:65,E10,66:66)-SUMIF(65:65,C10,66:66)+100</f>
        <v>100</v>
      </c>
      <c r="G10" s="422" t="s">
        <v>3220</v>
      </c>
      <c r="H10" s="135">
        <f>SUMIF(65:65,G10,66:66)-SUMIF(65:65,C10,66:66)+100</f>
        <v>100</v>
      </c>
      <c r="I10" s="422" t="s">
        <v>3220</v>
      </c>
      <c r="J10" s="135">
        <f>SUMIF(65:65,I10,66:66)-SUMIF(65:65,C10,66:66)+100</f>
        <v>100</v>
      </c>
      <c r="K10" s="611"/>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35"/>
      <c r="Q11" s="1793" t="str">
        <f t="shared" si="6"/>
        <v>容积率</v>
      </c>
      <c r="R11" s="768" t="s">
        <v>17</v>
      </c>
      <c r="S11" s="769">
        <f t="shared" si="0"/>
        <v>100</v>
      </c>
      <c r="T11" s="768" t="s">
        <v>17</v>
      </c>
      <c r="U11" s="769">
        <f t="shared" si="1"/>
        <v>100</v>
      </c>
      <c r="V11" s="768" t="s">
        <v>17</v>
      </c>
      <c r="W11" s="769">
        <f t="shared" si="2"/>
        <v>100</v>
      </c>
      <c r="X11" s="770"/>
      <c r="Y11" s="3095"/>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71.25">
      <c r="A15" s="439" t="s">
        <v>2559</v>
      </c>
      <c r="B15" s="68" t="s">
        <v>2653</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2" t="s">
        <v>2560</v>
      </c>
      <c r="Q15" s="1808" t="str">
        <f t="shared" si="6"/>
        <v>商业繁华度</v>
      </c>
      <c r="R15" s="772" t="s">
        <v>17</v>
      </c>
      <c r="S15" s="773">
        <f t="shared" si="0"/>
        <v>100</v>
      </c>
      <c r="T15" s="772" t="s">
        <v>17</v>
      </c>
      <c r="U15" s="773">
        <f t="shared" si="1"/>
        <v>100</v>
      </c>
      <c r="V15" s="772" t="s">
        <v>17</v>
      </c>
      <c r="W15" s="773">
        <f t="shared" si="2"/>
        <v>100</v>
      </c>
      <c r="X15" s="1811"/>
      <c r="Y15" s="3255" t="s">
        <v>2560</v>
      </c>
      <c r="Z15" s="1812" t="str">
        <f t="shared" si="7"/>
        <v>商业繁华度</v>
      </c>
      <c r="AA15" s="1809">
        <f t="shared" si="3"/>
        <v>1</v>
      </c>
      <c r="AB15" s="1809">
        <f t="shared" si="4"/>
        <v>1</v>
      </c>
      <c r="AC15" s="1809">
        <f t="shared" si="5"/>
        <v>1</v>
      </c>
    </row>
    <row r="16" spans="1:29" ht="15">
      <c r="A16" s="427"/>
      <c r="B16" s="445"/>
      <c r="C16" s="446" t="s">
        <v>3221</v>
      </c>
      <c r="D16" s="447"/>
      <c r="E16" s="446" t="s">
        <v>3221</v>
      </c>
      <c r="F16" s="448"/>
      <c r="G16" s="446" t="s">
        <v>3221</v>
      </c>
      <c r="H16" s="449"/>
      <c r="I16" s="446" t="s">
        <v>3221</v>
      </c>
      <c r="J16" s="447"/>
      <c r="K16" s="614"/>
      <c r="L16" s="1138"/>
      <c r="M16" s="1129"/>
      <c r="N16" s="1129"/>
      <c r="O16" s="1129"/>
      <c r="P16" s="3263"/>
      <c r="Q16" s="1808"/>
      <c r="R16" s="772"/>
      <c r="S16" s="773"/>
      <c r="T16" s="772"/>
      <c r="U16" s="773"/>
      <c r="V16" s="772"/>
      <c r="W16" s="773"/>
      <c r="X16" s="1811"/>
      <c r="Y16" s="3256"/>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455"/>
      <c r="C18" s="2604" t="s">
        <v>3221</v>
      </c>
      <c r="D18" s="449"/>
      <c r="E18" s="2604" t="s">
        <v>3221</v>
      </c>
      <c r="F18" s="452"/>
      <c r="G18" s="2604" t="s">
        <v>3221</v>
      </c>
      <c r="H18" s="447"/>
      <c r="I18" s="2604" t="s">
        <v>3221</v>
      </c>
      <c r="J18" s="447"/>
      <c r="K18" s="614"/>
      <c r="L18" s="1138"/>
      <c r="M18" s="1129"/>
      <c r="N18" s="1129"/>
      <c r="O18" s="1129"/>
      <c r="P18" s="3263"/>
      <c r="Q18" s="1808"/>
      <c r="R18" s="772"/>
      <c r="S18" s="773"/>
      <c r="T18" s="772"/>
      <c r="U18" s="773"/>
      <c r="V18" s="772"/>
      <c r="W18" s="773"/>
      <c r="X18" s="1811"/>
      <c r="Y18" s="3256"/>
      <c r="Z18" s="1812"/>
      <c r="AA18" s="1809">
        <v>1</v>
      </c>
      <c r="AB18" s="1809">
        <v>1</v>
      </c>
      <c r="AC18" s="1809">
        <v>1</v>
      </c>
    </row>
    <row r="19" spans="1:29" ht="228">
      <c r="A19" s="427"/>
      <c r="B19" s="450" t="s">
        <v>2654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7"/>
      <c r="B20" s="455"/>
      <c r="C20" s="446" t="s">
        <v>3221</v>
      </c>
      <c r="D20" s="447"/>
      <c r="E20" s="446" t="s">
        <v>3221</v>
      </c>
      <c r="F20" s="448"/>
      <c r="G20" s="446" t="s">
        <v>3221</v>
      </c>
      <c r="H20" s="447"/>
      <c r="I20" s="446" t="s">
        <v>3221</v>
      </c>
      <c r="J20" s="447"/>
      <c r="K20" s="614"/>
      <c r="L20" s="1138"/>
      <c r="M20" s="1129"/>
      <c r="N20" s="1129"/>
      <c r="O20" s="1129"/>
      <c r="P20" s="3263"/>
      <c r="Q20" s="1808"/>
      <c r="R20" s="772"/>
      <c r="S20" s="773"/>
      <c r="T20" s="772"/>
      <c r="U20" s="773"/>
      <c r="V20" s="772"/>
      <c r="W20" s="773"/>
      <c r="X20" s="1811"/>
      <c r="Y20" s="3256"/>
      <c r="Z20" s="1812"/>
      <c r="AA20" s="1809">
        <v>1</v>
      </c>
      <c r="AB20" s="1809">
        <v>1</v>
      </c>
      <c r="AC20" s="1809">
        <v>1</v>
      </c>
    </row>
    <row r="21" spans="1:29" ht="42.75">
      <c r="A21" s="427"/>
      <c r="B21" s="1382" t="s">
        <v>2655</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t="s">
        <v>3223</v>
      </c>
      <c r="D22" s="447"/>
      <c r="E22" s="2604" t="s">
        <v>3223</v>
      </c>
      <c r="F22" s="448"/>
      <c r="G22" s="2604" t="s">
        <v>3223</v>
      </c>
      <c r="H22" s="447"/>
      <c r="I22" s="2604" t="s">
        <v>3223</v>
      </c>
      <c r="J22" s="447"/>
      <c r="K22" s="1381"/>
      <c r="L22" s="1138"/>
      <c r="M22" s="1129"/>
      <c r="N22" s="1129"/>
      <c r="O22" s="1129"/>
      <c r="P22" s="3263"/>
      <c r="Q22" s="1808"/>
      <c r="R22" s="772"/>
      <c r="S22" s="773"/>
      <c r="T22" s="772"/>
      <c r="U22" s="773"/>
      <c r="V22" s="772"/>
      <c r="W22" s="773"/>
      <c r="X22" s="1811"/>
      <c r="Y22" s="3256"/>
      <c r="Z22" s="1812"/>
      <c r="AA22" s="1809">
        <v>1</v>
      </c>
      <c r="AB22" s="1809">
        <v>1</v>
      </c>
      <c r="AC22" s="1809">
        <v>1</v>
      </c>
    </row>
    <row r="23" spans="1:29" ht="99.75">
      <c r="A23" s="427"/>
      <c r="B23" s="450" t="s">
        <v>2102</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3"/>
      <c r="Q23" s="1808" t="str">
        <f>B23</f>
        <v>自然及人文环境</v>
      </c>
      <c r="R23" s="772" t="s">
        <v>17</v>
      </c>
      <c r="S23" s="773">
        <f>F23</f>
        <v>100</v>
      </c>
      <c r="T23" s="772" t="s">
        <v>17</v>
      </c>
      <c r="U23" s="773">
        <f>H23</f>
        <v>100</v>
      </c>
      <c r="V23" s="772" t="s">
        <v>17</v>
      </c>
      <c r="W23" s="773">
        <f>J23</f>
        <v>100</v>
      </c>
      <c r="X23" s="1811"/>
      <c r="Y23" s="3256"/>
      <c r="Z23" s="1812" t="str">
        <f>Q23</f>
        <v>自然及人文环境</v>
      </c>
      <c r="AA23" s="1809">
        <f t="shared" si="3"/>
        <v>1</v>
      </c>
      <c r="AB23" s="1809">
        <f t="shared" si="4"/>
        <v>1</v>
      </c>
      <c r="AC23" s="1809">
        <f t="shared" si="5"/>
        <v>1</v>
      </c>
    </row>
    <row r="24" spans="1:29" ht="15">
      <c r="A24" s="427"/>
      <c r="B24" s="455"/>
      <c r="C24" s="446" t="s">
        <v>3222</v>
      </c>
      <c r="D24" s="447"/>
      <c r="E24" s="446" t="s">
        <v>3222</v>
      </c>
      <c r="F24" s="448"/>
      <c r="G24" s="446" t="s">
        <v>3222</v>
      </c>
      <c r="H24" s="447"/>
      <c r="I24" s="446" t="s">
        <v>3222</v>
      </c>
      <c r="J24" s="447"/>
      <c r="K24" s="614"/>
      <c r="L24" s="1138"/>
      <c r="M24" s="1129"/>
      <c r="N24" s="1129"/>
      <c r="O24" s="1129"/>
      <c r="P24" s="3263"/>
      <c r="Q24" s="1808"/>
      <c r="R24" s="772"/>
      <c r="S24" s="773"/>
      <c r="T24" s="772"/>
      <c r="U24" s="773"/>
      <c r="V24" s="772"/>
      <c r="W24" s="773"/>
      <c r="X24" s="1811"/>
      <c r="Y24" s="3256"/>
      <c r="Z24" s="1812"/>
      <c r="AA24" s="1809">
        <v>1</v>
      </c>
      <c r="AB24" s="1809">
        <v>1</v>
      </c>
      <c r="AC24" s="1809">
        <v>1</v>
      </c>
    </row>
    <row r="25" spans="1:29" ht="15.75" thickBot="1">
      <c r="A25" s="427"/>
      <c r="B25" s="2996" t="s">
        <v>2656</v>
      </c>
      <c r="C25" s="615" t="s">
        <v>3266</v>
      </c>
      <c r="D25" s="434">
        <v>100</v>
      </c>
      <c r="E25" s="615" t="s">
        <v>3266</v>
      </c>
      <c r="F25" s="460">
        <f>SUMIF(86:86,E25,87:87)-SUMIF(86:86,C25,87:87)+100</f>
        <v>100</v>
      </c>
      <c r="G25" s="615" t="s">
        <v>3266</v>
      </c>
      <c r="H25" s="434">
        <f>SUMIF(86:86,G25,87:87)-SUMIF(86:86,C25,87:87)+100</f>
        <v>100</v>
      </c>
      <c r="I25" s="615" t="s">
        <v>3266</v>
      </c>
      <c r="J25" s="434">
        <f>SUMIF(86:86,I25,87:87)-SUMIF(86:86,C25,87:87)+100</f>
        <v>100</v>
      </c>
      <c r="K25" s="611"/>
      <c r="L25" s="1138"/>
      <c r="M25" s="1129"/>
      <c r="N25" s="1129"/>
      <c r="O25" s="1129"/>
      <c r="P25" s="3263"/>
      <c r="Q25" s="1808" t="str">
        <f t="shared" ref="Q25:Q46" si="11">B25</f>
        <v>临街状况</v>
      </c>
      <c r="R25" s="772" t="s">
        <v>17</v>
      </c>
      <c r="S25" s="773">
        <f>F25</f>
        <v>100</v>
      </c>
      <c r="T25" s="772" t="s">
        <v>17</v>
      </c>
      <c r="U25" s="773">
        <f>H25</f>
        <v>100</v>
      </c>
      <c r="V25" s="772" t="s">
        <v>17</v>
      </c>
      <c r="W25" s="773">
        <f>J25</f>
        <v>100</v>
      </c>
      <c r="X25" s="1811"/>
      <c r="Y25" s="3256"/>
      <c r="Z25" s="1812" t="str">
        <f>Q25</f>
        <v>临街状况</v>
      </c>
      <c r="AA25" s="1809">
        <f t="shared" si="3"/>
        <v>1</v>
      </c>
      <c r="AB25" s="1809">
        <f t="shared" si="4"/>
        <v>1</v>
      </c>
      <c r="AC25" s="1809">
        <f t="shared" si="5"/>
        <v>1</v>
      </c>
    </row>
    <row r="26" spans="1:29" ht="15.75" thickTop="1">
      <c r="A26" s="427"/>
      <c r="B26" s="2997" t="s">
        <v>2657</v>
      </c>
      <c r="C26" s="2992" t="s">
        <v>3272</v>
      </c>
      <c r="D26" s="434">
        <v>100</v>
      </c>
      <c r="E26" s="2992" t="s">
        <v>3272</v>
      </c>
      <c r="F26" s="460">
        <f>SUMIF(88:88,E26,89:89)-SUMIF(88:88,C26,89:89)+100</f>
        <v>100</v>
      </c>
      <c r="G26" s="2992" t="s">
        <v>3272</v>
      </c>
      <c r="H26" s="434">
        <f>SUMIF(88:88,G26,89:89)-SUMIF(88:88,C26,89:89)+100</f>
        <v>100</v>
      </c>
      <c r="I26" s="2992" t="s">
        <v>3272</v>
      </c>
      <c r="J26" s="434">
        <f>SUMIF(88:88,I26,89:89)-SUMIF(88:88,C26,89:89)+100</f>
        <v>100</v>
      </c>
      <c r="K26" s="612"/>
      <c r="L26" s="1138"/>
      <c r="M26" s="1129"/>
      <c r="N26" s="1129"/>
      <c r="O26" s="1129"/>
      <c r="P26" s="3263"/>
      <c r="Q26" s="1808" t="str">
        <f t="shared" si="11"/>
        <v>平面位置/可视性</v>
      </c>
      <c r="R26" s="772" t="s">
        <v>17</v>
      </c>
      <c r="S26" s="773">
        <f>F26</f>
        <v>100</v>
      </c>
      <c r="T26" s="772" t="s">
        <v>17</v>
      </c>
      <c r="U26" s="773">
        <f>H26</f>
        <v>100</v>
      </c>
      <c r="V26" s="772" t="s">
        <v>17</v>
      </c>
      <c r="W26" s="773">
        <f>J26</f>
        <v>100</v>
      </c>
      <c r="X26" s="1811"/>
      <c r="Y26" s="3256"/>
      <c r="Z26" s="1812" t="str">
        <f>Q26</f>
        <v>平面位置/可视性</v>
      </c>
      <c r="AA26" s="1809">
        <f t="shared" si="3"/>
        <v>1</v>
      </c>
      <c r="AB26" s="1809">
        <f t="shared" si="4"/>
        <v>1</v>
      </c>
      <c r="AC26" s="1809">
        <f t="shared" si="5"/>
        <v>1</v>
      </c>
    </row>
    <row r="27" spans="1:29" s="116" customFormat="1" ht="15">
      <c r="A27" s="430"/>
      <c r="B27" s="2998" t="s">
        <v>2658</v>
      </c>
      <c r="C27" s="2661" t="s">
        <v>3258</v>
      </c>
      <c r="D27" s="461">
        <v>100</v>
      </c>
      <c r="E27" s="2661" t="s">
        <v>3258</v>
      </c>
      <c r="F27" s="463">
        <f>SUMIF(90:90,E27,91:91)-SUMIF(90:90,C27,91:91)+100</f>
        <v>100</v>
      </c>
      <c r="G27" s="2661" t="s">
        <v>3258</v>
      </c>
      <c r="H27" s="461">
        <f>SUMIF(90:90,G27,91:91)-SUMIF(90:90,C27,91:91)+100</f>
        <v>100</v>
      </c>
      <c r="I27" s="2661" t="s">
        <v>3258</v>
      </c>
      <c r="J27" s="461">
        <f>SUMIF(90:90,I27,91:91)-SUMIF(90:90,C27,91:91)+100</f>
        <v>100</v>
      </c>
      <c r="K27" s="611"/>
      <c r="L27" s="1130"/>
      <c r="M27" s="1131"/>
      <c r="N27" s="1131"/>
      <c r="O27" s="1131"/>
      <c r="P27" s="3263"/>
      <c r="Q27" s="1793" t="str">
        <f t="shared" si="11"/>
        <v>人流量</v>
      </c>
      <c r="R27" s="768" t="s">
        <v>17</v>
      </c>
      <c r="S27" s="769">
        <f>F27</f>
        <v>100</v>
      </c>
      <c r="T27" s="768" t="s">
        <v>17</v>
      </c>
      <c r="U27" s="769">
        <f>H27</f>
        <v>100</v>
      </c>
      <c r="V27" s="768" t="s">
        <v>17</v>
      </c>
      <c r="W27" s="769">
        <f>J27</f>
        <v>100</v>
      </c>
      <c r="X27" s="770"/>
      <c r="Y27" s="3256"/>
      <c r="Z27" s="55" t="str">
        <f>Q27</f>
        <v>人流量</v>
      </c>
      <c r="AA27" s="1809">
        <f>D27/F27</f>
        <v>1</v>
      </c>
      <c r="AB27" s="1809">
        <f>D27/H27</f>
        <v>1</v>
      </c>
      <c r="AC27" s="1809">
        <f>D27/J27</f>
        <v>1</v>
      </c>
    </row>
    <row r="28" spans="1:29" ht="15.75" thickBot="1">
      <c r="A28" s="427"/>
      <c r="B28" s="2996" t="s">
        <v>2659</v>
      </c>
      <c r="C28" s="615" t="s">
        <v>3203</v>
      </c>
      <c r="D28" s="434">
        <v>100</v>
      </c>
      <c r="E28" s="615" t="s">
        <v>3203</v>
      </c>
      <c r="F28" s="460">
        <f>SUMIF(92:92,E28,93:93)-SUMIF(92:92,C28,93:93)+100</f>
        <v>100</v>
      </c>
      <c r="G28" s="615" t="s">
        <v>3203</v>
      </c>
      <c r="H28" s="434">
        <f>SUMIF(92:92,G28,93:93)-SUMIF(92:92,C28,93:93)+100</f>
        <v>100</v>
      </c>
      <c r="I28" s="615" t="s">
        <v>3203</v>
      </c>
      <c r="J28" s="434">
        <f>SUMIF(92:92,I28,93:93)-SUMIF(92:92,C28,93:93)+100</f>
        <v>100</v>
      </c>
      <c r="K28" s="612"/>
      <c r="L28" s="1138"/>
      <c r="M28" s="1129"/>
      <c r="N28" s="1129"/>
      <c r="O28" s="1129"/>
      <c r="P28" s="326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6"/>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3"/>
      <c r="Q29" s="1808">
        <f t="shared" si="11"/>
        <v>111</v>
      </c>
      <c r="R29" s="772" t="s">
        <v>17</v>
      </c>
      <c r="S29" s="773">
        <f t="shared" si="12"/>
        <v>100</v>
      </c>
      <c r="T29" s="772" t="s">
        <v>17</v>
      </c>
      <c r="U29" s="773">
        <f t="shared" si="13"/>
        <v>100</v>
      </c>
      <c r="V29" s="772" t="s">
        <v>17</v>
      </c>
      <c r="W29" s="773">
        <f t="shared" si="14"/>
        <v>100</v>
      </c>
      <c r="X29" s="1811"/>
      <c r="Y29" s="3256"/>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1809">
        <f t="shared" si="5"/>
        <v>1</v>
      </c>
    </row>
    <row r="32" spans="1:29" ht="15">
      <c r="A32" s="439" t="s">
        <v>2563</v>
      </c>
      <c r="B32" s="70" t="s">
        <v>2660</v>
      </c>
      <c r="C32" s="2613" t="s">
        <v>3273</v>
      </c>
      <c r="D32" s="466">
        <v>100</v>
      </c>
      <c r="E32" s="2613" t="s">
        <v>3224</v>
      </c>
      <c r="F32" s="460">
        <f>SUMIF(100:100,E32,101:101)-SUMIF(100:100,C32,101:101)+100</f>
        <v>94</v>
      </c>
      <c r="G32" s="2613" t="s">
        <v>3224</v>
      </c>
      <c r="H32" s="434">
        <f>SUMIF(100:100,G32,101:101)-SUMIF(100:100,C32,101:101)+100</f>
        <v>94</v>
      </c>
      <c r="I32" s="2613" t="s">
        <v>3224</v>
      </c>
      <c r="J32" s="466">
        <f>SUMIF(100:100,I32,101:101)-SUMIF(100:100,C32,101:101)+100</f>
        <v>94</v>
      </c>
      <c r="K32" s="611">
        <v>3</v>
      </c>
      <c r="L32" s="1138"/>
      <c r="M32" s="1129"/>
      <c r="N32" s="1129"/>
      <c r="O32" s="1129"/>
      <c r="P32" s="3257" t="s">
        <v>2565</v>
      </c>
      <c r="Q32" s="1808" t="str">
        <f t="shared" si="11"/>
        <v>商业类型</v>
      </c>
      <c r="R32" s="772" t="s">
        <v>17</v>
      </c>
      <c r="S32" s="773">
        <f t="shared" si="12"/>
        <v>94</v>
      </c>
      <c r="T32" s="772" t="s">
        <v>17</v>
      </c>
      <c r="U32" s="773">
        <f t="shared" si="13"/>
        <v>94</v>
      </c>
      <c r="V32" s="772" t="s">
        <v>17</v>
      </c>
      <c r="W32" s="773">
        <f t="shared" si="14"/>
        <v>94</v>
      </c>
      <c r="X32" s="1811"/>
      <c r="Y32" s="3260" t="s">
        <v>2565</v>
      </c>
      <c r="Z32" s="1812" t="str">
        <f t="shared" si="15"/>
        <v>商业类型</v>
      </c>
      <c r="AA32" s="1809">
        <f t="shared" si="3"/>
        <v>1.0638297872340425</v>
      </c>
      <c r="AB32" s="1809">
        <f t="shared" si="4"/>
        <v>1.0638297872340425</v>
      </c>
      <c r="AC32" s="1809">
        <f t="shared" si="5"/>
        <v>1.0638297872340425</v>
      </c>
    </row>
    <row r="33" spans="1:29" s="470" customFormat="1" ht="15">
      <c r="A33" s="467"/>
      <c r="B33" s="421" t="s">
        <v>2566</v>
      </c>
      <c r="C33" s="468">
        <v>117.66</v>
      </c>
      <c r="D33" s="135">
        <v>100</v>
      </c>
      <c r="E33" s="429">
        <v>56</v>
      </c>
      <c r="F33" s="424">
        <f>LOOKUP(E33,103:103,104:104)-LOOKUP(C33,103:103,104:104)+100</f>
        <v>101</v>
      </c>
      <c r="G33" s="428">
        <v>95.22</v>
      </c>
      <c r="H33" s="135">
        <f>LOOKUP(G33,103:103,104:104)-LOOKUP(C33,103:103,104:104)+100</f>
        <v>101</v>
      </c>
      <c r="I33" s="428">
        <v>74</v>
      </c>
      <c r="J33" s="135">
        <f>LOOKUP(I33,103:103,104:104)-LOOKUP(C33,103:103,104:104)+100</f>
        <v>101</v>
      </c>
      <c r="K33" s="612"/>
      <c r="L33" s="1136"/>
      <c r="M33" s="1139"/>
      <c r="N33" s="1139"/>
      <c r="O33" s="1139"/>
      <c r="P33" s="3258"/>
      <c r="Q33" s="774" t="str">
        <f t="shared" si="11"/>
        <v>项目建筑规模</v>
      </c>
      <c r="R33" s="775" t="s">
        <v>17</v>
      </c>
      <c r="S33" s="776">
        <f t="shared" si="12"/>
        <v>101</v>
      </c>
      <c r="T33" s="775" t="s">
        <v>17</v>
      </c>
      <c r="U33" s="776">
        <f t="shared" si="13"/>
        <v>101</v>
      </c>
      <c r="V33" s="775" t="s">
        <v>17</v>
      </c>
      <c r="W33" s="776">
        <f t="shared" si="14"/>
        <v>101</v>
      </c>
      <c r="X33" s="777"/>
      <c r="Y33" s="3260"/>
      <c r="Z33" s="778" t="str">
        <f t="shared" si="15"/>
        <v>项目建筑规模</v>
      </c>
      <c r="AA33" s="1809">
        <f t="shared" si="3"/>
        <v>0.99009900990099009</v>
      </c>
      <c r="AB33" s="1809">
        <f t="shared" si="4"/>
        <v>0.99009900990099009</v>
      </c>
      <c r="AC33" s="1809">
        <f t="shared" si="5"/>
        <v>0.99009900990099009</v>
      </c>
    </row>
    <row r="34" spans="1:29" ht="15">
      <c r="A34" s="471"/>
      <c r="B34" s="421" t="s">
        <v>2567</v>
      </c>
      <c r="C34" s="2615" t="s">
        <v>3186</v>
      </c>
      <c r="D34" s="434">
        <v>100</v>
      </c>
      <c r="E34" s="2615" t="s">
        <v>3186</v>
      </c>
      <c r="F34" s="460">
        <f>SUMIF(105:105,E34,106:106)-SUMIF(105:105,C34,106:106)+100</f>
        <v>100</v>
      </c>
      <c r="G34" s="2615" t="s">
        <v>3186</v>
      </c>
      <c r="H34" s="434">
        <f>SUMIF(105:105,G34,106:106)-SUMIF(105:105,C34,106:106)+100</f>
        <v>100</v>
      </c>
      <c r="I34" s="2615" t="s">
        <v>3186</v>
      </c>
      <c r="J34" s="434">
        <f>SUMIF(105:105,I34,106:106)-SUMIF(105:105,C34,106:106)+100</f>
        <v>100</v>
      </c>
      <c r="K34" s="611"/>
      <c r="L34" s="1138"/>
      <c r="M34" s="1129"/>
      <c r="N34" s="1129"/>
      <c r="O34" s="1129"/>
      <c r="P34" s="3258"/>
      <c r="Q34" s="1808" t="str">
        <f t="shared" si="11"/>
        <v>建筑结构</v>
      </c>
      <c r="R34" s="772" t="s">
        <v>17</v>
      </c>
      <c r="S34" s="773">
        <f t="shared" si="12"/>
        <v>100</v>
      </c>
      <c r="T34" s="772" t="s">
        <v>17</v>
      </c>
      <c r="U34" s="773">
        <f t="shared" si="13"/>
        <v>100</v>
      </c>
      <c r="V34" s="772" t="s">
        <v>17</v>
      </c>
      <c r="W34" s="773">
        <f t="shared" si="14"/>
        <v>100</v>
      </c>
      <c r="X34" s="1811"/>
      <c r="Y34" s="3260"/>
      <c r="Z34" s="1812" t="str">
        <f t="shared" si="15"/>
        <v>建筑结构</v>
      </c>
      <c r="AA34" s="1809">
        <f t="shared" si="3"/>
        <v>1</v>
      </c>
      <c r="AB34" s="1809">
        <f t="shared" si="4"/>
        <v>1</v>
      </c>
      <c r="AC34" s="1809">
        <f t="shared" si="5"/>
        <v>1</v>
      </c>
    </row>
    <row r="35" spans="1:29" ht="15">
      <c r="A35" s="471"/>
      <c r="B35" s="421" t="s">
        <v>2661</v>
      </c>
      <c r="C35" s="2609" t="s">
        <v>3226</v>
      </c>
      <c r="D35" s="434">
        <v>100</v>
      </c>
      <c r="E35" s="2609" t="s">
        <v>3226</v>
      </c>
      <c r="F35" s="460">
        <f>SUMIF(107:107,E35,108:108)-SUMIF(107:107,C35,108:108)+100</f>
        <v>100</v>
      </c>
      <c r="G35" s="2609" t="s">
        <v>3226</v>
      </c>
      <c r="H35" s="434">
        <f>SUMIF(107:107,G35,108:108)-SUMIF(107:107,C35,108:108)+100</f>
        <v>100</v>
      </c>
      <c r="I35" s="2609" t="s">
        <v>3226</v>
      </c>
      <c r="J35" s="434">
        <f>SUMIF(107:107,I35,108:108)-SUMIF(107:107,C35,108:108)+100</f>
        <v>100</v>
      </c>
      <c r="K35" s="611"/>
      <c r="L35" s="1138"/>
      <c r="M35" s="1129"/>
      <c r="N35" s="1129"/>
      <c r="O35" s="1129"/>
      <c r="P35" s="3258"/>
      <c r="Q35" s="1808" t="str">
        <f t="shared" si="11"/>
        <v>公共部分装修</v>
      </c>
      <c r="R35" s="772" t="s">
        <v>17</v>
      </c>
      <c r="S35" s="773">
        <f t="shared" si="12"/>
        <v>100</v>
      </c>
      <c r="T35" s="772" t="s">
        <v>17</v>
      </c>
      <c r="U35" s="773">
        <f t="shared" si="13"/>
        <v>100</v>
      </c>
      <c r="V35" s="772" t="s">
        <v>17</v>
      </c>
      <c r="W35" s="773">
        <f t="shared" si="14"/>
        <v>100</v>
      </c>
      <c r="X35" s="1811"/>
      <c r="Y35" s="3260"/>
      <c r="Z35" s="1812" t="str">
        <f t="shared" si="15"/>
        <v>公共部分装修</v>
      </c>
      <c r="AA35" s="1809">
        <f t="shared" si="3"/>
        <v>1</v>
      </c>
      <c r="AB35" s="1809">
        <f t="shared" si="4"/>
        <v>1</v>
      </c>
      <c r="AC35" s="1809">
        <f t="shared" si="5"/>
        <v>1</v>
      </c>
    </row>
    <row r="36" spans="1:29" ht="15">
      <c r="A36" s="471"/>
      <c r="B36" s="421" t="s">
        <v>2662</v>
      </c>
      <c r="C36" s="473">
        <f>'数据-取费表'!N6</f>
        <v>0.8</v>
      </c>
      <c r="D36" s="434">
        <v>100</v>
      </c>
      <c r="E36" s="473">
        <v>0.85</v>
      </c>
      <c r="F36" s="460">
        <f>LOOKUP(E36,110:110,111:111)-LOOKUP(C36,110:110,111:111)+100</f>
        <v>100</v>
      </c>
      <c r="G36" s="473">
        <v>0.8</v>
      </c>
      <c r="H36" s="460">
        <f>LOOKUP(G36,110:110,111:111)-LOOKUP(C36,110:110,111:111)+100</f>
        <v>100</v>
      </c>
      <c r="I36" s="473">
        <f>C36</f>
        <v>0.8</v>
      </c>
      <c r="J36" s="434">
        <f>LOOKUP(I36,110:110,111:111)-LOOKUP(C36,110:110,111:111)+100</f>
        <v>100</v>
      </c>
      <c r="K36" s="611"/>
      <c r="L36" s="1138"/>
      <c r="M36" s="1129"/>
      <c r="N36" s="1129"/>
      <c r="O36" s="1129"/>
      <c r="P36" s="3258"/>
      <c r="Q36" s="1808" t="str">
        <f t="shared" si="11"/>
        <v>成新度</v>
      </c>
      <c r="R36" s="772" t="s">
        <v>17</v>
      </c>
      <c r="S36" s="773">
        <f t="shared" si="12"/>
        <v>100</v>
      </c>
      <c r="T36" s="772" t="s">
        <v>17</v>
      </c>
      <c r="U36" s="773">
        <f t="shared" si="13"/>
        <v>100</v>
      </c>
      <c r="V36" s="772" t="s">
        <v>17</v>
      </c>
      <c r="W36" s="773">
        <f t="shared" si="14"/>
        <v>100</v>
      </c>
      <c r="X36" s="1811"/>
      <c r="Y36" s="3260"/>
      <c r="Z36" s="1812" t="str">
        <f t="shared" si="15"/>
        <v>成新度</v>
      </c>
      <c r="AA36" s="1809">
        <f t="shared" si="3"/>
        <v>1</v>
      </c>
      <c r="AB36" s="1809">
        <f t="shared" si="4"/>
        <v>1</v>
      </c>
      <c r="AC36" s="1809">
        <f t="shared" si="5"/>
        <v>1</v>
      </c>
    </row>
    <row r="37" spans="1:29" s="116" customFormat="1" ht="15">
      <c r="A37" s="472"/>
      <c r="B37" s="421" t="s">
        <v>2663</v>
      </c>
      <c r="C37" s="2609" t="s">
        <v>3232</v>
      </c>
      <c r="D37" s="135">
        <v>100</v>
      </c>
      <c r="E37" s="2609" t="s">
        <v>3232</v>
      </c>
      <c r="F37" s="460">
        <f>SUMIF(112:112,E37,113:113)-SUMIF(112:112,C37,113:113)+100</f>
        <v>100</v>
      </c>
      <c r="G37" s="2609" t="s">
        <v>3232</v>
      </c>
      <c r="H37" s="434">
        <f>SUMIF(112:112,G37,113:113)-SUMIF(112:112,C37,113:113)+100</f>
        <v>100</v>
      </c>
      <c r="I37" s="2609" t="s">
        <v>3232</v>
      </c>
      <c r="J37" s="434">
        <f>SUMIF(112:112,I37,113:113)-SUMIF(112:112,C37,113:113)+100</f>
        <v>100</v>
      </c>
      <c r="K37" s="611"/>
      <c r="L37" s="1130"/>
      <c r="M37" s="1131"/>
      <c r="N37" s="1131"/>
      <c r="O37" s="1131"/>
      <c r="P37" s="3258"/>
      <c r="Q37" s="1793" t="str">
        <f t="shared" si="11"/>
        <v>市政基础设施</v>
      </c>
      <c r="R37" s="768" t="s">
        <v>17</v>
      </c>
      <c r="S37" s="769">
        <f t="shared" si="12"/>
        <v>100</v>
      </c>
      <c r="T37" s="768" t="s">
        <v>17</v>
      </c>
      <c r="U37" s="769">
        <f t="shared" si="13"/>
        <v>100</v>
      </c>
      <c r="V37" s="768" t="s">
        <v>17</v>
      </c>
      <c r="W37" s="769">
        <f t="shared" si="14"/>
        <v>100</v>
      </c>
      <c r="X37" s="770"/>
      <c r="Y37" s="3260"/>
      <c r="Z37" s="55" t="str">
        <f t="shared" si="15"/>
        <v>市政基础设施</v>
      </c>
      <c r="AA37" s="771">
        <f t="shared" si="3"/>
        <v>1</v>
      </c>
      <c r="AB37" s="771">
        <f t="shared" si="4"/>
        <v>1</v>
      </c>
      <c r="AC37" s="771">
        <f t="shared" si="5"/>
        <v>1</v>
      </c>
    </row>
    <row r="38" spans="1:29" ht="15">
      <c r="A38" s="471"/>
      <c r="B38" s="421" t="s">
        <v>2664</v>
      </c>
      <c r="C38" s="2609" t="s">
        <v>3240</v>
      </c>
      <c r="D38" s="434">
        <v>100</v>
      </c>
      <c r="E38" s="2609" t="s">
        <v>3240</v>
      </c>
      <c r="F38" s="460">
        <f>SUMIF(114:114,E38,115:115)-SUMIF(114:114,C38,115:115)+100</f>
        <v>100</v>
      </c>
      <c r="G38" s="2609" t="s">
        <v>3240</v>
      </c>
      <c r="H38" s="434">
        <f>SUMIF(114:114,G38,115:115)-SUMIF(114:114,C38,115:115)+100</f>
        <v>100</v>
      </c>
      <c r="I38" s="2609" t="s">
        <v>3240</v>
      </c>
      <c r="J38" s="434">
        <f>SUMIF(114:114,I38,115:115)-SUMIF(114:114,C38,115:115)+100</f>
        <v>100</v>
      </c>
      <c r="K38" s="611"/>
      <c r="L38" s="1138"/>
      <c r="M38" s="1129"/>
      <c r="N38" s="1129"/>
      <c r="O38" s="1129"/>
      <c r="P38" s="3258" t="s">
        <v>2565</v>
      </c>
      <c r="Q38" s="1808" t="str">
        <f t="shared" si="11"/>
        <v>业态</v>
      </c>
      <c r="R38" s="772" t="s">
        <v>17</v>
      </c>
      <c r="S38" s="773">
        <f t="shared" si="12"/>
        <v>100</v>
      </c>
      <c r="T38" s="772" t="s">
        <v>17</v>
      </c>
      <c r="U38" s="773">
        <f t="shared" si="13"/>
        <v>100</v>
      </c>
      <c r="V38" s="772" t="s">
        <v>17</v>
      </c>
      <c r="W38" s="773">
        <f t="shared" si="14"/>
        <v>100</v>
      </c>
      <c r="X38" s="1811"/>
      <c r="Y38" s="3260" t="s">
        <v>2565</v>
      </c>
      <c r="Z38" s="1812" t="str">
        <f t="shared" si="15"/>
        <v>业态</v>
      </c>
      <c r="AA38" s="1809">
        <f t="shared" si="3"/>
        <v>1</v>
      </c>
      <c r="AB38" s="1809">
        <f t="shared" si="4"/>
        <v>1</v>
      </c>
      <c r="AC38" s="1809">
        <f t="shared" si="5"/>
        <v>1</v>
      </c>
    </row>
    <row r="39" spans="1:29" ht="15">
      <c r="A39" s="471"/>
      <c r="B39" s="421" t="s">
        <v>2665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58"/>
      <c r="Q39" s="1808" t="str">
        <f t="shared" si="11"/>
        <v>层高</v>
      </c>
      <c r="R39" s="772" t="s">
        <v>17</v>
      </c>
      <c r="S39" s="773">
        <f t="shared" si="12"/>
        <v>100</v>
      </c>
      <c r="T39" s="772" t="s">
        <v>17</v>
      </c>
      <c r="U39" s="773">
        <f t="shared" si="13"/>
        <v>100</v>
      </c>
      <c r="V39" s="772" t="s">
        <v>17</v>
      </c>
      <c r="W39" s="773">
        <f t="shared" si="14"/>
        <v>100</v>
      </c>
      <c r="X39" s="1811"/>
      <c r="Y39" s="3260"/>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8"/>
      <c r="Q40" s="1808" t="str">
        <f t="shared" si="11"/>
        <v>单套建筑面积</v>
      </c>
      <c r="R40" s="772" t="s">
        <v>17</v>
      </c>
      <c r="S40" s="773">
        <f t="shared" si="12"/>
        <v>100</v>
      </c>
      <c r="T40" s="772" t="s">
        <v>17</v>
      </c>
      <c r="U40" s="773">
        <f t="shared" si="13"/>
        <v>100</v>
      </c>
      <c r="V40" s="772" t="s">
        <v>17</v>
      </c>
      <c r="W40" s="773">
        <f t="shared" si="14"/>
        <v>100</v>
      </c>
      <c r="X40" s="1811"/>
      <c r="Y40" s="3260"/>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8"/>
      <c r="Q41" s="774" t="str">
        <f t="shared" si="11"/>
        <v>进深比</v>
      </c>
      <c r="R41" s="775" t="s">
        <v>17</v>
      </c>
      <c r="S41" s="776">
        <f t="shared" si="12"/>
        <v>100</v>
      </c>
      <c r="T41" s="775" t="s">
        <v>17</v>
      </c>
      <c r="U41" s="776">
        <f t="shared" si="13"/>
        <v>100</v>
      </c>
      <c r="V41" s="775" t="s">
        <v>17</v>
      </c>
      <c r="W41" s="776">
        <f t="shared" si="14"/>
        <v>100</v>
      </c>
      <c r="X41" s="777"/>
      <c r="Y41" s="3260"/>
      <c r="Z41" s="778" t="str">
        <f t="shared" si="15"/>
        <v>进深比</v>
      </c>
      <c r="AA41" s="1809">
        <f t="shared" si="3"/>
        <v>1</v>
      </c>
      <c r="AB41" s="1809">
        <f t="shared" si="4"/>
        <v>1</v>
      </c>
      <c r="AC41" s="1809">
        <f t="shared" si="5"/>
        <v>1</v>
      </c>
    </row>
    <row r="42" spans="1:29" ht="15">
      <c r="A42" s="471"/>
      <c r="B42" s="421" t="s">
        <v>2668</v>
      </c>
      <c r="C42" s="2609" t="s">
        <v>3229</v>
      </c>
      <c r="D42" s="434">
        <v>100</v>
      </c>
      <c r="E42" s="2609" t="s">
        <v>3229</v>
      </c>
      <c r="F42" s="460">
        <f>SUMIF(122:122,E42,123:123)-SUMIF(122:122,C42,123:123)+100</f>
        <v>100</v>
      </c>
      <c r="G42" s="2609" t="s">
        <v>3229</v>
      </c>
      <c r="H42" s="434">
        <f>SUMIF(122:122,G42,123:123)-SUMIF(122:122,C42,123:123)+100</f>
        <v>100</v>
      </c>
      <c r="I42" s="2609" t="s">
        <v>3229</v>
      </c>
      <c r="J42" s="434">
        <f>SUMIF(122:122,I42,123:123)-SUMIF(122:122,C42,123:123)+100</f>
        <v>100</v>
      </c>
      <c r="K42" s="611"/>
      <c r="L42" s="1138"/>
      <c r="M42" s="1129"/>
      <c r="N42" s="1129"/>
      <c r="O42" s="1129"/>
      <c r="P42" s="3258"/>
      <c r="Q42" s="1808" t="str">
        <f t="shared" si="11"/>
        <v>内部装修</v>
      </c>
      <c r="R42" s="772" t="s">
        <v>17</v>
      </c>
      <c r="S42" s="773">
        <f t="shared" si="12"/>
        <v>100</v>
      </c>
      <c r="T42" s="772" t="s">
        <v>17</v>
      </c>
      <c r="U42" s="773">
        <f t="shared" si="13"/>
        <v>100</v>
      </c>
      <c r="V42" s="772" t="s">
        <v>17</v>
      </c>
      <c r="W42" s="773">
        <f t="shared" si="14"/>
        <v>100</v>
      </c>
      <c r="X42" s="1811"/>
      <c r="Y42" s="3260"/>
      <c r="Z42" s="1812" t="str">
        <f t="shared" si="15"/>
        <v>内部装修</v>
      </c>
      <c r="AA42" s="1809">
        <f t="shared" si="3"/>
        <v>1</v>
      </c>
      <c r="AB42" s="1809">
        <f t="shared" si="4"/>
        <v>1</v>
      </c>
      <c r="AC42" s="1809">
        <f t="shared" si="5"/>
        <v>1</v>
      </c>
    </row>
    <row r="43" spans="1:29" ht="15.75" thickBot="1">
      <c r="A43" s="471"/>
      <c r="B43" s="421" t="s">
        <v>2576</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58"/>
      <c r="Q43" s="1808" t="str">
        <f t="shared" si="11"/>
        <v>内部装修维护情况</v>
      </c>
      <c r="R43" s="772" t="s">
        <v>17</v>
      </c>
      <c r="S43" s="773">
        <f t="shared" si="12"/>
        <v>100</v>
      </c>
      <c r="T43" s="772" t="s">
        <v>17</v>
      </c>
      <c r="U43" s="773">
        <f t="shared" si="13"/>
        <v>100</v>
      </c>
      <c r="V43" s="772" t="s">
        <v>17</v>
      </c>
      <c r="W43" s="773">
        <f t="shared" si="14"/>
        <v>100</v>
      </c>
      <c r="X43" s="1811"/>
      <c r="Y43" s="3260"/>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8"/>
      <c r="Q44" s="1793">
        <f t="shared" si="11"/>
        <v>111</v>
      </c>
      <c r="R44" s="768" t="s">
        <v>17</v>
      </c>
      <c r="S44" s="769">
        <f t="shared" si="12"/>
        <v>100</v>
      </c>
      <c r="T44" s="768" t="s">
        <v>17</v>
      </c>
      <c r="U44" s="769">
        <f t="shared" si="13"/>
        <v>100</v>
      </c>
      <c r="V44" s="768" t="s">
        <v>17</v>
      </c>
      <c r="W44" s="769">
        <f t="shared" si="14"/>
        <v>100</v>
      </c>
      <c r="X44" s="770"/>
      <c r="Y44" s="3260"/>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8"/>
      <c r="Q45" s="1808">
        <f t="shared" si="11"/>
        <v>111</v>
      </c>
      <c r="R45" s="772" t="s">
        <v>17</v>
      </c>
      <c r="S45" s="773">
        <f t="shared" si="12"/>
        <v>100</v>
      </c>
      <c r="T45" s="772" t="s">
        <v>17</v>
      </c>
      <c r="U45" s="773">
        <f t="shared" si="13"/>
        <v>100</v>
      </c>
      <c r="V45" s="772" t="s">
        <v>17</v>
      </c>
      <c r="W45" s="773">
        <f t="shared" si="14"/>
        <v>100</v>
      </c>
      <c r="X45" s="1811"/>
      <c r="Y45" s="3260"/>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9"/>
      <c r="Q46" s="1808">
        <f t="shared" si="11"/>
        <v>111</v>
      </c>
      <c r="R46" s="772" t="s">
        <v>17</v>
      </c>
      <c r="S46" s="773">
        <f t="shared" si="12"/>
        <v>100</v>
      </c>
      <c r="T46" s="772" t="s">
        <v>17</v>
      </c>
      <c r="U46" s="773">
        <f t="shared" si="13"/>
        <v>100</v>
      </c>
      <c r="V46" s="772" t="s">
        <v>17</v>
      </c>
      <c r="W46" s="773">
        <f t="shared" si="14"/>
        <v>100</v>
      </c>
      <c r="X46" s="1811"/>
      <c r="Y46" s="3261"/>
      <c r="Z46" s="1812">
        <f t="shared" si="15"/>
        <v>111</v>
      </c>
      <c r="AA46" s="1809">
        <f t="shared" si="3"/>
        <v>1</v>
      </c>
      <c r="AB46" s="1809">
        <f t="shared" si="4"/>
        <v>1</v>
      </c>
      <c r="AC46" s="1809">
        <f t="shared" si="5"/>
        <v>1</v>
      </c>
    </row>
    <row r="47" spans="1:29" ht="15">
      <c r="A47" s="478" t="s">
        <v>2577</v>
      </c>
      <c r="B47" s="479"/>
      <c r="C47" s="1405" t="s">
        <v>1</v>
      </c>
      <c r="D47" s="1406"/>
      <c r="E47" s="1407">
        <v>51964</v>
      </c>
      <c r="F47" s="1408"/>
      <c r="G47" s="1409">
        <v>58391</v>
      </c>
      <c r="H47" s="1410"/>
      <c r="I47" s="1407">
        <v>54054</v>
      </c>
      <c r="J47" s="1410"/>
      <c r="K47" s="781"/>
      <c r="L47" s="1141"/>
      <c r="M47" s="1142"/>
      <c r="N47" s="1129"/>
      <c r="O47" s="1142"/>
      <c r="P47" s="3253" t="str">
        <f>A47</f>
        <v>成交单价（元/平方米）</v>
      </c>
      <c r="Q47" s="3253"/>
      <c r="R47" s="3248">
        <f>E47</f>
        <v>51964</v>
      </c>
      <c r="S47" s="3248"/>
      <c r="T47" s="3248">
        <f>G47</f>
        <v>58391</v>
      </c>
      <c r="U47" s="3248"/>
      <c r="V47" s="3248">
        <f>I47</f>
        <v>54054</v>
      </c>
      <c r="W47" s="3248"/>
      <c r="X47" s="757"/>
      <c r="Y47" s="779"/>
      <c r="Z47" s="757"/>
      <c r="AA47" s="757"/>
      <c r="AB47" s="757"/>
      <c r="AC47" s="757"/>
    </row>
    <row r="48" spans="1:29" ht="15.75" thickBot="1">
      <c r="A48" s="485" t="s">
        <v>2669</v>
      </c>
      <c r="B48" s="486"/>
      <c r="C48" s="1411">
        <f>R49</f>
        <v>57724</v>
      </c>
      <c r="D48" s="1412"/>
      <c r="E48" s="1413">
        <f>R48</f>
        <v>54734</v>
      </c>
      <c r="F48" s="1413"/>
      <c r="G48" s="1411">
        <f>T48</f>
        <v>61503</v>
      </c>
      <c r="H48" s="1412"/>
      <c r="I48" s="1413">
        <f>V48</f>
        <v>56935</v>
      </c>
      <c r="J48" s="1412"/>
      <c r="K48" s="782"/>
      <c r="L48" s="1141"/>
      <c r="M48" s="1142"/>
      <c r="N48" s="1129"/>
      <c r="O48" s="1142"/>
      <c r="P48" s="3253" t="str">
        <f>A48</f>
        <v>比较价值（元/平方米）</v>
      </c>
      <c r="Q48" s="3253"/>
      <c r="R48" s="3254">
        <f>IF(F1="售价",ROUND(PRODUCT(R47,AA7:AA46),0),ROUND(PRODUCT(R47,AA7:AA46),1))</f>
        <v>54734</v>
      </c>
      <c r="S48" s="3254"/>
      <c r="T48" s="3254">
        <f>IF(F1="售价",ROUND(PRODUCT(T47,AB7:AB46),0),ROUND(PRODUCT(T47,AB7:AB46),1))</f>
        <v>61503</v>
      </c>
      <c r="U48" s="3254"/>
      <c r="V48" s="3254">
        <f>IF(F1="售价",ROUND(PRODUCT(V47,AC7:AC46),0),ROUND(PRODUCT(V47,AC7:AC46),1))</f>
        <v>56935</v>
      </c>
      <c r="W48" s="3254"/>
      <c r="X48" s="757"/>
      <c r="Y48" s="757"/>
      <c r="Z48" s="757"/>
      <c r="AA48" s="757"/>
      <c r="AB48" s="757"/>
      <c r="AC48" s="757"/>
    </row>
    <row r="49" spans="1:29" ht="15.75" thickBot="1">
      <c r="A49" s="491" t="s">
        <v>2670</v>
      </c>
      <c r="B49" s="492"/>
      <c r="C49" s="1415">
        <f>R49</f>
        <v>57724</v>
      </c>
      <c r="D49" s="1415"/>
      <c r="E49" s="1415"/>
      <c r="F49" s="1415"/>
      <c r="G49" s="1415"/>
      <c r="H49" s="1415"/>
      <c r="I49" s="1415"/>
      <c r="J49" s="1415"/>
      <c r="K49" s="783"/>
      <c r="L49" s="1141"/>
      <c r="M49" s="1142"/>
      <c r="N49" s="1129"/>
      <c r="O49" s="1142"/>
      <c r="P49" s="3250" t="str">
        <f>A49</f>
        <v>估价对象XX用房的比较价值（楼面单价，元/平方米）</v>
      </c>
      <c r="Q49" s="3251"/>
      <c r="R49" s="3252">
        <f>IF(F1="售价",ROUND(AVERAGE(R48:V48),0),ROUND(AVERAGE(R48:V48),1))</f>
        <v>57724</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f>IF(E47&lt;E48,E48/E47-1,E47/E48-1)</f>
        <v>5.3306135016550016E-2</v>
      </c>
      <c r="F52" s="499" t="str">
        <f>IF(OR(E52&gt;=0.3,E52&lt;=-0.3),"超过30%","")</f>
        <v/>
      </c>
      <c r="G52" s="498">
        <f>IF(G47&lt;G48,G48/G47-1,G47/G48-1)</f>
        <v>5.3295884639756208E-2</v>
      </c>
      <c r="H52" s="499" t="str">
        <f>IF(OR(G52&gt;=0.3,G52&lt;=-0.3),"超过30%","")</f>
        <v/>
      </c>
      <c r="I52" s="498">
        <f>IF(I47&lt;I48,I48/I47-1,I47/I48-1)</f>
        <v>5.3298553298553264E-2</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f>IF(E48&lt;G48,G48/E48-1,E48/G48-1)</f>
        <v>0.12367084444769239</v>
      </c>
      <c r="F53" s="499" t="str">
        <f>IF(OR(E53&gt;=0.2,E53&lt;=-0.2),"超过20%","")</f>
        <v/>
      </c>
      <c r="G53" s="498">
        <f>IF(G48&lt;I48,I48/G48-1,G48/I48-1)</f>
        <v>8.0231843330113239E-2</v>
      </c>
      <c r="H53" s="499" t="str">
        <f>IF(OR(G53&gt;=0.2,G53&lt;=-0.2),"超过20%","")</f>
        <v/>
      </c>
      <c r="I53" s="498">
        <f>IF(I48&lt;E48,E48/I48-1,I48/E48-1)</f>
        <v>4.0212664888369165E-2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2548</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2550</v>
      </c>
      <c r="B61" s="509"/>
      <c r="C61" s="521" t="s">
        <v>2652</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2680</v>
      </c>
      <c r="C86" s="2992" t="s">
        <v>3264</v>
      </c>
      <c r="D86" s="2992" t="s">
        <v>3265</v>
      </c>
      <c r="E86" s="2992" t="s">
        <v>3267</v>
      </c>
      <c r="F86" s="2992" t="s">
        <v>3268</v>
      </c>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2992" t="s">
        <v>3272</v>
      </c>
      <c r="D88" s="2992" t="s">
        <v>3270</v>
      </c>
      <c r="E88" s="553"/>
      <c r="F88" s="2631"/>
      <c r="G88" s="553"/>
      <c r="H88" s="553"/>
      <c r="I88" s="553"/>
      <c r="J88" s="553"/>
      <c r="K88" s="553"/>
      <c r="L88" s="553"/>
      <c r="M88" s="580"/>
      <c r="N88" s="1149"/>
      <c r="O88" s="1149"/>
      <c r="P88" s="2626"/>
      <c r="Q88" s="503"/>
    </row>
    <row r="89" spans="1:17" s="116" customFormat="1" ht="15.75" thickBot="1">
      <c r="A89" s="578"/>
      <c r="B89" s="542"/>
      <c r="C89" s="559">
        <v>100</v>
      </c>
      <c r="D89" s="535">
        <v>98</v>
      </c>
      <c r="E89" s="535"/>
      <c r="F89" s="535"/>
      <c r="G89" s="535"/>
      <c r="H89" s="535"/>
      <c r="I89" s="535"/>
      <c r="J89" s="535"/>
      <c r="K89" s="535"/>
      <c r="L89" s="535"/>
      <c r="M89" s="535"/>
      <c r="N89" s="1151"/>
      <c r="O89" s="1151"/>
      <c r="P89" s="2626"/>
      <c r="Q89" s="503"/>
    </row>
    <row r="90" spans="1:17" s="470" customFormat="1" ht="15.75" thickTop="1">
      <c r="A90" s="552"/>
      <c r="B90" s="537" t="str">
        <f>B27</f>
        <v>人流量</v>
      </c>
      <c r="C90" s="2992" t="s">
        <v>3257</v>
      </c>
      <c r="D90" s="2992" t="s">
        <v>3259</v>
      </c>
      <c r="E90" s="2992" t="s">
        <v>3260</v>
      </c>
      <c r="F90" s="2992" t="s">
        <v>3261</v>
      </c>
      <c r="G90" s="2992" t="s">
        <v>3262</v>
      </c>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t="s">
        <v>3263</v>
      </c>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2563</v>
      </c>
      <c r="B100" s="527" t="s">
        <v>2681</v>
      </c>
      <c r="C100" s="2991" t="s">
        <v>3274</v>
      </c>
      <c r="D100" s="2991" t="s">
        <v>3275</v>
      </c>
      <c r="E100" s="2991" t="s">
        <v>3276</v>
      </c>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6"/>
      <c r="Q101" s="503"/>
    </row>
    <row r="102" spans="1:17" ht="29.25" thickTop="1">
      <c r="A102" s="533"/>
      <c r="B102" s="537" t="s">
        <v>2613</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2614</v>
      </c>
      <c r="C105" s="2992" t="s">
        <v>3237</v>
      </c>
      <c r="D105" s="2992" t="s">
        <v>3238</v>
      </c>
      <c r="E105" s="2993" t="s">
        <v>3239</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2616</v>
      </c>
      <c r="C107" s="2992" t="s">
        <v>3225</v>
      </c>
      <c r="D107" s="2992" t="s">
        <v>3227</v>
      </c>
      <c r="E107" s="2992" t="s">
        <v>3228</v>
      </c>
      <c r="F107" s="2993" t="s">
        <v>3230</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2618</v>
      </c>
      <c r="C112" s="2992" t="s">
        <v>3231</v>
      </c>
      <c r="D112" s="2992" t="s">
        <v>3233</v>
      </c>
      <c r="E112" s="2992" t="s">
        <v>3234</v>
      </c>
      <c r="F112" s="2992" t="s">
        <v>3235</v>
      </c>
      <c r="G112" s="2992" t="s">
        <v>3236</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2682</v>
      </c>
      <c r="C114" s="2992" t="s">
        <v>3241</v>
      </c>
      <c r="D114" s="2992" t="s">
        <v>3242</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2684</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2620</v>
      </c>
      <c r="C122" s="2992" t="s">
        <v>3225</v>
      </c>
      <c r="D122" s="2992" t="s">
        <v>3227</v>
      </c>
      <c r="E122" s="2992" t="s">
        <v>3228</v>
      </c>
      <c r="F122" s="2993" t="s">
        <v>3230</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 sqref="K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2804</v>
      </c>
      <c r="B1" s="240"/>
      <c r="C1" s="244" t="s">
        <v>2805</v>
      </c>
      <c r="D1" s="387">
        <f>SUM(D29:D30,D33:D39)</f>
        <v>0</v>
      </c>
      <c r="E1" s="2713"/>
      <c r="F1" s="2713"/>
      <c r="G1" s="2713"/>
      <c r="H1" s="2713"/>
      <c r="I1" s="2713"/>
      <c r="J1" s="2713"/>
      <c r="K1" s="1368"/>
      <c r="L1" s="2714" t="s">
        <v>2806</v>
      </c>
      <c r="M1" s="1078">
        <f>SUMPRODUCT((区片价!B5:B9=I2)*(区片价!C3:F3=E2)*(区片价!C5:F9))</f>
        <v>0</v>
      </c>
      <c r="N1" s="1081">
        <f>SUMPRODUCT((因素修正幅度!B5:B9=I2)*(因素修正幅度!C3:F3=E2)*(因素修正幅度!C5:F9))</f>
        <v>0</v>
      </c>
      <c r="O1" s="2715"/>
      <c r="P1" s="2715"/>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 ca="1">C26</f>
        <v>#DIV/0!</v>
      </c>
      <c r="C2" s="2717" t="s">
        <v>2813</v>
      </c>
      <c r="D2" s="2718" t="s">
        <v>2814</v>
      </c>
      <c r="E2" s="2719" t="s">
        <v>1377</v>
      </c>
      <c r="F2" s="2718" t="s">
        <v>2815</v>
      </c>
      <c r="G2" s="2720" t="str">
        <f>IF(E2="商业",项目基本情况!B37,IF(E2="办公",项目基本情况!C37,IF(E2="住宅",项目基本情况!D37,项目基本情况!E37)))</f>
        <v>五级</v>
      </c>
      <c r="H2" s="2718" t="s">
        <v>2816</v>
      </c>
      <c r="I2" s="2720" t="str">
        <f>IF(E2="商业",项目基本情况!B38,IF(E2="办公",项目基本情况!C38,IF(E2="住宅",项目基本情况!D38,项目基本情况!E38)))</f>
        <v>Ⅴ-15</v>
      </c>
      <c r="J2" s="2721"/>
      <c r="K2" s="1368"/>
      <c r="L2" s="2722"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2818</v>
      </c>
      <c r="B3" s="247" t="e">
        <f ca="1">ROUND(B2*10000/D1,0)</f>
        <v>#DIV/0!</v>
      </c>
      <c r="C3" s="2717" t="s">
        <v>2819</v>
      </c>
      <c r="D3" s="2718" t="s">
        <v>2820</v>
      </c>
      <c r="E3" s="2723" t="s">
        <v>3255</v>
      </c>
      <c r="F3" s="2724" t="s">
        <v>2821</v>
      </c>
      <c r="G3" s="911">
        <f>IF(F3="宗地容积率",'数据-汇总表'!I4,IF(F3="估价对象容积率",'数据-汇总表'!I6,'数据-汇总表'!I7))</f>
        <v>1.92</v>
      </c>
      <c r="H3" s="197" t="s">
        <v>2822</v>
      </c>
      <c r="I3" s="942">
        <v>1</v>
      </c>
      <c r="J3" s="2721" t="s">
        <v>2823</v>
      </c>
      <c r="K3" s="1368"/>
      <c r="L3" s="2722"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278"/>
      <c r="B4" s="3279"/>
      <c r="C4" s="3279"/>
      <c r="D4" s="3280"/>
      <c r="E4" s="3280"/>
      <c r="F4" s="3280"/>
      <c r="G4" s="3280"/>
      <c r="H4" s="3280"/>
      <c r="I4" s="3280"/>
      <c r="J4" s="3281"/>
      <c r="K4" s="1368"/>
      <c r="L4" s="2722"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2826</v>
      </c>
      <c r="C5" s="912" t="e">
        <f>ROUND(IF(E2="商业",IF(F16="增加",C6*C7+C16,C6*C7-C16),IF(E2="住宅",IF(F16="增加",C6*C12+C16,C6*C12-C16),IF(F16="增加",C6+C16,C6-C16))),0)</f>
        <v>#DIV/0!</v>
      </c>
      <c r="D5" s="1785">
        <f>ROUND(IF(E2="商业",IF(F16="增加",C6+C16,C6-C16)),0)</f>
        <v>12890</v>
      </c>
      <c r="E5" s="2727"/>
      <c r="F5" s="2727"/>
      <c r="G5" s="2728"/>
      <c r="H5" s="2728"/>
      <c r="I5" s="2728"/>
      <c r="J5" s="2729"/>
      <c r="K5" s="2730"/>
      <c r="L5" s="2722" t="s">
        <v>2827</v>
      </c>
      <c r="M5" s="1079">
        <f>SUMPRODUCT((区片价!B76:B109=I2)*(区片价!C3:F3=E2)*(区片价!C76:F109))</f>
        <v>12890</v>
      </c>
      <c r="N5" s="1081">
        <f>SUMPRODUCT((因素修正幅度!B76:B109=I2)*(因素修正幅度!C3:F3=E2)*(因素修正幅度!C76:F109))</f>
        <v>9.8000000000000004E-2</v>
      </c>
      <c r="O5" s="1368"/>
      <c r="P5" s="1368"/>
      <c r="Q5" s="1368"/>
      <c r="R5" s="1600">
        <v>4</v>
      </c>
      <c r="S5" s="1600">
        <f>ROUND(IF(G3&gt;1,IF(R5&lt;7,SUMPRODUCT((B93:B98=R5)*(C92:N92=G2)*(C93:N98)),SUMIF(C92:N92,G2,C100:N100)),IF(R5&lt;7,SUMPRODUCT((B102:B107=R5)*(C92:N92=G2)*(C102:N107)),SUMIF(C92:N92,G2,C109:N109))),4)</f>
        <v>0.86560000000000004</v>
      </c>
      <c r="T5" s="1600" t="e">
        <f t="shared" ca="1" si="0"/>
        <v>#DIV/0!</v>
      </c>
      <c r="U5" s="1601"/>
      <c r="V5" s="1600" t="e">
        <f t="shared" ca="1" si="1"/>
        <v>#DIV/0!</v>
      </c>
      <c r="W5" s="1604"/>
      <c r="X5" s="1604"/>
      <c r="Y5" s="1604"/>
      <c r="Z5" s="1604"/>
      <c r="AA5" s="1604"/>
      <c r="AB5" s="1604"/>
      <c r="AC5" s="2731"/>
      <c r="AD5" s="2732"/>
      <c r="AE5" s="2732"/>
      <c r="AF5" s="2732"/>
      <c r="AG5" s="2732"/>
      <c r="AH5" s="2732"/>
      <c r="AI5" s="2732"/>
      <c r="AJ5" s="2733"/>
    </row>
    <row r="6" spans="1:36" ht="15.75" thickBot="1">
      <c r="A6" s="2735" t="s">
        <v>2828</v>
      </c>
      <c r="B6" s="2736" t="s">
        <v>2829</v>
      </c>
      <c r="C6" s="913">
        <f>SUMIF(L1:L12,G2,M1:M12)</f>
        <v>12890</v>
      </c>
      <c r="D6" s="2737" t="s">
        <v>2830</v>
      </c>
      <c r="E6" s="2738"/>
      <c r="F6" s="2738"/>
      <c r="G6" s="2739"/>
      <c r="H6" s="2739"/>
      <c r="I6" s="2739"/>
      <c r="J6" s="2740"/>
      <c r="K6" s="1840"/>
      <c r="L6" s="2722"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ca="1" si="0"/>
        <v>#DIV/0!</v>
      </c>
      <c r="U6" s="1601"/>
      <c r="V6" s="1600" t="e">
        <f t="shared" ca="1" si="1"/>
        <v>#DIV/0!</v>
      </c>
      <c r="W6" s="1604"/>
      <c r="X6" s="1604"/>
      <c r="Y6" s="1604"/>
      <c r="Z6" s="1604"/>
      <c r="AA6" s="1604"/>
      <c r="AB6" s="1604"/>
      <c r="AC6" s="2731"/>
      <c r="AD6" s="2732"/>
      <c r="AE6" s="2732"/>
      <c r="AF6" s="2732"/>
      <c r="AG6" s="2732"/>
      <c r="AH6" s="2732"/>
      <c r="AI6" s="2732"/>
      <c r="AJ6" s="2733"/>
    </row>
    <row r="7" spans="1:36" ht="24">
      <c r="A7" s="3264">
        <f>IF(E2="商业",IF(C8="不临58条商业街","",2),"")</f>
        <v>2</v>
      </c>
      <c r="B7" s="2741" t="s">
        <v>2832</v>
      </c>
      <c r="C7" s="914" t="e">
        <f>IF(C8="不临58条商业街",1,ROUND(1+(1.6*E8+1.2*E9+0.8*E10+0.4*E11)*C9,4))</f>
        <v>#DIV/0!</v>
      </c>
      <c r="D7" s="2742" t="s">
        <v>2833</v>
      </c>
      <c r="E7" s="943"/>
      <c r="F7" s="2743"/>
      <c r="G7" s="2744"/>
      <c r="H7" s="2744"/>
      <c r="I7" s="2744"/>
      <c r="J7" s="2745"/>
      <c r="K7" s="1840"/>
      <c r="L7" s="2722"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ca="1" si="0"/>
        <v>#DIV/0!</v>
      </c>
      <c r="U7" s="1601"/>
      <c r="V7" s="1600" t="e">
        <f t="shared" ca="1" si="1"/>
        <v>#DIV/0!</v>
      </c>
      <c r="W7" s="1814" t="s">
        <v>2835</v>
      </c>
      <c r="X7" s="1602" t="str">
        <f>G2</f>
        <v>五级</v>
      </c>
      <c r="Y7" s="1602" t="s">
        <v>2836</v>
      </c>
      <c r="Z7" s="1603">
        <f>G3</f>
        <v>1.92</v>
      </c>
      <c r="AA7" s="1604"/>
      <c r="AB7" s="1604"/>
      <c r="AC7" s="1605"/>
      <c r="AD7" s="1606"/>
      <c r="AE7" s="1606"/>
      <c r="AF7" s="1606"/>
      <c r="AG7" s="1606"/>
      <c r="AH7" s="1606"/>
      <c r="AI7" s="1606"/>
      <c r="AJ7" s="1607"/>
    </row>
    <row r="8" spans="1:36" ht="15">
      <c r="A8" s="3265"/>
      <c r="B8" s="197" t="s">
        <v>2837</v>
      </c>
      <c r="C8" s="2746"/>
      <c r="D8" s="915" t="s">
        <v>139</v>
      </c>
      <c r="E8" s="916" t="e">
        <f>ROUND(C11/E7,4)</f>
        <v>#DIV/0!</v>
      </c>
      <c r="F8" s="2747" t="s">
        <v>2838</v>
      </c>
      <c r="G8" s="2748"/>
      <c r="H8" s="2748"/>
      <c r="I8" s="2748"/>
      <c r="J8" s="2749"/>
      <c r="K8" s="1368"/>
      <c r="L8" s="2722"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#DIV/0!</v>
      </c>
      <c r="U8" s="1601"/>
      <c r="V8" s="1600" t="e">
        <f t="shared" ca="1" si="1"/>
        <v>#DIV/0!</v>
      </c>
      <c r="W8" s="3275" t="s">
        <v>2840</v>
      </c>
      <c r="X8" s="3276"/>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5"/>
      <c r="B9" s="197" t="s">
        <v>2853</v>
      </c>
      <c r="C9" s="917">
        <f>SUMIF(修正!C59:C119,C8,修正!E59:E119)</f>
        <v>0</v>
      </c>
      <c r="D9" s="199" t="s">
        <v>140</v>
      </c>
      <c r="E9" s="199" t="e">
        <f>ROUND(C11/E7,4)</f>
        <v>#DIV/0!</v>
      </c>
      <c r="F9" s="2747" t="s">
        <v>2854</v>
      </c>
      <c r="G9" s="2748"/>
      <c r="H9" s="2748"/>
      <c r="I9" s="2748"/>
      <c r="J9" s="2749"/>
      <c r="K9" s="1368"/>
      <c r="L9" s="2722"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#DIV/0!</v>
      </c>
      <c r="U9" s="1601"/>
      <c r="V9" s="1600" t="e">
        <f t="shared" ca="1" si="1"/>
        <v>#DIV/0!</v>
      </c>
      <c r="W9" s="3277"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5"/>
      <c r="B10" s="197" t="s">
        <v>2858</v>
      </c>
      <c r="C10" s="199">
        <f>SUMIF(修正!C59:C119,C8,修正!F59:F119)</f>
        <v>0</v>
      </c>
      <c r="D10" s="199" t="s">
        <v>141</v>
      </c>
      <c r="E10" s="199" t="e">
        <f>ROUND(C11/E7,4)</f>
        <v>#DIV/0!</v>
      </c>
      <c r="F10" s="2747" t="s">
        <v>2859</v>
      </c>
      <c r="G10" s="2748"/>
      <c r="H10" s="2748"/>
      <c r="I10" s="2748"/>
      <c r="J10" s="2749"/>
      <c r="K10" s="1368"/>
      <c r="L10" s="2722"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#DIV/0!</v>
      </c>
      <c r="U10" s="1601"/>
      <c r="V10" s="1600" t="e">
        <f t="shared" ca="1" si="1"/>
        <v>#DIV/0!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5"/>
      <c r="B11" s="2750" t="s">
        <v>2861</v>
      </c>
      <c r="C11" s="918">
        <f>C10/4</f>
        <v>0</v>
      </c>
      <c r="D11" s="918" t="s">
        <v>142</v>
      </c>
      <c r="E11" s="918" t="e">
        <f>ROUND(C11/E7,4)</f>
        <v>#DIV/0!</v>
      </c>
      <c r="F11" s="2751" t="s">
        <v>2862</v>
      </c>
      <c r="G11" s="2752"/>
      <c r="H11" s="2752"/>
      <c r="I11" s="2752"/>
      <c r="J11" s="2753"/>
      <c r="K11" s="1368"/>
      <c r="L11" s="2722"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#DIV/0!</v>
      </c>
      <c r="U11" s="1601"/>
      <c r="V11" s="1600" t="e">
        <f t="shared" ca="1" si="1"/>
        <v>#DIV/0!</v>
      </c>
      <c r="W11" s="3277" t="s">
        <v>2864</v>
      </c>
      <c r="X11" s="1612" t="s">
        <v>2865</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64" t="s">
        <v>2866</v>
      </c>
      <c r="B12" s="2754" t="s">
        <v>2867</v>
      </c>
      <c r="C12" s="914">
        <f>ROUND(C15*D15*E15*F15*G15*H15*I15*J15,4)</f>
        <v>1</v>
      </c>
      <c r="D12" s="2755" t="s">
        <v>2868</v>
      </c>
      <c r="E12" s="2756"/>
      <c r="F12" s="2756"/>
      <c r="G12" s="2757"/>
      <c r="H12" s="2757"/>
      <c r="I12" s="2757"/>
      <c r="J12" s="2758"/>
      <c r="K12" s="1368"/>
      <c r="L12" s="2759"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#DIV/0!</v>
      </c>
      <c r="U12" s="1601"/>
      <c r="V12" s="1600" t="e">
        <f t="shared" ca="1" si="1"/>
        <v>#DIV/0!</v>
      </c>
      <c r="W12" s="3277"/>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2"/>
      <c r="B13" s="2760" t="s">
        <v>2871</v>
      </c>
      <c r="C13" s="2761" t="s">
        <v>2872</v>
      </c>
      <c r="D13" s="1806" t="s">
        <v>2873</v>
      </c>
      <c r="E13" s="1806" t="s">
        <v>2874</v>
      </c>
      <c r="F13" s="30" t="s">
        <v>2875</v>
      </c>
      <c r="G13" s="2762" t="s">
        <v>2876</v>
      </c>
      <c r="H13" s="2762" t="s">
        <v>2876</v>
      </c>
      <c r="I13" s="2762" t="s">
        <v>2876</v>
      </c>
      <c r="J13" s="2763" t="s">
        <v>2876</v>
      </c>
      <c r="K13" s="1368"/>
      <c r="L13" s="1368"/>
      <c r="M13" s="1368"/>
      <c r="N13" s="1368"/>
      <c r="O13" s="1368"/>
      <c r="P13" s="1368"/>
      <c r="Q13" s="1368"/>
      <c r="R13" s="1600">
        <v>12</v>
      </c>
      <c r="S13" s="1601"/>
      <c r="T13" s="1600" t="e">
        <f t="shared" ca="1" si="0"/>
        <v>#DIV/0!</v>
      </c>
      <c r="U13" s="1601"/>
      <c r="V13" s="1600" t="e">
        <f t="shared" ca="1" si="1"/>
        <v>#DIV/0!</v>
      </c>
      <c r="W13" s="3277"/>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82"/>
      <c r="B14" s="2764"/>
      <c r="C14" s="2765"/>
      <c r="D14" s="2766"/>
      <c r="E14" s="2766"/>
      <c r="F14" s="2767"/>
      <c r="G14" s="2768" t="s">
        <v>2877</v>
      </c>
      <c r="H14" s="2769"/>
      <c r="I14" s="2770"/>
      <c r="J14" s="2771"/>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283"/>
      <c r="B15" s="2772" t="s">
        <v>2878</v>
      </c>
      <c r="C15" s="228">
        <f>IF(C14="有",1.1,1)</f>
        <v>1</v>
      </c>
      <c r="D15" s="228">
        <f>IF(D14="有",1.1,1)</f>
        <v>1</v>
      </c>
      <c r="E15" s="228">
        <f>IF(E14="有",1.1,1)</f>
        <v>1</v>
      </c>
      <c r="F15" s="228">
        <f>IF(F14="500米范围内",1.2,IF(F14="500-1000米",1.1,1))</f>
        <v>1</v>
      </c>
      <c r="G15" s="944">
        <v>1</v>
      </c>
      <c r="H15" s="944">
        <v>1</v>
      </c>
      <c r="I15" s="944">
        <v>1</v>
      </c>
      <c r="J15" s="945">
        <v>1</v>
      </c>
      <c r="K15" s="1368"/>
      <c r="L15" s="2773" t="s">
        <v>2814</v>
      </c>
      <c r="M15" s="915" t="s">
        <v>2879</v>
      </c>
      <c r="N15" s="915" t="s">
        <v>2880</v>
      </c>
      <c r="O15" s="915" t="s">
        <v>2881</v>
      </c>
      <c r="P15" s="2774" t="s">
        <v>2882</v>
      </c>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
      <c r="A16" s="3264" t="s">
        <v>2883</v>
      </c>
      <c r="B16" s="2741" t="s">
        <v>2884</v>
      </c>
      <c r="C16" s="1799">
        <f>ROUND(SUM(G17:J17)/C17,0)</f>
        <v>0</v>
      </c>
      <c r="D16" s="2775" t="s">
        <v>2885</v>
      </c>
      <c r="E16" s="2776"/>
      <c r="F16" s="2777"/>
      <c r="G16" s="2778"/>
      <c r="H16" s="2778"/>
      <c r="I16" s="2778"/>
      <c r="J16" s="2779"/>
      <c r="K16" s="1368"/>
      <c r="L16" s="2780" t="s">
        <v>2886</v>
      </c>
      <c r="M16" s="917">
        <v>0.25</v>
      </c>
      <c r="N16" s="917">
        <v>0.2</v>
      </c>
      <c r="O16" s="917">
        <v>0.15</v>
      </c>
      <c r="P16" s="1367">
        <v>0.1</v>
      </c>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265"/>
      <c r="B17" s="2781" t="s">
        <v>2887</v>
      </c>
      <c r="C17" s="919">
        <f>SUMPRODUCT((修正!A2:A5=E2)*(修正!B1:M1=G2)*(修正!B2:M5))</f>
        <v>2.5</v>
      </c>
      <c r="D17" s="2782"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2891</v>
      </c>
      <c r="C18" s="921">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2892</v>
      </c>
      <c r="C19" s="922">
        <f>ROUND(IF(H19="按公示增长率计算",SUMPRODUCT((地价!A3:A23=YEAR(G19)&amp;"-"&amp;ROUNDUP(MONTH(G19)/3,0))*(地价!X2:AB2=E2)*(地价!X3:AB23)),IF(H19="地价指数",M20/M19,(1+I19)^O19)),4)</f>
        <v>1.3023</v>
      </c>
      <c r="D19" s="2793" t="s">
        <v>2893</v>
      </c>
      <c r="E19" s="923">
        <v>41640</v>
      </c>
      <c r="F19" s="2793" t="s">
        <v>2894</v>
      </c>
      <c r="G19" s="924">
        <f>'数据-取费表'!B2</f>
        <v>43335</v>
      </c>
      <c r="H19" s="2794" t="s">
        <v>2895</v>
      </c>
      <c r="I19" s="925" t="str">
        <f>IF(H19="季度增幅（自定义）",SUMIF(N21:N24,E2,O21:O24),"")</f>
        <v/>
      </c>
      <c r="J19" s="2791"/>
      <c r="K19" s="1375"/>
      <c r="L19" s="2795" t="s">
        <v>2896</v>
      </c>
      <c r="M19" s="1732">
        <f>ROUND(SUMIF(地价!B2:F2,E2,地价!B23:F23),0)</f>
        <v>258</v>
      </c>
      <c r="N19" s="2796" t="s">
        <v>2897</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2898</v>
      </c>
      <c r="C20" s="927">
        <f ca="1">ROUND(POWER(1+G20,J20-I20)*(POWER(1+G20,I20)-1)/(POWER(1+G20,J20)-1),4)</f>
        <v>0.83979999999999999</v>
      </c>
      <c r="D20" s="2802" t="s">
        <v>2899</v>
      </c>
      <c r="E20" s="1766">
        <f ca="1">存贷款利率!D4/100</f>
        <v>4.3499999999999997E-2</v>
      </c>
      <c r="F20" s="2802" t="s">
        <v>2890</v>
      </c>
      <c r="G20" s="932">
        <f ca="1">SUMIF(M15:P15,E2,M17:P17)</f>
        <v>5.3999999999999999E-2</v>
      </c>
      <c r="H20" s="2802" t="s">
        <v>2900</v>
      </c>
      <c r="I20" s="933">
        <f>SUMIF('数据-取费表'!C6:C15,E2,'数据-取费表'!F6:F15)/COUNTIF('数据-取费表'!C6:C15,E2)</f>
        <v>25.42</v>
      </c>
      <c r="J20" s="934">
        <f>IF(E2="住宅",70,IF(E2="商业",40,50))</f>
        <v>40</v>
      </c>
      <c r="K20" s="1375"/>
      <c r="L20" s="2803" t="s">
        <v>2901</v>
      </c>
      <c r="M20" s="1733">
        <f>ROUND(SUMPRODUCT((地价!A4:A23=YEAR(G19)&amp;"-"&amp;ROUNDUP(MONTH(G19)/3,0))*(地价!B2:F2=E2)*(地价!B4:F23)),0)</f>
        <v>336</v>
      </c>
      <c r="N20" s="2804" t="s">
        <v>2902</v>
      </c>
      <c r="O20" s="2805" t="s">
        <v>2903</v>
      </c>
      <c r="P20" s="2806" t="s">
        <v>2904</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3256</v>
      </c>
      <c r="C21" s="935">
        <f>IF(B21="容积率修正",IF(G3&lt;=10,D22,J22),C23)</f>
        <v>1.8629</v>
      </c>
      <c r="D21" s="2809"/>
      <c r="E21" s="2809"/>
      <c r="F21" s="2809"/>
      <c r="G21" s="2809"/>
      <c r="H21" s="2809"/>
      <c r="I21" s="2809"/>
      <c r="J21" s="2810"/>
      <c r="K21" s="1375"/>
      <c r="N21" s="2811" t="s">
        <v>2905</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1.1048</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08" t="s">
        <v>155</v>
      </c>
      <c r="J22" s="936" t="str">
        <f>IF(G3&gt;10,D113,"——")</f>
        <v>——</v>
      </c>
      <c r="K22" s="1375"/>
      <c r="N22" s="2811" t="s">
        <v>2909</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1.8629</v>
      </c>
      <c r="D23" s="2769"/>
      <c r="E23" s="2769"/>
      <c r="F23" s="2814"/>
      <c r="G23" s="2815"/>
      <c r="H23" s="2816"/>
      <c r="I23" s="2817"/>
      <c r="J23" s="2818"/>
      <c r="K23" s="1368"/>
      <c r="N23" s="2811" t="s">
        <v>2912</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1</v>
      </c>
      <c r="D24" s="2789"/>
      <c r="E24" s="2819"/>
      <c r="F24" s="2819"/>
      <c r="G24" s="2819"/>
      <c r="H24" s="2819"/>
      <c r="I24" s="2819"/>
      <c r="J24" s="2820"/>
      <c r="K24" s="1375"/>
      <c r="N24" s="2821" t="s">
        <v>2914</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2917</v>
      </c>
      <c r="C26" s="205" t="e">
        <f ca="1">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 ca="1">ROUND(C5*C18*C19*C20*C21*C24,0)</f>
        <v>#DIV/0!</v>
      </c>
      <c r="D29" s="2841"/>
      <c r="E29" s="940" t="e">
        <f ca="1">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 ca="1">ROUND(IF(E2="工业",C29*M39,C29*M38),0)</f>
        <v>#DIV/0!</v>
      </c>
      <c r="D30" s="2847"/>
      <c r="E30" s="940" t="e">
        <f ca="1">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2920</v>
      </c>
      <c r="D32" s="497" t="s">
        <v>2921</v>
      </c>
      <c r="E32" s="497"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2" t="s">
        <v>2931</v>
      </c>
      <c r="B33" s="2857" t="s">
        <v>2932</v>
      </c>
      <c r="C33" s="205">
        <f ca="1">ROUND(D5*C19*C20*C24*F33,0)</f>
        <v>9868</v>
      </c>
      <c r="D33" s="2841"/>
      <c r="E33" s="199">
        <f ca="1">ROUND(C33*D33/10000,0)</f>
        <v>0</v>
      </c>
      <c r="F33" s="199">
        <f>SUMIF(修正!A45:A56,G2,修正!B45:B56)</f>
        <v>0.7</v>
      </c>
      <c r="G33" s="199">
        <f t="shared" ref="G33" ca="1" si="6">ROUND(IF(E2="工业",C33*$M$39,C33*$M$38),0)</f>
        <v>2467</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1" t="s">
        <v>2933</v>
      </c>
      <c r="C34" s="205">
        <f ca="1">ROUND(D5*C19*C20*C24*F34,0)</f>
        <v>5639</v>
      </c>
      <c r="D34" s="2841"/>
      <c r="E34" s="199">
        <f t="shared" ref="E34:E39" ca="1" si="7">ROUND(C34*D34/10000,0)</f>
        <v>0</v>
      </c>
      <c r="F34" s="199">
        <f>SUMIF(修正!A45:A56,G2,修正!C45:C56)</f>
        <v>0.4</v>
      </c>
      <c r="G34" s="199">
        <f ca="1">ROUND(IF(E2="工业",C34*$M$39,C34*$M$38),0)</f>
        <v>1410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1" t="s">
        <v>2934</v>
      </c>
      <c r="C35" s="205">
        <f ca="1">ROUND(D5*C19*C20*C24*F35,0)</f>
        <v>3947</v>
      </c>
      <c r="D35" s="2841"/>
      <c r="E35" s="199">
        <f t="shared" ca="1" si="7"/>
        <v>0</v>
      </c>
      <c r="F35" s="199">
        <f>SUMIF(修正!A45:A56,G2,修正!D45:D56)</f>
        <v>0.28000000000000003</v>
      </c>
      <c r="G35" s="199">
        <f ca="1">ROUND(IF(E2="工业",C35*$M$39,C35*$M$38),0)</f>
        <v>987</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74"/>
      <c r="B36" s="2761" t="s">
        <v>2935</v>
      </c>
      <c r="C36" s="205">
        <f ca="1">ROUND(D5*C19*C20*C24*F36,0)</f>
        <v>3524</v>
      </c>
      <c r="D36" s="2841"/>
      <c r="E36" s="199">
        <f t="shared" ca="1" si="7"/>
        <v>0</v>
      </c>
      <c r="F36" s="199">
        <f>SUMIF(修正!A45:A56,G2,修正!E45:E56)</f>
        <v>0.25</v>
      </c>
      <c r="G36" s="199">
        <f ca="1">ROUND(IF(E2="工业",C36*$M$39,C36*$M$38),0)</f>
        <v>881</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 ca="1">ROUND(C5*C19*C20*C24*F37,0)</f>
        <v>#DIV/0!</v>
      </c>
      <c r="D37" s="2841"/>
      <c r="E37" s="199" t="e">
        <f t="shared" ca="1" si="7"/>
        <v>#DIV/0!</v>
      </c>
      <c r="F37" s="205">
        <f>SUMIF(修正!A45:A56,G2,修正!F45:F56)</f>
        <v>0.25</v>
      </c>
      <c r="G37" s="199" t="e">
        <f ca="1">ROUND(IF(E2="工业",C37*$M$39,C37*$M$38),0)</f>
        <v>#DIV/0!</v>
      </c>
      <c r="H37" s="199">
        <f t="shared" si="8"/>
        <v>0</v>
      </c>
      <c r="I37" s="199" t="e">
        <f t="shared" ca="1"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 ca="1">ROUND(C5*C19*C20*C24*F38,0)</f>
        <v>#DIV/0!</v>
      </c>
      <c r="D38" s="2841"/>
      <c r="E38" s="199" t="e">
        <f t="shared" ca="1" si="7"/>
        <v>#DIV/0!</v>
      </c>
      <c r="F38" s="205">
        <f>SUMIF(修正!A45:A56,G2,修正!G45:G56)</f>
        <v>0.25</v>
      </c>
      <c r="G38" s="199" t="e">
        <f ca="1">ROUND(IF(E2="工业",C38*$M$39,C38*$M$38),0)</f>
        <v>#DIV/0!</v>
      </c>
      <c r="H38" s="199">
        <f t="shared" si="8"/>
        <v>0</v>
      </c>
      <c r="I38" s="199" t="e">
        <f t="shared" ca="1"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 ca="1">ROUND(C5*C19*C20*C24*F39,0)</f>
        <v>#DIV/0!</v>
      </c>
      <c r="D39" s="2847"/>
      <c r="E39" s="228" t="e">
        <f t="shared" ca="1" si="7"/>
        <v>#DIV/0!</v>
      </c>
      <c r="F39" s="930">
        <f>SUMIF(修正!A45:A56,G2,修正!H45:H56)</f>
        <v>0.2</v>
      </c>
      <c r="G39" s="228" t="e">
        <f ca="1">ROUND(IF(E2="工业",C39*$M$39,C39*$M$38),0)</f>
        <v>#DIV/0!</v>
      </c>
      <c r="H39" s="228">
        <f t="shared" si="8"/>
        <v>0</v>
      </c>
      <c r="I39" s="228" t="e">
        <f t="shared" ca="1" si="9"/>
        <v>#DIV/0!</v>
      </c>
      <c r="J39" s="2864"/>
      <c r="K39" s="1368"/>
      <c r="L39" s="2865" t="s">
        <v>2882</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4" t="s">
        <v>2951</v>
      </c>
      <c r="B48" s="2877" t="str">
        <f>估价对象房地状况!C4</f>
        <v>估价对象位于丰台区，周边商业氛围较成熟，人流量较大，商业繁华度较好。</v>
      </c>
      <c r="C48" s="2766"/>
      <c r="D48" s="1284">
        <f t="shared" ref="D48:D56" si="10">SUMIF($J$47:$N$47,C48,J48:N48)</f>
        <v>0</v>
      </c>
      <c r="E48" s="816">
        <f>ROUND(SUM(D48:D56),4)</f>
        <v>0</v>
      </c>
      <c r="F48" s="2498">
        <f>IF(E2="商业",SUMIF(L1:L12,G2,N1:N12),"——")</f>
        <v>9.8000000000000004E-2</v>
      </c>
      <c r="G48" s="1282"/>
      <c r="H48" s="1286">
        <f t="shared" ref="H48:H56" si="11">IFERROR(ROUNDDOWN($F$48*I48/2,4),"——")</f>
        <v>1.61E-2</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2952</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f t="shared" si="11"/>
        <v>1.2200000000000001E-2</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8"/>
      <c r="G50" s="1282"/>
      <c r="H50" s="1286">
        <f t="shared" si="11"/>
        <v>2.3999999999999998E-3</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8"/>
      <c r="G51" s="1282"/>
      <c r="H51" s="1286">
        <f t="shared" si="11"/>
        <v>2.3999999999999998E-3</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t="str">
        <f>估价对象房地状况!C24</f>
        <v>城市支路——芳菲路</v>
      </c>
      <c r="C52" s="2766"/>
      <c r="D52" s="1284">
        <f t="shared" si="10"/>
        <v>0</v>
      </c>
      <c r="E52" s="817"/>
      <c r="F52" s="2498"/>
      <c r="G52" s="1282"/>
      <c r="H52" s="1286">
        <f t="shared" si="11"/>
        <v>3.8999999999999998E-3</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8"/>
      <c r="G53" s="1282"/>
      <c r="H53" s="1286">
        <f t="shared" si="11"/>
        <v>1.4E-3</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2959</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f t="shared" si="11"/>
        <v>2.3999999999999998E-3</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估价对象所在区域基础设施水平达到“七通”。</v>
      </c>
      <c r="C55" s="2766"/>
      <c r="D55" s="1284">
        <f t="shared" si="10"/>
        <v>0</v>
      </c>
      <c r="E55" s="817"/>
      <c r="F55" s="2498"/>
      <c r="G55" s="1282"/>
      <c r="H55" s="1286">
        <f t="shared" si="11"/>
        <v>4.8999999999999998E-3</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2961</v>
      </c>
      <c r="B56" s="2883" t="str">
        <f>估价对象房地状况!C20</f>
        <v>区域自然环境：东管头城市休闲公园；人文环境：首都经济贸易大学；综合评价环境状况一般。</v>
      </c>
      <c r="C56" s="2766"/>
      <c r="D56" s="1284">
        <f t="shared" si="10"/>
        <v>0</v>
      </c>
      <c r="E56" s="820"/>
      <c r="F56" s="2498"/>
      <c r="G56" s="1282"/>
      <c r="H56" s="1286">
        <f t="shared" si="11"/>
        <v>2.8999999999999998E-3</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24">
      <c r="A59" s="2874" t="s">
        <v>2964</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2952</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2959</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2961</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24">
      <c r="A70" s="2874" t="s">
        <v>2966</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2952</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2959</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2961</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2" t="s">
        <v>2597</v>
      </c>
      <c r="K80" s="602" t="s">
        <v>2598</v>
      </c>
      <c r="L80" s="602" t="s">
        <v>2599</v>
      </c>
      <c r="M80" s="602" t="s">
        <v>2600</v>
      </c>
      <c r="N80" s="602"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66" t="s">
        <v>2973</v>
      </c>
      <c r="B90" s="3266"/>
      <c r="C90" s="3266"/>
      <c r="D90" s="3266"/>
      <c r="E90" s="3266"/>
      <c r="F90" s="3266"/>
      <c r="G90" s="3266"/>
      <c r="H90" s="3266"/>
      <c r="I90" s="3266"/>
      <c r="J90" s="3266"/>
      <c r="K90" s="2888"/>
      <c r="L90" s="2888"/>
      <c r="M90" s="2888"/>
      <c r="N90" s="2888"/>
    </row>
    <row r="91" spans="1:37">
      <c r="A91" s="3268" t="s">
        <v>2974</v>
      </c>
      <c r="B91" s="3268" t="s">
        <v>2975</v>
      </c>
      <c r="C91" s="2842" t="s">
        <v>2976</v>
      </c>
      <c r="D91" s="2843"/>
      <c r="E91" s="2843"/>
      <c r="F91" s="2843"/>
      <c r="G91" s="2843"/>
      <c r="H91" s="2843"/>
      <c r="I91" s="2843"/>
      <c r="J91" s="2889"/>
      <c r="K91" s="2890"/>
      <c r="L91" s="2890"/>
      <c r="M91" s="2890"/>
      <c r="N91" s="2890"/>
    </row>
    <row r="92" spans="1:37">
      <c r="A92" s="3268"/>
      <c r="B92" s="3268"/>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69"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0"/>
      <c r="B99" s="2891" t="s">
        <v>2857</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71"/>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69" t="s">
        <v>2978</v>
      </c>
      <c r="B101" s="2895" t="s">
        <v>2979</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270"/>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270"/>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270"/>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270"/>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270"/>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270"/>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270"/>
      <c r="B108" s="3149" t="s">
        <v>2980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71"/>
      <c r="B109" s="3150"/>
      <c r="C109" s="2894">
        <f>(-0.163*(C108^2)-0.59*C108+7617)*(10^(-4))/C101</f>
        <v>0.39667953125000005</v>
      </c>
      <c r="D109" s="2894">
        <f>(-0.163*(D108^2)-0.59*D108+7617)*(10^(-4))/D101</f>
        <v>0.39667953125000005</v>
      </c>
      <c r="E109" s="2894">
        <f>(-0.161*(E108^2)-7.509*E108+6533)*(10^(-4))/E101</f>
        <v>0.33986093750000002</v>
      </c>
      <c r="F109" s="2894">
        <f>(-0.161*(F108^2)-7.509*F108+6533)*(10^(-4))/F101</f>
        <v>0.33986093750000002</v>
      </c>
      <c r="G109" s="2894">
        <f>(-0.161*(G108^2)-7.509*G108+6533)*(10^(-4))/G101</f>
        <v>0.33986093750000002</v>
      </c>
      <c r="H109" s="2894">
        <f>(-0.161*(H108^2)-7.509*H108+6533)*(10^(-4))/H101</f>
        <v>0.33986093750000002</v>
      </c>
      <c r="I109" s="2894">
        <f>(-0.161*(I108^2)-7.509*I108+6533)*(10^(-4))/I101</f>
        <v>0.33986093750000002</v>
      </c>
      <c r="J109" s="2894">
        <f>(-0.214*(J108^2)-21.991*J108+4665)*(10^(-4))/J101</f>
        <v>0.24181223958333334</v>
      </c>
      <c r="K109" s="2894">
        <f>(-0.214*(K108^2)-21.991*K108+4665)*(10^(-4))/K101</f>
        <v>0.24181223958333334</v>
      </c>
      <c r="L109" s="2894">
        <f>(-0.214*(L108^2)-21.991*L108+4665)*(10^(-4))/L101</f>
        <v>0.24181223958333334</v>
      </c>
      <c r="M109" s="2894">
        <f>(-0.214*(M108^2)-21.991*M108+4665)*(10^(-4))/M101</f>
        <v>0.24181223958333334</v>
      </c>
      <c r="N109" s="2894">
        <f>(-0.214*(N108^2)-21.991*N108+4665)*(10^(-4))/N101</f>
        <v>0.24181223958333334</v>
      </c>
    </row>
    <row r="110" spans="1:14">
      <c r="A110" s="3267" t="s">
        <v>2981</v>
      </c>
      <c r="B110" s="3267"/>
      <c r="C110" s="3267"/>
      <c r="D110" s="3267"/>
      <c r="E110" s="3267"/>
      <c r="F110" s="3267"/>
      <c r="G110" s="3267"/>
      <c r="H110" s="3267"/>
      <c r="I110" s="3267"/>
      <c r="J110" s="3267"/>
      <c r="K110" s="2897"/>
      <c r="L110" s="2897"/>
      <c r="M110" s="2897"/>
      <c r="N110" s="2897"/>
    </row>
    <row r="112" spans="1:14" ht="13.5" thickBot="1"/>
    <row r="113" spans="1:13" ht="25.5" thickBot="1">
      <c r="A113" s="898" t="s">
        <v>2982</v>
      </c>
      <c r="B113" s="1285">
        <f>G3</f>
        <v>1.92</v>
      </c>
      <c r="C113" s="899" t="s">
        <v>2983</v>
      </c>
      <c r="D113" s="900">
        <f>SUMPRODUCT((A115:A118=F113)*(B114:M114=H113)*B115:M118)</f>
        <v>0.81220000000000003</v>
      </c>
      <c r="E113" s="2720" t="s">
        <v>2814</v>
      </c>
      <c r="F113" s="2899" t="str">
        <f>E2</f>
        <v>商业</v>
      </c>
      <c r="G113" s="2720" t="s">
        <v>2815</v>
      </c>
      <c r="H113" s="2899" t="str">
        <f>G2</f>
        <v>五级</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2879</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2880</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2881</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2882</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B22" sqref="B22"/>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3006</v>
      </c>
      <c r="C1" s="3285" t="s">
        <v>3007</v>
      </c>
      <c r="D1" s="3286"/>
      <c r="E1" s="3286"/>
      <c r="F1" s="3286"/>
      <c r="G1" s="3286"/>
      <c r="H1" s="3286"/>
      <c r="I1" s="3286"/>
      <c r="J1" s="3286"/>
      <c r="K1" s="3286"/>
      <c r="L1" s="3286"/>
      <c r="M1" s="3286"/>
      <c r="N1" s="3286"/>
      <c r="O1" s="3286"/>
      <c r="P1" s="3286"/>
      <c r="Q1" s="3286"/>
      <c r="R1" s="3286"/>
      <c r="S1" s="3287"/>
      <c r="T1" s="1202" t="s">
        <v>3008</v>
      </c>
    </row>
    <row r="2" spans="1:45" s="706" customFormat="1" ht="38.25">
      <c r="A2" s="1203"/>
      <c r="B2" s="702" t="s">
        <v>3009</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3019" t="s">
        <v>3277</v>
      </c>
      <c r="C5" s="3020" t="s">
        <v>3278</v>
      </c>
      <c r="D5" s="3021" t="s">
        <v>3279</v>
      </c>
      <c r="E5" s="3021" t="s">
        <v>3280</v>
      </c>
      <c r="F5" s="1709"/>
      <c r="G5" s="1709"/>
      <c r="H5" s="1709"/>
      <c r="I5" s="1709"/>
      <c r="J5" s="1709"/>
      <c r="K5" s="1709"/>
      <c r="L5" s="1710"/>
      <c r="M5" s="1711"/>
      <c r="N5" s="1711"/>
      <c r="O5" s="1709"/>
      <c r="P5" s="1709"/>
      <c r="Q5" s="1709"/>
      <c r="R5" s="1709"/>
      <c r="S5" s="1712"/>
      <c r="T5" s="1217">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97</v>
      </c>
      <c r="E6" s="1117">
        <f t="shared" ref="E6:S6" si="7">D6-$T5</f>
        <v>94</v>
      </c>
      <c r="F6" s="1713">
        <f t="shared" si="7"/>
        <v>91</v>
      </c>
      <c r="G6" s="1713">
        <f t="shared" si="7"/>
        <v>88</v>
      </c>
      <c r="H6" s="1713">
        <f t="shared" si="7"/>
        <v>85</v>
      </c>
      <c r="I6" s="1713">
        <f t="shared" si="7"/>
        <v>82</v>
      </c>
      <c r="J6" s="1713">
        <f t="shared" si="7"/>
        <v>79</v>
      </c>
      <c r="K6" s="1713">
        <f t="shared" si="7"/>
        <v>76</v>
      </c>
      <c r="L6" s="1713">
        <f t="shared" si="7"/>
        <v>73</v>
      </c>
      <c r="M6" s="1713">
        <f t="shared" si="7"/>
        <v>70</v>
      </c>
      <c r="N6" s="1713">
        <f t="shared" si="7"/>
        <v>67</v>
      </c>
      <c r="O6" s="1713">
        <f t="shared" si="7"/>
        <v>64</v>
      </c>
      <c r="P6" s="1713">
        <f t="shared" si="7"/>
        <v>61</v>
      </c>
      <c r="Q6" s="1713">
        <f t="shared" si="7"/>
        <v>58</v>
      </c>
      <c r="R6" s="1713">
        <f t="shared" si="7"/>
        <v>55</v>
      </c>
      <c r="S6" s="1713">
        <f t="shared" si="7"/>
        <v>52</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3022" t="s">
        <v>3281</v>
      </c>
      <c r="C7" s="3023" t="s">
        <v>3282</v>
      </c>
      <c r="D7" s="3024" t="s">
        <v>3283</v>
      </c>
      <c r="E7" s="1113"/>
      <c r="F7" s="1714"/>
      <c r="G7" s="1714"/>
      <c r="H7" s="1714"/>
      <c r="I7" s="1714"/>
      <c r="J7" s="1714"/>
      <c r="K7" s="1714"/>
      <c r="L7" s="1714"/>
      <c r="M7" s="1715"/>
      <c r="N7" s="1716"/>
      <c r="O7" s="1717"/>
      <c r="P7" s="1718"/>
      <c r="Q7" s="1719"/>
      <c r="R7" s="1720"/>
      <c r="S7" s="1721"/>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3010</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3014</v>
      </c>
      <c r="B17" s="2913" t="s">
        <v>3015</v>
      </c>
      <c r="C17" s="1229" t="s">
        <v>3198</v>
      </c>
      <c r="D17" s="1230" t="s">
        <v>3199</v>
      </c>
      <c r="E17" s="1230" t="s">
        <v>3200</v>
      </c>
      <c r="F17" s="2987" t="s">
        <v>3202</v>
      </c>
      <c r="G17" s="2987" t="s">
        <v>3207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70</v>
      </c>
      <c r="E18" s="1242">
        <v>65</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3016</v>
      </c>
      <c r="E19" s="1790"/>
      <c r="F19" s="1790"/>
      <c r="G19" s="1790"/>
      <c r="H19" s="1278"/>
      <c r="I19" s="167"/>
      <c r="J19" s="167"/>
      <c r="K19" s="167"/>
      <c r="L19" s="167"/>
      <c r="M19" s="167"/>
      <c r="N19" s="167"/>
      <c r="O19" s="167"/>
      <c r="P19" s="167"/>
      <c r="Q19" s="167"/>
      <c r="R19" s="786"/>
      <c r="S19" s="137"/>
    </row>
    <row r="20" spans="1:45" ht="16.5" thickBot="1">
      <c r="A20" s="714" t="s">
        <v>3017</v>
      </c>
      <c r="B20" s="337">
        <f ca="1">IF(D20="——",S22,S22-F20)</f>
        <v>91115</v>
      </c>
      <c r="C20" s="167"/>
      <c r="D20" s="3001" t="s">
        <v>3254</v>
      </c>
      <c r="E20" s="1791"/>
      <c r="F20" s="1202">
        <f ca="1">'收益法（10年内）'!C46+'收益法（10年以上）'!C46</f>
        <v>8780</v>
      </c>
      <c r="G20" s="1202" t="s">
        <v>3018</v>
      </c>
      <c r="H20" s="2915"/>
      <c r="I20" s="167"/>
      <c r="J20" s="167"/>
      <c r="K20" s="167"/>
      <c r="L20" s="167"/>
      <c r="M20" s="167"/>
      <c r="N20" s="167"/>
      <c r="O20" s="167"/>
      <c r="P20" s="167"/>
      <c r="Q20" s="167"/>
      <c r="R20" s="786"/>
      <c r="S20" s="137"/>
    </row>
    <row r="21" spans="1:45" ht="15.75">
      <c r="A21" s="714" t="s">
        <v>3019</v>
      </c>
      <c r="B21" s="337">
        <f ca="1">ROUND(B20*10000/B22,0)</f>
        <v>41542</v>
      </c>
      <c r="C21" s="167"/>
      <c r="D21" s="167"/>
      <c r="E21" s="167"/>
      <c r="F21" s="167"/>
      <c r="G21" s="167"/>
      <c r="H21" s="167"/>
      <c r="I21" s="167"/>
      <c r="J21" s="167"/>
      <c r="K21" s="167"/>
      <c r="L21" s="167"/>
      <c r="M21" s="167"/>
      <c r="N21" s="167"/>
      <c r="O21" s="167"/>
      <c r="P21" s="167"/>
      <c r="Q21" s="167"/>
      <c r="R21" s="786"/>
      <c r="S21" s="137"/>
    </row>
    <row r="22" spans="1:45">
      <c r="A22" s="360" t="s">
        <v>3020</v>
      </c>
      <c r="B22" s="24">
        <f>SUM(B24:B10000)</f>
        <v>21933.109999999986</v>
      </c>
      <c r="C22" s="3130" t="s">
        <v>33</v>
      </c>
      <c r="D22" s="3131"/>
      <c r="E22" s="3131"/>
      <c r="F22" s="3131"/>
      <c r="G22" s="3131"/>
      <c r="H22" s="3131"/>
      <c r="I22" s="3131"/>
      <c r="J22" s="3131"/>
      <c r="K22" s="3131"/>
      <c r="L22" s="3131"/>
      <c r="M22" s="3131"/>
      <c r="N22" s="3131"/>
      <c r="O22" s="3131"/>
      <c r="P22" s="3131"/>
      <c r="Q22" s="3284"/>
      <c r="R22" s="715">
        <f>ROUND(S22*10000/B22,0)</f>
        <v>45545</v>
      </c>
      <c r="S22" s="24">
        <f>SUM(S24:S10000)</f>
        <v>99895</v>
      </c>
    </row>
    <row r="23" spans="1:45" s="12" customFormat="1" ht="24">
      <c r="A23" s="11" t="s">
        <v>3021</v>
      </c>
      <c r="B23" s="11" t="s">
        <v>3022</v>
      </c>
      <c r="C23" s="11" t="s">
        <v>3023</v>
      </c>
      <c r="D23" s="11" t="str">
        <f>B5</f>
        <v>商业类型</v>
      </c>
      <c r="E23" s="11" t="s">
        <v>3023</v>
      </c>
      <c r="F23" s="11" t="str">
        <f>B7</f>
        <v>可视性</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3" t="s">
        <v>3197</v>
      </c>
      <c r="B24" s="2984">
        <f>抵押物清单!D5</f>
        <v>117.66</v>
      </c>
      <c r="C24" s="717">
        <v>1</v>
      </c>
      <c r="D24" s="718" t="s">
        <v>3273</v>
      </c>
      <c r="E24" s="717">
        <v>1</v>
      </c>
      <c r="F24" s="718" t="s">
        <v>3271</v>
      </c>
      <c r="G24" s="717">
        <v>1</v>
      </c>
      <c r="H24" s="718"/>
      <c r="I24" s="717">
        <v>1</v>
      </c>
      <c r="J24" s="718"/>
      <c r="K24" s="717">
        <v>1</v>
      </c>
      <c r="L24" s="718"/>
      <c r="M24" s="717">
        <v>1</v>
      </c>
      <c r="N24" s="718"/>
      <c r="O24" s="717">
        <v>1</v>
      </c>
      <c r="P24" s="718" t="s">
        <v>3203</v>
      </c>
      <c r="Q24" s="717">
        <v>1</v>
      </c>
      <c r="R24" s="719">
        <f>'比较法-商业'!B3</f>
        <v>57724</v>
      </c>
      <c r="S24" s="717">
        <f t="shared" ref="S24:S54" si="11">ROUND(R24*B24/10000,0)</f>
        <v>679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5" t="str">
        <f>抵押物清单!C6</f>
        <v>1层03号</v>
      </c>
      <c r="B25" s="2986">
        <f>抵押物清单!D6</f>
        <v>114.45</v>
      </c>
      <c r="C25" s="24">
        <f>IF(B25="",1,(LOOKUP(B25,$3:$3,$4:$4)-LOOKUP($B$24,$3:$3,$4:$4)+100)/100)</f>
        <v>1</v>
      </c>
      <c r="D25" s="718" t="s">
        <v>3273</v>
      </c>
      <c r="E25" s="24">
        <f>(SUMIF($5:$5,D25,$6:$6)-SUMIF($5:$5,$D$24,$6:$6)+100)/100</f>
        <v>1</v>
      </c>
      <c r="F25" s="718" t="s">
        <v>3271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3203</v>
      </c>
      <c r="Q25" s="24">
        <f>(SUMIF($17:$17,P25,$18:$18)-SUMIF($17:$17,$P$24,$18:$18)+100)/100</f>
        <v>1</v>
      </c>
      <c r="R25" s="715">
        <f>IF(B25="",0,ROUND($R$24*C25*E25*G25*I25*K25*M25*O25*Q25,0))</f>
        <v>57724</v>
      </c>
      <c r="S25" s="360">
        <f t="shared" si="11"/>
        <v>661</v>
      </c>
    </row>
    <row r="26" spans="1:45">
      <c r="A26" s="2985" t="str">
        <f>抵押物清单!C7</f>
        <v>1层04号</v>
      </c>
      <c r="B26" s="2986">
        <f>抵押物清单!D7</f>
        <v>111.27</v>
      </c>
      <c r="C26" s="24">
        <f t="shared" ref="C26:C89" si="12">IF(B26="",1,(LOOKUP(B26,$3:$3,$4:$4)-LOOKUP($B$24,$3:$3,$4:$4)+100)/100)</f>
        <v>1</v>
      </c>
      <c r="D26" s="718" t="s">
        <v>3273</v>
      </c>
      <c r="E26" s="24">
        <f t="shared" ref="E26:E89" si="13">(SUMIF($5:$5,D26,$6:$6)-SUMIF($5:$5,$D$24,$6:$6)+100)/100</f>
        <v>1</v>
      </c>
      <c r="F26" s="718" t="s">
        <v>3271</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3203</v>
      </c>
      <c r="Q26" s="24">
        <f t="shared" ref="Q26:Q89" si="19">(SUMIF($17:$17,P26,$18:$18)-SUMIF($17:$17,$P$24,$18:$18)+100)/100</f>
        <v>1</v>
      </c>
      <c r="R26" s="715">
        <f t="shared" ref="R26:R89" si="20">IF(B26="",0,ROUND($R$24*C26*E26*G26*I26*K26*M26*O26*Q26,0))</f>
        <v>57724</v>
      </c>
      <c r="S26" s="360">
        <f t="shared" si="11"/>
        <v>642</v>
      </c>
    </row>
    <row r="27" spans="1:45">
      <c r="A27" s="2985" t="str">
        <f>抵押物清单!C8</f>
        <v>2层01号</v>
      </c>
      <c r="B27" s="2986">
        <f>抵押物清单!D8</f>
        <v>736.02</v>
      </c>
      <c r="C27" s="24">
        <f t="shared" si="12"/>
        <v>0.98</v>
      </c>
      <c r="D27" s="718" t="s">
        <v>3273</v>
      </c>
      <c r="E27" s="24">
        <f t="shared" si="13"/>
        <v>1</v>
      </c>
      <c r="F27" s="718" t="s">
        <v>3271</v>
      </c>
      <c r="G27" s="24">
        <f t="shared" si="14"/>
        <v>1</v>
      </c>
      <c r="H27" s="718"/>
      <c r="I27" s="24">
        <f t="shared" si="15"/>
        <v>1</v>
      </c>
      <c r="J27" s="718"/>
      <c r="K27" s="24">
        <f t="shared" si="16"/>
        <v>1</v>
      </c>
      <c r="L27" s="718"/>
      <c r="M27" s="24">
        <f t="shared" si="17"/>
        <v>1</v>
      </c>
      <c r="N27" s="718"/>
      <c r="O27" s="24">
        <f t="shared" si="18"/>
        <v>1</v>
      </c>
      <c r="P27" s="718" t="s">
        <v>3203</v>
      </c>
      <c r="Q27" s="24">
        <f t="shared" si="19"/>
        <v>1</v>
      </c>
      <c r="R27" s="715">
        <f t="shared" si="20"/>
        <v>56570</v>
      </c>
      <c r="S27" s="360">
        <f t="shared" si="11"/>
        <v>4164</v>
      </c>
    </row>
    <row r="28" spans="1:45">
      <c r="A28" s="2985" t="str">
        <f>抵押物清单!C9</f>
        <v>1层01号</v>
      </c>
      <c r="B28" s="2986">
        <f>抵押物清单!D9</f>
        <v>114.42</v>
      </c>
      <c r="C28" s="24">
        <f t="shared" si="12"/>
        <v>1</v>
      </c>
      <c r="D28" s="718" t="s">
        <v>3273</v>
      </c>
      <c r="E28" s="24">
        <f t="shared" si="13"/>
        <v>1</v>
      </c>
      <c r="F28" s="718" t="s">
        <v>3271</v>
      </c>
      <c r="G28" s="24">
        <f t="shared" si="14"/>
        <v>1</v>
      </c>
      <c r="H28" s="718"/>
      <c r="I28" s="24">
        <f t="shared" si="15"/>
        <v>1</v>
      </c>
      <c r="J28" s="718"/>
      <c r="K28" s="24">
        <f t="shared" si="16"/>
        <v>1</v>
      </c>
      <c r="L28" s="718"/>
      <c r="M28" s="24">
        <f t="shared" si="17"/>
        <v>1</v>
      </c>
      <c r="N28" s="718"/>
      <c r="O28" s="24">
        <f t="shared" si="18"/>
        <v>1</v>
      </c>
      <c r="P28" s="718" t="s">
        <v>3203</v>
      </c>
      <c r="Q28" s="24">
        <f t="shared" si="19"/>
        <v>1</v>
      </c>
      <c r="R28" s="715">
        <f t="shared" si="20"/>
        <v>57724</v>
      </c>
      <c r="S28" s="360">
        <f t="shared" si="11"/>
        <v>660</v>
      </c>
    </row>
    <row r="29" spans="1:45">
      <c r="A29" s="2985" t="str">
        <f>抵押物清单!C10</f>
        <v>1层02号</v>
      </c>
      <c r="B29" s="2986">
        <f>抵押物清单!D10</f>
        <v>121.74</v>
      </c>
      <c r="C29" s="24">
        <f t="shared" si="12"/>
        <v>1</v>
      </c>
      <c r="D29" s="718" t="s">
        <v>3273</v>
      </c>
      <c r="E29" s="24">
        <f t="shared" si="13"/>
        <v>1</v>
      </c>
      <c r="F29" s="718" t="s">
        <v>3271</v>
      </c>
      <c r="G29" s="24">
        <f t="shared" si="14"/>
        <v>1</v>
      </c>
      <c r="H29" s="718"/>
      <c r="I29" s="24">
        <f t="shared" si="15"/>
        <v>1</v>
      </c>
      <c r="J29" s="718"/>
      <c r="K29" s="24">
        <f t="shared" si="16"/>
        <v>1</v>
      </c>
      <c r="L29" s="718"/>
      <c r="M29" s="24">
        <f t="shared" si="17"/>
        <v>1</v>
      </c>
      <c r="N29" s="718"/>
      <c r="O29" s="24">
        <f t="shared" si="18"/>
        <v>1</v>
      </c>
      <c r="P29" s="718" t="s">
        <v>3203</v>
      </c>
      <c r="Q29" s="24">
        <f t="shared" si="19"/>
        <v>1</v>
      </c>
      <c r="R29" s="715">
        <f t="shared" si="20"/>
        <v>57724</v>
      </c>
      <c r="S29" s="360">
        <f t="shared" si="11"/>
        <v>703</v>
      </c>
    </row>
    <row r="30" spans="1:45">
      <c r="A30" s="2985" t="str">
        <f>抵押物清单!C11</f>
        <v>1层03号</v>
      </c>
      <c r="B30" s="2986">
        <f>抵押物清单!D11</f>
        <v>154.80000000000001</v>
      </c>
      <c r="C30" s="24">
        <f t="shared" si="12"/>
        <v>1</v>
      </c>
      <c r="D30" s="718" t="s">
        <v>3273</v>
      </c>
      <c r="E30" s="24">
        <f t="shared" si="13"/>
        <v>1</v>
      </c>
      <c r="F30" s="718" t="s">
        <v>3271</v>
      </c>
      <c r="G30" s="24">
        <f t="shared" si="14"/>
        <v>1</v>
      </c>
      <c r="H30" s="718"/>
      <c r="I30" s="24">
        <f t="shared" si="15"/>
        <v>1</v>
      </c>
      <c r="J30" s="718"/>
      <c r="K30" s="24">
        <f t="shared" si="16"/>
        <v>1</v>
      </c>
      <c r="L30" s="718"/>
      <c r="M30" s="24">
        <f t="shared" si="17"/>
        <v>1</v>
      </c>
      <c r="N30" s="718"/>
      <c r="O30" s="24">
        <f t="shared" si="18"/>
        <v>1</v>
      </c>
      <c r="P30" s="718" t="s">
        <v>3203</v>
      </c>
      <c r="Q30" s="24">
        <f t="shared" si="19"/>
        <v>1</v>
      </c>
      <c r="R30" s="715">
        <f t="shared" si="20"/>
        <v>57724</v>
      </c>
      <c r="S30" s="360">
        <f t="shared" si="11"/>
        <v>894</v>
      </c>
    </row>
    <row r="31" spans="1:45">
      <c r="A31" s="2985" t="str">
        <f>抵押物清单!C12</f>
        <v>2层01号</v>
      </c>
      <c r="B31" s="2986">
        <f>抵押物清单!D12</f>
        <v>520.76</v>
      </c>
      <c r="C31" s="24">
        <f t="shared" si="12"/>
        <v>0.99</v>
      </c>
      <c r="D31" s="718" t="s">
        <v>3273</v>
      </c>
      <c r="E31" s="24">
        <f t="shared" si="13"/>
        <v>1</v>
      </c>
      <c r="F31" s="718" t="s">
        <v>3271</v>
      </c>
      <c r="G31" s="24">
        <f t="shared" si="14"/>
        <v>1</v>
      </c>
      <c r="H31" s="718"/>
      <c r="I31" s="24">
        <f t="shared" si="15"/>
        <v>1</v>
      </c>
      <c r="J31" s="718"/>
      <c r="K31" s="24">
        <f t="shared" si="16"/>
        <v>1</v>
      </c>
      <c r="L31" s="718"/>
      <c r="M31" s="24">
        <f t="shared" si="17"/>
        <v>1</v>
      </c>
      <c r="N31" s="718"/>
      <c r="O31" s="24">
        <f t="shared" si="18"/>
        <v>1</v>
      </c>
      <c r="P31" s="718" t="s">
        <v>3203</v>
      </c>
      <c r="Q31" s="24">
        <f t="shared" si="19"/>
        <v>1</v>
      </c>
      <c r="R31" s="715">
        <f t="shared" si="20"/>
        <v>57147</v>
      </c>
      <c r="S31" s="360">
        <f t="shared" si="11"/>
        <v>2976</v>
      </c>
    </row>
    <row r="32" spans="1:45">
      <c r="A32" s="2985">
        <f>抵押物清单!C13</f>
        <v>101</v>
      </c>
      <c r="B32" s="2986">
        <f>抵押物清单!D13</f>
        <v>781.2</v>
      </c>
      <c r="C32" s="24">
        <f t="shared" si="12"/>
        <v>0.98</v>
      </c>
      <c r="D32" s="718" t="s">
        <v>3273</v>
      </c>
      <c r="E32" s="24">
        <f t="shared" si="13"/>
        <v>1</v>
      </c>
      <c r="F32" s="718" t="s">
        <v>3271</v>
      </c>
      <c r="G32" s="24">
        <f t="shared" si="14"/>
        <v>1</v>
      </c>
      <c r="H32" s="718"/>
      <c r="I32" s="24">
        <f t="shared" si="15"/>
        <v>1</v>
      </c>
      <c r="J32" s="718"/>
      <c r="K32" s="24">
        <f t="shared" si="16"/>
        <v>1</v>
      </c>
      <c r="L32" s="718"/>
      <c r="M32" s="24">
        <f t="shared" si="17"/>
        <v>1</v>
      </c>
      <c r="N32" s="718"/>
      <c r="O32" s="24">
        <f t="shared" si="18"/>
        <v>1</v>
      </c>
      <c r="P32" s="718" t="s">
        <v>3203</v>
      </c>
      <c r="Q32" s="24">
        <f t="shared" si="19"/>
        <v>1</v>
      </c>
      <c r="R32" s="715">
        <f t="shared" si="20"/>
        <v>56570</v>
      </c>
      <c r="S32" s="360">
        <f t="shared" si="11"/>
        <v>4419</v>
      </c>
    </row>
    <row r="33" spans="1:19">
      <c r="A33" s="2985" t="str">
        <f>抵押物清单!C14</f>
        <v>102</v>
      </c>
      <c r="B33" s="2986">
        <f>抵押物清单!D14</f>
        <v>982.47</v>
      </c>
      <c r="C33" s="24">
        <f t="shared" si="12"/>
        <v>0.97</v>
      </c>
      <c r="D33" s="718" t="s">
        <v>3273</v>
      </c>
      <c r="E33" s="24">
        <f t="shared" si="13"/>
        <v>1</v>
      </c>
      <c r="F33" s="718" t="s">
        <v>3271</v>
      </c>
      <c r="G33" s="24">
        <f t="shared" si="14"/>
        <v>1</v>
      </c>
      <c r="H33" s="718"/>
      <c r="I33" s="24">
        <f t="shared" si="15"/>
        <v>1</v>
      </c>
      <c r="J33" s="718"/>
      <c r="K33" s="24">
        <f t="shared" si="16"/>
        <v>1</v>
      </c>
      <c r="L33" s="718"/>
      <c r="M33" s="24">
        <f t="shared" si="17"/>
        <v>1</v>
      </c>
      <c r="N33" s="718"/>
      <c r="O33" s="24">
        <f t="shared" si="18"/>
        <v>1</v>
      </c>
      <c r="P33" s="718" t="s">
        <v>3203</v>
      </c>
      <c r="Q33" s="24">
        <f t="shared" si="19"/>
        <v>1</v>
      </c>
      <c r="R33" s="715">
        <f t="shared" si="20"/>
        <v>55992</v>
      </c>
      <c r="S33" s="360">
        <f t="shared" si="11"/>
        <v>5501</v>
      </c>
    </row>
    <row r="34" spans="1:19">
      <c r="A34" s="2985" t="str">
        <f>抵押物清单!C15</f>
        <v>201</v>
      </c>
      <c r="B34" s="2986">
        <f>抵押物清单!D15</f>
        <v>798.98</v>
      </c>
      <c r="C34" s="24">
        <f t="shared" si="12"/>
        <v>0.98</v>
      </c>
      <c r="D34" s="718" t="s">
        <v>3273</v>
      </c>
      <c r="E34" s="24">
        <f t="shared" si="13"/>
        <v>1</v>
      </c>
      <c r="F34" s="718" t="s">
        <v>3271</v>
      </c>
      <c r="G34" s="24">
        <f t="shared" si="14"/>
        <v>1</v>
      </c>
      <c r="H34" s="718"/>
      <c r="I34" s="24">
        <f t="shared" si="15"/>
        <v>1</v>
      </c>
      <c r="J34" s="718"/>
      <c r="K34" s="24">
        <f t="shared" si="16"/>
        <v>1</v>
      </c>
      <c r="L34" s="718"/>
      <c r="M34" s="24">
        <f t="shared" si="17"/>
        <v>1</v>
      </c>
      <c r="N34" s="718"/>
      <c r="O34" s="24">
        <f t="shared" si="18"/>
        <v>1</v>
      </c>
      <c r="P34" s="718" t="s">
        <v>3205</v>
      </c>
      <c r="Q34" s="24">
        <f t="shared" si="19"/>
        <v>0.7</v>
      </c>
      <c r="R34" s="715">
        <f t="shared" si="20"/>
        <v>39599</v>
      </c>
      <c r="S34" s="360">
        <f t="shared" si="11"/>
        <v>3164</v>
      </c>
    </row>
    <row r="35" spans="1:19">
      <c r="A35" s="2985">
        <f>抵押物清单!C16</f>
        <v>202</v>
      </c>
      <c r="B35" s="2986">
        <f>抵押物清单!D16</f>
        <v>999.63</v>
      </c>
      <c r="C35" s="24">
        <f t="shared" si="12"/>
        <v>0.97</v>
      </c>
      <c r="D35" s="718" t="s">
        <v>3273</v>
      </c>
      <c r="E35" s="24">
        <f t="shared" si="13"/>
        <v>1</v>
      </c>
      <c r="F35" s="718" t="s">
        <v>3271</v>
      </c>
      <c r="G35" s="24">
        <f t="shared" si="14"/>
        <v>1</v>
      </c>
      <c r="H35" s="718"/>
      <c r="I35" s="24">
        <f t="shared" si="15"/>
        <v>1</v>
      </c>
      <c r="J35" s="718"/>
      <c r="K35" s="24">
        <f t="shared" si="16"/>
        <v>1</v>
      </c>
      <c r="L35" s="718"/>
      <c r="M35" s="24">
        <f t="shared" si="17"/>
        <v>1</v>
      </c>
      <c r="N35" s="718"/>
      <c r="O35" s="24">
        <f t="shared" si="18"/>
        <v>1</v>
      </c>
      <c r="P35" s="718" t="s">
        <v>3205</v>
      </c>
      <c r="Q35" s="24">
        <f t="shared" si="19"/>
        <v>0.7</v>
      </c>
      <c r="R35" s="715">
        <f t="shared" si="20"/>
        <v>39195</v>
      </c>
      <c r="S35" s="360">
        <f t="shared" si="11"/>
        <v>3918</v>
      </c>
    </row>
    <row r="36" spans="1:19">
      <c r="A36" s="2985" t="str">
        <f>抵押物清单!C17</f>
        <v>301</v>
      </c>
      <c r="B36" s="2986">
        <f>抵押物清单!D17</f>
        <v>800.02</v>
      </c>
      <c r="C36" s="24">
        <f t="shared" si="12"/>
        <v>0.98</v>
      </c>
      <c r="D36" s="718" t="s">
        <v>3273</v>
      </c>
      <c r="E36" s="24">
        <f t="shared" si="13"/>
        <v>1</v>
      </c>
      <c r="F36" s="718" t="s">
        <v>3271</v>
      </c>
      <c r="G36" s="24">
        <f t="shared" si="14"/>
        <v>1</v>
      </c>
      <c r="H36" s="718"/>
      <c r="I36" s="24">
        <f t="shared" si="15"/>
        <v>1</v>
      </c>
      <c r="J36" s="718"/>
      <c r="K36" s="24">
        <f t="shared" si="16"/>
        <v>1</v>
      </c>
      <c r="L36" s="718"/>
      <c r="M36" s="24">
        <f t="shared" si="17"/>
        <v>1</v>
      </c>
      <c r="N36" s="718"/>
      <c r="O36" s="24">
        <f t="shared" si="18"/>
        <v>1</v>
      </c>
      <c r="P36" s="718" t="s">
        <v>3204</v>
      </c>
      <c r="Q36" s="24">
        <f t="shared" si="19"/>
        <v>0.65</v>
      </c>
      <c r="R36" s="715">
        <f t="shared" si="20"/>
        <v>36770</v>
      </c>
      <c r="S36" s="360">
        <f t="shared" si="11"/>
        <v>2942</v>
      </c>
    </row>
    <row r="37" spans="1:19">
      <c r="A37" s="2985">
        <f>抵押物清单!C18</f>
        <v>302</v>
      </c>
      <c r="B37" s="2986">
        <f>抵押物清单!D18</f>
        <v>999.63</v>
      </c>
      <c r="C37" s="24">
        <f t="shared" si="12"/>
        <v>0.97</v>
      </c>
      <c r="D37" s="718" t="s">
        <v>3273</v>
      </c>
      <c r="E37" s="24">
        <f t="shared" si="13"/>
        <v>1</v>
      </c>
      <c r="F37" s="718" t="s">
        <v>3271</v>
      </c>
      <c r="G37" s="24">
        <f t="shared" si="14"/>
        <v>1</v>
      </c>
      <c r="H37" s="718"/>
      <c r="I37" s="24">
        <f t="shared" si="15"/>
        <v>1</v>
      </c>
      <c r="J37" s="718"/>
      <c r="K37" s="24">
        <f t="shared" si="16"/>
        <v>1</v>
      </c>
      <c r="L37" s="718"/>
      <c r="M37" s="24">
        <f t="shared" si="17"/>
        <v>1</v>
      </c>
      <c r="N37" s="718"/>
      <c r="O37" s="24">
        <f t="shared" si="18"/>
        <v>1</v>
      </c>
      <c r="P37" s="718" t="s">
        <v>3204</v>
      </c>
      <c r="Q37" s="24">
        <f t="shared" si="19"/>
        <v>0.65</v>
      </c>
      <c r="R37" s="715">
        <f t="shared" si="20"/>
        <v>36395</v>
      </c>
      <c r="S37" s="360">
        <f t="shared" si="11"/>
        <v>3638</v>
      </c>
    </row>
    <row r="38" spans="1:19">
      <c r="A38" s="2985" t="str">
        <f>抵押物清单!C19</f>
        <v>-1层商业</v>
      </c>
      <c r="B38" s="2986">
        <f>抵押物清单!I19</f>
        <v>1755.23</v>
      </c>
      <c r="C38" s="24">
        <f t="shared" si="12"/>
        <v>0.96</v>
      </c>
      <c r="D38" s="718" t="s">
        <v>3273</v>
      </c>
      <c r="E38" s="24">
        <f t="shared" si="13"/>
        <v>1</v>
      </c>
      <c r="F38" s="718" t="s">
        <v>3271</v>
      </c>
      <c r="G38" s="24">
        <f t="shared" si="14"/>
        <v>1</v>
      </c>
      <c r="H38" s="718"/>
      <c r="I38" s="24">
        <f t="shared" si="15"/>
        <v>1</v>
      </c>
      <c r="J38" s="718"/>
      <c r="K38" s="24">
        <f t="shared" si="16"/>
        <v>1</v>
      </c>
      <c r="L38" s="718"/>
      <c r="M38" s="24">
        <f t="shared" si="17"/>
        <v>1</v>
      </c>
      <c r="N38" s="718"/>
      <c r="O38" s="24">
        <f t="shared" si="18"/>
        <v>1</v>
      </c>
      <c r="P38" s="718" t="s">
        <v>3201</v>
      </c>
      <c r="Q38" s="24">
        <f t="shared" si="19"/>
        <v>0.6</v>
      </c>
      <c r="R38" s="715">
        <f t="shared" si="20"/>
        <v>33249</v>
      </c>
      <c r="S38" s="360">
        <f t="shared" si="11"/>
        <v>5836</v>
      </c>
    </row>
    <row r="39" spans="1:19">
      <c r="A39" s="2985" t="str">
        <f>抵押物清单!C20</f>
        <v>1层商业</v>
      </c>
      <c r="B39" s="2986">
        <f>抵押物清单!I20</f>
        <v>1045.72</v>
      </c>
      <c r="C39" s="24">
        <f t="shared" si="12"/>
        <v>0.97</v>
      </c>
      <c r="D39" s="718" t="s">
        <v>3273</v>
      </c>
      <c r="E39" s="24">
        <f t="shared" si="13"/>
        <v>1</v>
      </c>
      <c r="F39" s="718" t="s">
        <v>3271</v>
      </c>
      <c r="G39" s="24">
        <f t="shared" si="14"/>
        <v>1</v>
      </c>
      <c r="H39" s="718"/>
      <c r="I39" s="24">
        <f t="shared" si="15"/>
        <v>1</v>
      </c>
      <c r="J39" s="718"/>
      <c r="K39" s="24">
        <f t="shared" si="16"/>
        <v>1</v>
      </c>
      <c r="L39" s="718"/>
      <c r="M39" s="24">
        <f t="shared" si="17"/>
        <v>1</v>
      </c>
      <c r="N39" s="718"/>
      <c r="O39" s="24">
        <f t="shared" si="18"/>
        <v>1</v>
      </c>
      <c r="P39" s="718" t="s">
        <v>3203</v>
      </c>
      <c r="Q39" s="24">
        <f t="shared" si="19"/>
        <v>1</v>
      </c>
      <c r="R39" s="715">
        <f t="shared" si="20"/>
        <v>55992</v>
      </c>
      <c r="S39" s="360">
        <f t="shared" si="11"/>
        <v>5855</v>
      </c>
    </row>
    <row r="40" spans="1:19">
      <c r="A40" s="2985" t="str">
        <f>抵押物清单!C21</f>
        <v>2层商业</v>
      </c>
      <c r="B40" s="2986">
        <f>抵押物清单!I21</f>
        <v>949.6400000000001</v>
      </c>
      <c r="C40" s="24">
        <f t="shared" si="12"/>
        <v>0.97</v>
      </c>
      <c r="D40" s="718" t="s">
        <v>3273</v>
      </c>
      <c r="E40" s="24">
        <f t="shared" si="13"/>
        <v>1</v>
      </c>
      <c r="F40" s="718" t="s">
        <v>3271</v>
      </c>
      <c r="G40" s="24">
        <f t="shared" si="14"/>
        <v>1</v>
      </c>
      <c r="H40" s="718"/>
      <c r="I40" s="24">
        <f t="shared" si="15"/>
        <v>1</v>
      </c>
      <c r="J40" s="718"/>
      <c r="K40" s="24">
        <f t="shared" si="16"/>
        <v>1</v>
      </c>
      <c r="L40" s="718"/>
      <c r="M40" s="24">
        <f t="shared" si="17"/>
        <v>1</v>
      </c>
      <c r="N40" s="718"/>
      <c r="O40" s="24">
        <f t="shared" si="18"/>
        <v>1</v>
      </c>
      <c r="P40" s="718" t="s">
        <v>3205</v>
      </c>
      <c r="Q40" s="24">
        <f t="shared" si="19"/>
        <v>0.7</v>
      </c>
      <c r="R40" s="715">
        <f t="shared" si="20"/>
        <v>39195</v>
      </c>
      <c r="S40" s="360">
        <f t="shared" si="11"/>
        <v>3722</v>
      </c>
    </row>
    <row r="41" spans="1:19">
      <c r="A41" s="2985">
        <f>抵押物清单!C22</f>
        <v>-201</v>
      </c>
      <c r="B41" s="2986">
        <f>抵押物清单!D22</f>
        <v>472.01</v>
      </c>
      <c r="C41" s="24">
        <f t="shared" si="12"/>
        <v>0.99</v>
      </c>
      <c r="D41" s="718" t="s">
        <v>3273</v>
      </c>
      <c r="E41" s="24">
        <f t="shared" si="13"/>
        <v>1</v>
      </c>
      <c r="F41" s="718" t="s">
        <v>3269</v>
      </c>
      <c r="G41" s="24">
        <f t="shared" si="14"/>
        <v>0.98</v>
      </c>
      <c r="H41" s="718"/>
      <c r="I41" s="24">
        <f t="shared" si="15"/>
        <v>1</v>
      </c>
      <c r="J41" s="718"/>
      <c r="K41" s="24">
        <f t="shared" si="16"/>
        <v>1</v>
      </c>
      <c r="L41" s="718"/>
      <c r="M41" s="24">
        <f t="shared" si="17"/>
        <v>1</v>
      </c>
      <c r="N41" s="718"/>
      <c r="O41" s="24">
        <f t="shared" si="18"/>
        <v>1</v>
      </c>
      <c r="P41" s="718" t="s">
        <v>3206</v>
      </c>
      <c r="Q41" s="24">
        <f t="shared" si="19"/>
        <v>0.55000000000000004</v>
      </c>
      <c r="R41" s="715">
        <f t="shared" si="20"/>
        <v>30802</v>
      </c>
      <c r="S41" s="360">
        <f t="shared" si="11"/>
        <v>1454</v>
      </c>
    </row>
    <row r="42" spans="1:19">
      <c r="A42" s="2985">
        <f>抵押物清单!C23</f>
        <v>-202</v>
      </c>
      <c r="B42" s="2986">
        <f>抵押物清单!D23</f>
        <v>317.08999999999997</v>
      </c>
      <c r="C42" s="24">
        <f t="shared" si="12"/>
        <v>0.99</v>
      </c>
      <c r="D42" s="718" t="s">
        <v>3273</v>
      </c>
      <c r="E42" s="24">
        <f t="shared" si="13"/>
        <v>1</v>
      </c>
      <c r="F42" s="718" t="s">
        <v>3269</v>
      </c>
      <c r="G42" s="24">
        <f t="shared" si="14"/>
        <v>0.98</v>
      </c>
      <c r="H42" s="718"/>
      <c r="I42" s="24">
        <f t="shared" si="15"/>
        <v>1</v>
      </c>
      <c r="J42" s="718"/>
      <c r="K42" s="24">
        <f t="shared" si="16"/>
        <v>1</v>
      </c>
      <c r="L42" s="718"/>
      <c r="M42" s="24">
        <f t="shared" si="17"/>
        <v>1</v>
      </c>
      <c r="N42" s="718"/>
      <c r="O42" s="24">
        <f t="shared" si="18"/>
        <v>1</v>
      </c>
      <c r="P42" s="718" t="s">
        <v>3206</v>
      </c>
      <c r="Q42" s="24">
        <f t="shared" si="19"/>
        <v>0.55000000000000004</v>
      </c>
      <c r="R42" s="715">
        <f t="shared" si="20"/>
        <v>30802</v>
      </c>
      <c r="S42" s="360">
        <f t="shared" si="11"/>
        <v>977</v>
      </c>
    </row>
    <row r="43" spans="1:19">
      <c r="A43" s="2985">
        <f>抵押物清单!C24</f>
        <v>-203</v>
      </c>
      <c r="B43" s="2986">
        <f>抵押物清单!D24</f>
        <v>465.26</v>
      </c>
      <c r="C43" s="24">
        <f t="shared" si="12"/>
        <v>0.99</v>
      </c>
      <c r="D43" s="718" t="s">
        <v>3273</v>
      </c>
      <c r="E43" s="24">
        <f t="shared" si="13"/>
        <v>1</v>
      </c>
      <c r="F43" s="718" t="s">
        <v>3269</v>
      </c>
      <c r="G43" s="24">
        <f t="shared" si="14"/>
        <v>0.98</v>
      </c>
      <c r="H43" s="718"/>
      <c r="I43" s="24">
        <f t="shared" si="15"/>
        <v>1</v>
      </c>
      <c r="J43" s="718"/>
      <c r="K43" s="24">
        <f t="shared" si="16"/>
        <v>1</v>
      </c>
      <c r="L43" s="718"/>
      <c r="M43" s="24">
        <f t="shared" si="17"/>
        <v>1</v>
      </c>
      <c r="N43" s="718"/>
      <c r="O43" s="24">
        <f t="shared" si="18"/>
        <v>1</v>
      </c>
      <c r="P43" s="718" t="s">
        <v>3206</v>
      </c>
      <c r="Q43" s="24">
        <f t="shared" si="19"/>
        <v>0.55000000000000004</v>
      </c>
      <c r="R43" s="715">
        <f t="shared" si="20"/>
        <v>30802</v>
      </c>
      <c r="S43" s="360">
        <f t="shared" si="11"/>
        <v>1433</v>
      </c>
    </row>
    <row r="44" spans="1:19">
      <c r="A44" s="2985">
        <f>抵押物清单!C25</f>
        <v>-101</v>
      </c>
      <c r="B44" s="2986">
        <f>抵押物清单!D25</f>
        <v>387.84</v>
      </c>
      <c r="C44" s="24">
        <f t="shared" si="12"/>
        <v>0.99</v>
      </c>
      <c r="D44" s="718" t="s">
        <v>3273</v>
      </c>
      <c r="E44" s="24">
        <f t="shared" si="13"/>
        <v>1</v>
      </c>
      <c r="F44" s="718" t="s">
        <v>3269</v>
      </c>
      <c r="G44" s="24">
        <f t="shared" si="14"/>
        <v>0.98</v>
      </c>
      <c r="H44" s="718"/>
      <c r="I44" s="24">
        <f t="shared" si="15"/>
        <v>1</v>
      </c>
      <c r="J44" s="718"/>
      <c r="K44" s="24">
        <f t="shared" si="16"/>
        <v>1</v>
      </c>
      <c r="L44" s="718"/>
      <c r="M44" s="24">
        <f t="shared" si="17"/>
        <v>1</v>
      </c>
      <c r="N44" s="718"/>
      <c r="O44" s="24">
        <f t="shared" si="18"/>
        <v>1</v>
      </c>
      <c r="P44" s="718" t="s">
        <v>3201</v>
      </c>
      <c r="Q44" s="24">
        <f t="shared" si="19"/>
        <v>0.6</v>
      </c>
      <c r="R44" s="715">
        <f t="shared" si="20"/>
        <v>33602</v>
      </c>
      <c r="S44" s="360">
        <f t="shared" si="11"/>
        <v>1303</v>
      </c>
    </row>
    <row r="45" spans="1:19">
      <c r="A45" s="2985">
        <f>抵押物清单!C26</f>
        <v>-102</v>
      </c>
      <c r="B45" s="2986">
        <f>抵押物清单!D26</f>
        <v>73.2</v>
      </c>
      <c r="C45" s="24">
        <f t="shared" si="12"/>
        <v>1.01</v>
      </c>
      <c r="D45" s="718" t="s">
        <v>3273</v>
      </c>
      <c r="E45" s="24">
        <f t="shared" si="13"/>
        <v>1</v>
      </c>
      <c r="F45" s="718" t="s">
        <v>3269</v>
      </c>
      <c r="G45" s="24">
        <f t="shared" si="14"/>
        <v>0.98</v>
      </c>
      <c r="H45" s="718"/>
      <c r="I45" s="24">
        <f t="shared" si="15"/>
        <v>1</v>
      </c>
      <c r="J45" s="718"/>
      <c r="K45" s="24">
        <f t="shared" si="16"/>
        <v>1</v>
      </c>
      <c r="L45" s="718"/>
      <c r="M45" s="24">
        <f t="shared" si="17"/>
        <v>1</v>
      </c>
      <c r="N45" s="718"/>
      <c r="O45" s="24">
        <f t="shared" si="18"/>
        <v>1</v>
      </c>
      <c r="P45" s="718" t="s">
        <v>3201</v>
      </c>
      <c r="Q45" s="24">
        <f t="shared" si="19"/>
        <v>0.6</v>
      </c>
      <c r="R45" s="715">
        <f t="shared" si="20"/>
        <v>34281</v>
      </c>
      <c r="S45" s="360">
        <f t="shared" si="11"/>
        <v>251</v>
      </c>
    </row>
    <row r="46" spans="1:19">
      <c r="A46" s="2985">
        <f>抵押物清单!C27</f>
        <v>-103</v>
      </c>
      <c r="B46" s="2986">
        <f>抵押物清单!D27</f>
        <v>74.73</v>
      </c>
      <c r="C46" s="24">
        <f t="shared" si="12"/>
        <v>1.01</v>
      </c>
      <c r="D46" s="718" t="s">
        <v>3273</v>
      </c>
      <c r="E46" s="24">
        <f t="shared" si="13"/>
        <v>1</v>
      </c>
      <c r="F46" s="718" t="s">
        <v>3269</v>
      </c>
      <c r="G46" s="24">
        <f t="shared" si="14"/>
        <v>0.98</v>
      </c>
      <c r="H46" s="718"/>
      <c r="I46" s="24">
        <f t="shared" si="15"/>
        <v>1</v>
      </c>
      <c r="J46" s="718"/>
      <c r="K46" s="24">
        <f t="shared" si="16"/>
        <v>1</v>
      </c>
      <c r="L46" s="718"/>
      <c r="M46" s="24">
        <f t="shared" si="17"/>
        <v>1</v>
      </c>
      <c r="N46" s="718"/>
      <c r="O46" s="24">
        <f t="shared" si="18"/>
        <v>1</v>
      </c>
      <c r="P46" s="718" t="s">
        <v>3201</v>
      </c>
      <c r="Q46" s="24">
        <f t="shared" si="19"/>
        <v>0.6</v>
      </c>
      <c r="R46" s="715">
        <f t="shared" si="20"/>
        <v>34281</v>
      </c>
      <c r="S46" s="360">
        <f t="shared" si="11"/>
        <v>256</v>
      </c>
    </row>
    <row r="47" spans="1:19">
      <c r="A47" s="2985">
        <f>抵押物清单!C28</f>
        <v>101</v>
      </c>
      <c r="B47" s="2986">
        <f>抵押物清单!D28</f>
        <v>98.42</v>
      </c>
      <c r="C47" s="24">
        <f t="shared" si="12"/>
        <v>1.01</v>
      </c>
      <c r="D47" s="718" t="s">
        <v>3273</v>
      </c>
      <c r="E47" s="24">
        <f t="shared" si="13"/>
        <v>1</v>
      </c>
      <c r="F47" s="718" t="s">
        <v>3269</v>
      </c>
      <c r="G47" s="24">
        <f t="shared" si="14"/>
        <v>0.98</v>
      </c>
      <c r="H47" s="718"/>
      <c r="I47" s="24">
        <f t="shared" si="15"/>
        <v>1</v>
      </c>
      <c r="J47" s="718"/>
      <c r="K47" s="24">
        <f t="shared" si="16"/>
        <v>1</v>
      </c>
      <c r="L47" s="718"/>
      <c r="M47" s="24">
        <f t="shared" si="17"/>
        <v>1</v>
      </c>
      <c r="N47" s="718"/>
      <c r="O47" s="24">
        <f t="shared" si="18"/>
        <v>1</v>
      </c>
      <c r="P47" s="718" t="s">
        <v>3203</v>
      </c>
      <c r="Q47" s="24">
        <f t="shared" si="19"/>
        <v>1</v>
      </c>
      <c r="R47" s="715">
        <f t="shared" si="20"/>
        <v>57135</v>
      </c>
      <c r="S47" s="360">
        <f t="shared" si="11"/>
        <v>562</v>
      </c>
    </row>
    <row r="48" spans="1:19">
      <c r="A48" s="2985">
        <f>抵押物清单!C29</f>
        <v>201</v>
      </c>
      <c r="B48" s="2986">
        <f>抵押物清单!D29</f>
        <v>410.51</v>
      </c>
      <c r="C48" s="24">
        <f t="shared" si="12"/>
        <v>0.99</v>
      </c>
      <c r="D48" s="718" t="s">
        <v>3273</v>
      </c>
      <c r="E48" s="24">
        <f t="shared" si="13"/>
        <v>1</v>
      </c>
      <c r="F48" s="718" t="s">
        <v>3269</v>
      </c>
      <c r="G48" s="24">
        <f t="shared" si="14"/>
        <v>0.98</v>
      </c>
      <c r="H48" s="718"/>
      <c r="I48" s="24">
        <f t="shared" si="15"/>
        <v>1</v>
      </c>
      <c r="J48" s="718"/>
      <c r="K48" s="24">
        <f t="shared" si="16"/>
        <v>1</v>
      </c>
      <c r="L48" s="718"/>
      <c r="M48" s="24">
        <f t="shared" si="17"/>
        <v>1</v>
      </c>
      <c r="N48" s="718"/>
      <c r="O48" s="24">
        <f t="shared" si="18"/>
        <v>1</v>
      </c>
      <c r="P48" s="718" t="s">
        <v>3205</v>
      </c>
      <c r="Q48" s="24">
        <f t="shared" si="19"/>
        <v>0.7</v>
      </c>
      <c r="R48" s="715">
        <f t="shared" si="20"/>
        <v>39203</v>
      </c>
      <c r="S48" s="360">
        <f t="shared" si="11"/>
        <v>1609</v>
      </c>
    </row>
    <row r="49" spans="1:19">
      <c r="A49" s="2985">
        <f>抵押物清单!C30</f>
        <v>202</v>
      </c>
      <c r="B49" s="2986">
        <f>抵押物清单!D30</f>
        <v>89.44</v>
      </c>
      <c r="C49" s="24">
        <f t="shared" si="12"/>
        <v>1.01</v>
      </c>
      <c r="D49" s="718" t="s">
        <v>3273</v>
      </c>
      <c r="E49" s="24">
        <f t="shared" si="13"/>
        <v>1</v>
      </c>
      <c r="F49" s="718" t="s">
        <v>3269</v>
      </c>
      <c r="G49" s="24">
        <f t="shared" si="14"/>
        <v>0.98</v>
      </c>
      <c r="H49" s="718"/>
      <c r="I49" s="24">
        <f t="shared" si="15"/>
        <v>1</v>
      </c>
      <c r="J49" s="718"/>
      <c r="K49" s="24">
        <f t="shared" si="16"/>
        <v>1</v>
      </c>
      <c r="L49" s="718"/>
      <c r="M49" s="24">
        <f t="shared" si="17"/>
        <v>1</v>
      </c>
      <c r="N49" s="718"/>
      <c r="O49" s="24">
        <f t="shared" si="18"/>
        <v>1</v>
      </c>
      <c r="P49" s="718" t="s">
        <v>3205</v>
      </c>
      <c r="Q49" s="24">
        <f t="shared" si="19"/>
        <v>0.7</v>
      </c>
      <c r="R49" s="715">
        <f t="shared" si="20"/>
        <v>39995</v>
      </c>
      <c r="S49" s="360">
        <f t="shared" si="11"/>
        <v>358</v>
      </c>
    </row>
    <row r="50" spans="1:19">
      <c r="A50" s="2985" t="str">
        <f>抵押物清单!C31</f>
        <v>101</v>
      </c>
      <c r="B50" s="2986">
        <f>抵押物清单!D31</f>
        <v>632.94000000000005</v>
      </c>
      <c r="C50" s="24">
        <f t="shared" si="12"/>
        <v>0.98</v>
      </c>
      <c r="D50" s="718" t="s">
        <v>3273</v>
      </c>
      <c r="E50" s="24">
        <f t="shared" si="13"/>
        <v>1</v>
      </c>
      <c r="F50" s="718" t="s">
        <v>3271</v>
      </c>
      <c r="G50" s="24">
        <f t="shared" si="14"/>
        <v>1</v>
      </c>
      <c r="H50" s="718"/>
      <c r="I50" s="24">
        <f t="shared" si="15"/>
        <v>1</v>
      </c>
      <c r="J50" s="718"/>
      <c r="K50" s="24">
        <f t="shared" si="16"/>
        <v>1</v>
      </c>
      <c r="L50" s="718"/>
      <c r="M50" s="24">
        <f t="shared" si="17"/>
        <v>1</v>
      </c>
      <c r="N50" s="718"/>
      <c r="O50" s="24">
        <f t="shared" si="18"/>
        <v>1</v>
      </c>
      <c r="P50" s="718" t="s">
        <v>3203</v>
      </c>
      <c r="Q50" s="24">
        <f t="shared" si="19"/>
        <v>1</v>
      </c>
      <c r="R50" s="715">
        <f t="shared" si="20"/>
        <v>56570</v>
      </c>
      <c r="S50" s="360">
        <f t="shared" si="11"/>
        <v>3581</v>
      </c>
    </row>
    <row r="51" spans="1:19">
      <c r="A51" s="2985" t="str">
        <f>抵押物清单!C32</f>
        <v>201</v>
      </c>
      <c r="B51" s="2986">
        <f>抵押物清单!D32</f>
        <v>632.94000000000005</v>
      </c>
      <c r="C51" s="24">
        <f t="shared" si="12"/>
        <v>0.98</v>
      </c>
      <c r="D51" s="718" t="s">
        <v>3273</v>
      </c>
      <c r="E51" s="24">
        <f t="shared" si="13"/>
        <v>1</v>
      </c>
      <c r="F51" s="718" t="s">
        <v>3271</v>
      </c>
      <c r="G51" s="24">
        <f t="shared" si="14"/>
        <v>1</v>
      </c>
      <c r="H51" s="718"/>
      <c r="I51" s="24">
        <f t="shared" si="15"/>
        <v>1</v>
      </c>
      <c r="J51" s="718"/>
      <c r="K51" s="24">
        <f t="shared" si="16"/>
        <v>1</v>
      </c>
      <c r="L51" s="718"/>
      <c r="M51" s="24">
        <f t="shared" si="17"/>
        <v>1</v>
      </c>
      <c r="N51" s="718"/>
      <c r="O51" s="24">
        <f t="shared" si="18"/>
        <v>1</v>
      </c>
      <c r="P51" s="718" t="s">
        <v>3205</v>
      </c>
      <c r="Q51" s="24">
        <f t="shared" si="19"/>
        <v>0.7</v>
      </c>
      <c r="R51" s="715">
        <f t="shared" si="20"/>
        <v>39599</v>
      </c>
      <c r="S51" s="360">
        <f t="shared" si="11"/>
        <v>2506</v>
      </c>
    </row>
    <row r="52" spans="1:19">
      <c r="A52" s="2985" t="str">
        <f>抵押物清单!C33</f>
        <v>301</v>
      </c>
      <c r="B52" s="2986">
        <f>抵押物清单!D33</f>
        <v>632.94000000000005</v>
      </c>
      <c r="C52" s="24">
        <f t="shared" si="12"/>
        <v>0.98</v>
      </c>
      <c r="D52" s="718" t="s">
        <v>3273</v>
      </c>
      <c r="E52" s="24">
        <f t="shared" si="13"/>
        <v>1</v>
      </c>
      <c r="F52" s="718" t="s">
        <v>3271</v>
      </c>
      <c r="G52" s="24">
        <f t="shared" si="14"/>
        <v>1</v>
      </c>
      <c r="H52" s="718"/>
      <c r="I52" s="24">
        <f t="shared" si="15"/>
        <v>1</v>
      </c>
      <c r="J52" s="718"/>
      <c r="K52" s="24">
        <f t="shared" si="16"/>
        <v>1</v>
      </c>
      <c r="L52" s="718"/>
      <c r="M52" s="24">
        <f t="shared" si="17"/>
        <v>1</v>
      </c>
      <c r="N52" s="718"/>
      <c r="O52" s="24">
        <f t="shared" si="18"/>
        <v>1</v>
      </c>
      <c r="P52" s="718" t="s">
        <v>3204</v>
      </c>
      <c r="Q52" s="24">
        <f t="shared" si="19"/>
        <v>0.65</v>
      </c>
      <c r="R52" s="715">
        <f t="shared" si="20"/>
        <v>36770</v>
      </c>
      <c r="S52" s="360">
        <f t="shared" si="11"/>
        <v>2327</v>
      </c>
    </row>
    <row r="53" spans="1:19">
      <c r="A53" s="2985">
        <f>抵押物清单!C34</f>
        <v>101</v>
      </c>
      <c r="B53" s="2986">
        <f>抵押物清单!D34</f>
        <v>35.61</v>
      </c>
      <c r="C53" s="24">
        <f t="shared" si="12"/>
        <v>1.01</v>
      </c>
      <c r="D53" s="718" t="s">
        <v>3224</v>
      </c>
      <c r="E53" s="24">
        <f t="shared" si="13"/>
        <v>0.94</v>
      </c>
      <c r="F53" s="718" t="s">
        <v>3271</v>
      </c>
      <c r="G53" s="24">
        <f t="shared" si="14"/>
        <v>1</v>
      </c>
      <c r="H53" s="718"/>
      <c r="I53" s="24">
        <f t="shared" si="15"/>
        <v>1</v>
      </c>
      <c r="J53" s="718"/>
      <c r="K53" s="24">
        <f t="shared" si="16"/>
        <v>1</v>
      </c>
      <c r="L53" s="718"/>
      <c r="M53" s="24">
        <f t="shared" si="17"/>
        <v>1</v>
      </c>
      <c r="N53" s="718"/>
      <c r="O53" s="24">
        <f t="shared" si="18"/>
        <v>1</v>
      </c>
      <c r="P53" s="718" t="s">
        <v>3203</v>
      </c>
      <c r="Q53" s="24">
        <f t="shared" si="19"/>
        <v>1</v>
      </c>
      <c r="R53" s="715">
        <f t="shared" si="20"/>
        <v>54803</v>
      </c>
      <c r="S53" s="360">
        <f t="shared" si="11"/>
        <v>195</v>
      </c>
    </row>
    <row r="54" spans="1:19">
      <c r="A54" s="2985" t="str">
        <f>抵押物清单!C35</f>
        <v>201</v>
      </c>
      <c r="B54" s="2986">
        <f>抵押物清单!D35</f>
        <v>621.9</v>
      </c>
      <c r="C54" s="24">
        <f t="shared" si="12"/>
        <v>0.98</v>
      </c>
      <c r="D54" s="718" t="s">
        <v>3224</v>
      </c>
      <c r="E54" s="24">
        <f t="shared" si="13"/>
        <v>0.94</v>
      </c>
      <c r="F54" s="718" t="s">
        <v>3271</v>
      </c>
      <c r="G54" s="24">
        <f t="shared" si="14"/>
        <v>1</v>
      </c>
      <c r="H54" s="718"/>
      <c r="I54" s="24">
        <f t="shared" si="15"/>
        <v>1</v>
      </c>
      <c r="J54" s="718"/>
      <c r="K54" s="24">
        <f t="shared" si="16"/>
        <v>1</v>
      </c>
      <c r="L54" s="718"/>
      <c r="M54" s="24">
        <f t="shared" si="17"/>
        <v>1</v>
      </c>
      <c r="N54" s="718"/>
      <c r="O54" s="24">
        <f t="shared" si="18"/>
        <v>1</v>
      </c>
      <c r="P54" s="718" t="s">
        <v>3205</v>
      </c>
      <c r="Q54" s="24">
        <f t="shared" si="19"/>
        <v>0.7</v>
      </c>
      <c r="R54" s="715">
        <f t="shared" si="20"/>
        <v>37223</v>
      </c>
      <c r="S54" s="360">
        <f t="shared" si="11"/>
        <v>2315</v>
      </c>
    </row>
    <row r="55" spans="1:19">
      <c r="A55" s="2985" t="str">
        <f>抵押物清单!C36</f>
        <v>301</v>
      </c>
      <c r="B55" s="2986">
        <f>抵押物清单!D36</f>
        <v>619.37</v>
      </c>
      <c r="C55" s="24">
        <f t="shared" si="12"/>
        <v>0.98</v>
      </c>
      <c r="D55" s="718" t="s">
        <v>3224</v>
      </c>
      <c r="E55" s="24">
        <f t="shared" si="13"/>
        <v>0.94</v>
      </c>
      <c r="F55" s="718" t="s">
        <v>3271</v>
      </c>
      <c r="G55" s="24">
        <f t="shared" si="14"/>
        <v>1</v>
      </c>
      <c r="H55" s="718"/>
      <c r="I55" s="24">
        <f t="shared" si="15"/>
        <v>1</v>
      </c>
      <c r="J55" s="718"/>
      <c r="K55" s="24">
        <f t="shared" si="16"/>
        <v>1</v>
      </c>
      <c r="L55" s="718"/>
      <c r="M55" s="24">
        <f t="shared" si="17"/>
        <v>1</v>
      </c>
      <c r="N55" s="718"/>
      <c r="O55" s="24">
        <f t="shared" si="18"/>
        <v>1</v>
      </c>
      <c r="P55" s="718" t="s">
        <v>3204</v>
      </c>
      <c r="Q55" s="24">
        <f t="shared" si="19"/>
        <v>0.65</v>
      </c>
      <c r="R55" s="715">
        <f t="shared" si="20"/>
        <v>34564</v>
      </c>
      <c r="S55" s="360">
        <f t="shared" ref="S55:S77" si="21">ROUND(R55*B55/10000,0)</f>
        <v>2141</v>
      </c>
    </row>
    <row r="56" spans="1:19">
      <c r="A56" s="2985" t="str">
        <f>抵押物清单!C37</f>
        <v>1层101号</v>
      </c>
      <c r="B56" s="2986">
        <f>抵押物清单!D37</f>
        <v>449.13</v>
      </c>
      <c r="C56" s="24">
        <f t="shared" si="12"/>
        <v>0.99</v>
      </c>
      <c r="D56" s="718" t="s">
        <v>3224</v>
      </c>
      <c r="E56" s="24">
        <f t="shared" si="13"/>
        <v>0.94</v>
      </c>
      <c r="F56" s="718" t="s">
        <v>3269</v>
      </c>
      <c r="G56" s="24">
        <f t="shared" si="14"/>
        <v>0.98</v>
      </c>
      <c r="H56" s="718"/>
      <c r="I56" s="24">
        <f t="shared" si="15"/>
        <v>1</v>
      </c>
      <c r="J56" s="718"/>
      <c r="K56" s="24">
        <f t="shared" si="16"/>
        <v>1</v>
      </c>
      <c r="L56" s="718"/>
      <c r="M56" s="24">
        <f t="shared" si="17"/>
        <v>1</v>
      </c>
      <c r="N56" s="718"/>
      <c r="O56" s="24">
        <f t="shared" si="18"/>
        <v>1</v>
      </c>
      <c r="P56" s="718" t="s">
        <v>3203</v>
      </c>
      <c r="Q56" s="24">
        <f t="shared" si="19"/>
        <v>1</v>
      </c>
      <c r="R56" s="715">
        <f t="shared" si="20"/>
        <v>52644</v>
      </c>
      <c r="S56" s="360">
        <f t="shared" si="21"/>
        <v>2364</v>
      </c>
    </row>
    <row r="57" spans="1:19">
      <c r="A57" s="2985" t="str">
        <f>抵押物清单!C38</f>
        <v>商业01</v>
      </c>
      <c r="B57" s="2986">
        <f>抵押物清单!D38</f>
        <v>144.41999999999999</v>
      </c>
      <c r="C57" s="24">
        <f t="shared" si="12"/>
        <v>1</v>
      </c>
      <c r="D57" s="718" t="s">
        <v>3224</v>
      </c>
      <c r="E57" s="24">
        <f t="shared" si="13"/>
        <v>0.94</v>
      </c>
      <c r="F57" s="718" t="s">
        <v>3269</v>
      </c>
      <c r="G57" s="24">
        <f t="shared" si="14"/>
        <v>0.98</v>
      </c>
      <c r="H57" s="718"/>
      <c r="I57" s="24">
        <f t="shared" si="15"/>
        <v>1</v>
      </c>
      <c r="J57" s="718"/>
      <c r="K57" s="24">
        <f t="shared" si="16"/>
        <v>1</v>
      </c>
      <c r="L57" s="718"/>
      <c r="M57" s="24">
        <f t="shared" si="17"/>
        <v>1</v>
      </c>
      <c r="N57" s="718"/>
      <c r="O57" s="24">
        <f t="shared" si="18"/>
        <v>1</v>
      </c>
      <c r="P57" s="718" t="s">
        <v>3203</v>
      </c>
      <c r="Q57" s="24">
        <f t="shared" si="19"/>
        <v>1</v>
      </c>
      <c r="R57" s="715">
        <f t="shared" si="20"/>
        <v>53175</v>
      </c>
      <c r="S57" s="360">
        <f t="shared" si="21"/>
        <v>768</v>
      </c>
    </row>
    <row r="58" spans="1:19">
      <c r="A58" s="2985" t="str">
        <f>抵押物清单!C39</f>
        <v>商业06</v>
      </c>
      <c r="B58" s="2986">
        <f>抵押物清单!D39</f>
        <v>113.4</v>
      </c>
      <c r="C58" s="24">
        <f t="shared" si="12"/>
        <v>1</v>
      </c>
      <c r="D58" s="718" t="s">
        <v>3224</v>
      </c>
      <c r="E58" s="24">
        <f t="shared" si="13"/>
        <v>0.94</v>
      </c>
      <c r="F58" s="718" t="s">
        <v>3269</v>
      </c>
      <c r="G58" s="24">
        <f t="shared" si="14"/>
        <v>0.98</v>
      </c>
      <c r="H58" s="718"/>
      <c r="I58" s="24">
        <f t="shared" si="15"/>
        <v>1</v>
      </c>
      <c r="J58" s="718"/>
      <c r="K58" s="24">
        <f t="shared" si="16"/>
        <v>1</v>
      </c>
      <c r="L58" s="718"/>
      <c r="M58" s="24">
        <f t="shared" si="17"/>
        <v>1</v>
      </c>
      <c r="N58" s="718"/>
      <c r="O58" s="24">
        <f t="shared" si="18"/>
        <v>1</v>
      </c>
      <c r="P58" s="718" t="s">
        <v>3203</v>
      </c>
      <c r="Q58" s="24">
        <f t="shared" si="19"/>
        <v>1</v>
      </c>
      <c r="R58" s="715">
        <f t="shared" si="20"/>
        <v>53175</v>
      </c>
      <c r="S58" s="360">
        <f t="shared" si="21"/>
        <v>603</v>
      </c>
    </row>
    <row r="59" spans="1:19">
      <c r="A59" s="2985" t="str">
        <f>抵押物清单!C40</f>
        <v>商业07</v>
      </c>
      <c r="B59" s="2986">
        <f>抵押物清单!D40</f>
        <v>69.45</v>
      </c>
      <c r="C59" s="24">
        <f t="shared" si="12"/>
        <v>1.01</v>
      </c>
      <c r="D59" s="718" t="s">
        <v>3224</v>
      </c>
      <c r="E59" s="24">
        <f t="shared" si="13"/>
        <v>0.94</v>
      </c>
      <c r="F59" s="718" t="s">
        <v>3269</v>
      </c>
      <c r="G59" s="24">
        <f t="shared" si="14"/>
        <v>0.98</v>
      </c>
      <c r="H59" s="718"/>
      <c r="I59" s="24">
        <f t="shared" si="15"/>
        <v>1</v>
      </c>
      <c r="J59" s="718"/>
      <c r="K59" s="24">
        <f t="shared" si="16"/>
        <v>1</v>
      </c>
      <c r="L59" s="718"/>
      <c r="M59" s="24">
        <f t="shared" si="17"/>
        <v>1</v>
      </c>
      <c r="N59" s="718"/>
      <c r="O59" s="24">
        <f t="shared" si="18"/>
        <v>1</v>
      </c>
      <c r="P59" s="718" t="s">
        <v>3203</v>
      </c>
      <c r="Q59" s="24">
        <f t="shared" si="19"/>
        <v>1</v>
      </c>
      <c r="R59" s="715">
        <f t="shared" si="20"/>
        <v>53707</v>
      </c>
      <c r="S59" s="360">
        <f t="shared" si="21"/>
        <v>373</v>
      </c>
    </row>
    <row r="60" spans="1:19">
      <c r="A60" s="2985" t="str">
        <f>抵押物清单!C41</f>
        <v>商业09</v>
      </c>
      <c r="B60" s="2986">
        <f>抵押物清单!D41</f>
        <v>143.1</v>
      </c>
      <c r="C60" s="24">
        <f t="shared" si="12"/>
        <v>1</v>
      </c>
      <c r="D60" s="718" t="s">
        <v>3224</v>
      </c>
      <c r="E60" s="24">
        <f t="shared" si="13"/>
        <v>0.94</v>
      </c>
      <c r="F60" s="718" t="s">
        <v>3269</v>
      </c>
      <c r="G60" s="24">
        <f t="shared" si="14"/>
        <v>0.98</v>
      </c>
      <c r="H60" s="718"/>
      <c r="I60" s="24">
        <f t="shared" si="15"/>
        <v>1</v>
      </c>
      <c r="J60" s="718"/>
      <c r="K60" s="24">
        <f t="shared" si="16"/>
        <v>1</v>
      </c>
      <c r="L60" s="718"/>
      <c r="M60" s="24">
        <f t="shared" si="17"/>
        <v>1</v>
      </c>
      <c r="N60" s="718"/>
      <c r="O60" s="24">
        <f t="shared" si="18"/>
        <v>1</v>
      </c>
      <c r="P60" s="718" t="s">
        <v>3203</v>
      </c>
      <c r="Q60" s="24">
        <f t="shared" si="19"/>
        <v>1</v>
      </c>
      <c r="R60" s="715">
        <f t="shared" si="20"/>
        <v>53175</v>
      </c>
      <c r="S60" s="360">
        <f t="shared" si="21"/>
        <v>761</v>
      </c>
    </row>
    <row r="61" spans="1:19">
      <c r="A61" s="2985" t="str">
        <f>抵押物清单!C42</f>
        <v>商业13</v>
      </c>
      <c r="B61" s="2986">
        <f>抵押物清单!D42</f>
        <v>425.29</v>
      </c>
      <c r="C61" s="24">
        <f t="shared" si="12"/>
        <v>0.99</v>
      </c>
      <c r="D61" s="718" t="s">
        <v>3224</v>
      </c>
      <c r="E61" s="24">
        <f t="shared" si="13"/>
        <v>0.94</v>
      </c>
      <c r="F61" s="718" t="s">
        <v>3271</v>
      </c>
      <c r="G61" s="24">
        <f t="shared" si="14"/>
        <v>1</v>
      </c>
      <c r="H61" s="718"/>
      <c r="I61" s="24">
        <f t="shared" si="15"/>
        <v>1</v>
      </c>
      <c r="J61" s="718"/>
      <c r="K61" s="24">
        <f t="shared" si="16"/>
        <v>1</v>
      </c>
      <c r="L61" s="718"/>
      <c r="M61" s="24">
        <f t="shared" si="17"/>
        <v>1</v>
      </c>
      <c r="N61" s="718"/>
      <c r="O61" s="24">
        <f t="shared" si="18"/>
        <v>1</v>
      </c>
      <c r="P61" s="718" t="s">
        <v>3203</v>
      </c>
      <c r="Q61" s="24">
        <f t="shared" si="19"/>
        <v>1</v>
      </c>
      <c r="R61" s="715">
        <f t="shared" si="20"/>
        <v>53718</v>
      </c>
      <c r="S61" s="360">
        <f t="shared" si="21"/>
        <v>2285</v>
      </c>
    </row>
    <row r="62" spans="1:19">
      <c r="A62" s="2985" t="str">
        <f>抵押物清单!C43</f>
        <v>商业15</v>
      </c>
      <c r="B62" s="2986">
        <f>抵押物清单!D43</f>
        <v>158.84</v>
      </c>
      <c r="C62" s="24">
        <f t="shared" si="12"/>
        <v>1</v>
      </c>
      <c r="D62" s="718" t="s">
        <v>3224</v>
      </c>
      <c r="E62" s="24">
        <f t="shared" si="13"/>
        <v>0.94</v>
      </c>
      <c r="F62" s="718" t="s">
        <v>3269</v>
      </c>
      <c r="G62" s="24">
        <f t="shared" si="14"/>
        <v>0.98</v>
      </c>
      <c r="H62" s="718"/>
      <c r="I62" s="24">
        <f t="shared" si="15"/>
        <v>1</v>
      </c>
      <c r="J62" s="718"/>
      <c r="K62" s="24">
        <f t="shared" si="16"/>
        <v>1</v>
      </c>
      <c r="L62" s="718"/>
      <c r="M62" s="24">
        <f t="shared" si="17"/>
        <v>1</v>
      </c>
      <c r="N62" s="718"/>
      <c r="O62" s="24">
        <f t="shared" si="18"/>
        <v>1</v>
      </c>
      <c r="P62" s="718" t="s">
        <v>3203</v>
      </c>
      <c r="Q62" s="24">
        <f t="shared" si="19"/>
        <v>1</v>
      </c>
      <c r="R62" s="715">
        <f t="shared" si="20"/>
        <v>53175</v>
      </c>
      <c r="S62" s="360">
        <f t="shared" si="21"/>
        <v>845</v>
      </c>
    </row>
    <row r="63" spans="1:19">
      <c r="A63" s="2985" t="str">
        <f>抵押物清单!C44</f>
        <v>商业16</v>
      </c>
      <c r="B63" s="2986">
        <f>抵押物清单!D44</f>
        <v>123.44</v>
      </c>
      <c r="C63" s="24">
        <f t="shared" si="12"/>
        <v>1</v>
      </c>
      <c r="D63" s="718" t="s">
        <v>3224</v>
      </c>
      <c r="E63" s="24">
        <f t="shared" si="13"/>
        <v>0.94</v>
      </c>
      <c r="F63" s="718" t="s">
        <v>3269</v>
      </c>
      <c r="G63" s="24">
        <f t="shared" si="14"/>
        <v>0.98</v>
      </c>
      <c r="H63" s="718"/>
      <c r="I63" s="24">
        <f t="shared" si="15"/>
        <v>1</v>
      </c>
      <c r="J63" s="718"/>
      <c r="K63" s="24">
        <f t="shared" si="16"/>
        <v>1</v>
      </c>
      <c r="L63" s="718"/>
      <c r="M63" s="24">
        <f t="shared" si="17"/>
        <v>1</v>
      </c>
      <c r="N63" s="718"/>
      <c r="O63" s="24">
        <f t="shared" si="18"/>
        <v>1</v>
      </c>
      <c r="P63" s="718" t="s">
        <v>3203</v>
      </c>
      <c r="Q63" s="24">
        <f t="shared" si="19"/>
        <v>1</v>
      </c>
      <c r="R63" s="715">
        <f t="shared" si="20"/>
        <v>53175</v>
      </c>
      <c r="S63" s="360">
        <f t="shared" si="21"/>
        <v>656</v>
      </c>
    </row>
    <row r="64" spans="1:19">
      <c r="A64" s="2985" t="str">
        <f>抵押物清单!C45</f>
        <v>商业17</v>
      </c>
      <c r="B64" s="2986">
        <f>抵押物清单!D45</f>
        <v>118.41</v>
      </c>
      <c r="C64" s="24">
        <f t="shared" si="12"/>
        <v>1</v>
      </c>
      <c r="D64" s="718" t="s">
        <v>3224</v>
      </c>
      <c r="E64" s="24">
        <f t="shared" si="13"/>
        <v>0.94</v>
      </c>
      <c r="F64" s="718" t="s">
        <v>3269</v>
      </c>
      <c r="G64" s="24">
        <f t="shared" si="14"/>
        <v>0.98</v>
      </c>
      <c r="H64" s="718"/>
      <c r="I64" s="24">
        <f t="shared" si="15"/>
        <v>1</v>
      </c>
      <c r="J64" s="718"/>
      <c r="K64" s="24">
        <f t="shared" si="16"/>
        <v>1</v>
      </c>
      <c r="L64" s="718"/>
      <c r="M64" s="24">
        <f t="shared" si="17"/>
        <v>1</v>
      </c>
      <c r="N64" s="718"/>
      <c r="O64" s="24">
        <f t="shared" si="18"/>
        <v>1</v>
      </c>
      <c r="P64" s="718" t="s">
        <v>3203</v>
      </c>
      <c r="Q64" s="24">
        <f t="shared" si="19"/>
        <v>1</v>
      </c>
      <c r="R64" s="715">
        <f t="shared" si="20"/>
        <v>53175</v>
      </c>
      <c r="S64" s="360">
        <f t="shared" si="21"/>
        <v>630</v>
      </c>
    </row>
    <row r="65" spans="1:19">
      <c r="A65" s="2985" t="str">
        <f>抵押物清单!C46</f>
        <v>商业18</v>
      </c>
      <c r="B65" s="2986">
        <f>抵押物清单!D46</f>
        <v>84.47</v>
      </c>
      <c r="C65" s="24">
        <f t="shared" si="12"/>
        <v>1.01</v>
      </c>
      <c r="D65" s="718" t="s">
        <v>3224</v>
      </c>
      <c r="E65" s="24">
        <f t="shared" si="13"/>
        <v>0.94</v>
      </c>
      <c r="F65" s="718" t="s">
        <v>3269</v>
      </c>
      <c r="G65" s="24">
        <f t="shared" si="14"/>
        <v>0.98</v>
      </c>
      <c r="H65" s="718"/>
      <c r="I65" s="24">
        <f t="shared" si="15"/>
        <v>1</v>
      </c>
      <c r="J65" s="718"/>
      <c r="K65" s="24">
        <f t="shared" si="16"/>
        <v>1</v>
      </c>
      <c r="L65" s="718"/>
      <c r="M65" s="24">
        <f t="shared" si="17"/>
        <v>1</v>
      </c>
      <c r="N65" s="718"/>
      <c r="O65" s="24">
        <f t="shared" si="18"/>
        <v>1</v>
      </c>
      <c r="P65" s="718" t="s">
        <v>3203</v>
      </c>
      <c r="Q65" s="24">
        <f t="shared" si="19"/>
        <v>1</v>
      </c>
      <c r="R65" s="715">
        <f t="shared" si="20"/>
        <v>53707</v>
      </c>
      <c r="S65" s="360">
        <f t="shared" si="21"/>
        <v>454</v>
      </c>
    </row>
    <row r="66" spans="1:19">
      <c r="A66" s="2985" t="str">
        <f>抵押物清单!C47</f>
        <v>商业19</v>
      </c>
      <c r="B66" s="2986">
        <f>抵押物清单!D47</f>
        <v>84.46</v>
      </c>
      <c r="C66" s="24">
        <f t="shared" si="12"/>
        <v>1.01</v>
      </c>
      <c r="D66" s="718" t="s">
        <v>3224</v>
      </c>
      <c r="E66" s="24">
        <f t="shared" si="13"/>
        <v>0.94</v>
      </c>
      <c r="F66" s="718" t="s">
        <v>3269</v>
      </c>
      <c r="G66" s="24">
        <f t="shared" si="14"/>
        <v>0.98</v>
      </c>
      <c r="H66" s="718"/>
      <c r="I66" s="24">
        <f t="shared" si="15"/>
        <v>1</v>
      </c>
      <c r="J66" s="718"/>
      <c r="K66" s="24">
        <f t="shared" si="16"/>
        <v>1</v>
      </c>
      <c r="L66" s="718"/>
      <c r="M66" s="24">
        <f t="shared" si="17"/>
        <v>1</v>
      </c>
      <c r="N66" s="718"/>
      <c r="O66" s="24">
        <f t="shared" si="18"/>
        <v>1</v>
      </c>
      <c r="P66" s="718" t="s">
        <v>3203</v>
      </c>
      <c r="Q66" s="24">
        <f t="shared" si="19"/>
        <v>1</v>
      </c>
      <c r="R66" s="715">
        <f t="shared" si="20"/>
        <v>53707</v>
      </c>
      <c r="S66" s="360">
        <f t="shared" si="21"/>
        <v>454</v>
      </c>
    </row>
    <row r="67" spans="1:19">
      <c r="A67" s="2985" t="str">
        <f>抵押物清单!C48</f>
        <v>商业20</v>
      </c>
      <c r="B67" s="2986">
        <f>抵押物清单!D48</f>
        <v>118.41</v>
      </c>
      <c r="C67" s="24">
        <f t="shared" si="12"/>
        <v>1</v>
      </c>
      <c r="D67" s="718" t="s">
        <v>3224</v>
      </c>
      <c r="E67" s="24">
        <f t="shared" si="13"/>
        <v>0.94</v>
      </c>
      <c r="F67" s="718" t="s">
        <v>3269</v>
      </c>
      <c r="G67" s="24">
        <f t="shared" si="14"/>
        <v>0.98</v>
      </c>
      <c r="H67" s="718"/>
      <c r="I67" s="24">
        <f t="shared" si="15"/>
        <v>1</v>
      </c>
      <c r="J67" s="718"/>
      <c r="K67" s="24">
        <f t="shared" si="16"/>
        <v>1</v>
      </c>
      <c r="L67" s="718"/>
      <c r="M67" s="24">
        <f t="shared" si="17"/>
        <v>1</v>
      </c>
      <c r="N67" s="718"/>
      <c r="O67" s="24">
        <f t="shared" si="18"/>
        <v>1</v>
      </c>
      <c r="P67" s="718" t="s">
        <v>3203</v>
      </c>
      <c r="Q67" s="24">
        <f t="shared" si="19"/>
        <v>1</v>
      </c>
      <c r="R67" s="715">
        <f t="shared" si="20"/>
        <v>53175</v>
      </c>
      <c r="S67" s="360">
        <f t="shared" si="21"/>
        <v>630</v>
      </c>
    </row>
    <row r="68" spans="1:19">
      <c r="A68" s="2985" t="str">
        <f>抵押物清单!C49</f>
        <v>商业21</v>
      </c>
      <c r="B68" s="2986">
        <f>抵押物清单!D49</f>
        <v>118.41</v>
      </c>
      <c r="C68" s="24">
        <f t="shared" si="12"/>
        <v>1</v>
      </c>
      <c r="D68" s="718" t="s">
        <v>3224</v>
      </c>
      <c r="E68" s="24">
        <f t="shared" si="13"/>
        <v>0.94</v>
      </c>
      <c r="F68" s="718" t="s">
        <v>3269</v>
      </c>
      <c r="G68" s="24">
        <f t="shared" si="14"/>
        <v>0.98</v>
      </c>
      <c r="H68" s="718"/>
      <c r="I68" s="24">
        <f t="shared" si="15"/>
        <v>1</v>
      </c>
      <c r="J68" s="718"/>
      <c r="K68" s="24">
        <f t="shared" si="16"/>
        <v>1</v>
      </c>
      <c r="L68" s="718"/>
      <c r="M68" s="24">
        <f t="shared" si="17"/>
        <v>1</v>
      </c>
      <c r="N68" s="718"/>
      <c r="O68" s="24">
        <f t="shared" si="18"/>
        <v>1</v>
      </c>
      <c r="P68" s="718" t="s">
        <v>3203</v>
      </c>
      <c r="Q68" s="24">
        <f t="shared" si="19"/>
        <v>1</v>
      </c>
      <c r="R68" s="715">
        <f t="shared" si="20"/>
        <v>53175</v>
      </c>
      <c r="S68" s="360">
        <f t="shared" si="21"/>
        <v>630</v>
      </c>
    </row>
    <row r="69" spans="1:19">
      <c r="A69" s="2985" t="str">
        <f>抵押物清单!C50</f>
        <v>商业22</v>
      </c>
      <c r="B69" s="2986">
        <f>抵押物清单!D50</f>
        <v>97.05</v>
      </c>
      <c r="C69" s="24">
        <f t="shared" si="12"/>
        <v>1.01</v>
      </c>
      <c r="D69" s="718" t="s">
        <v>3224</v>
      </c>
      <c r="E69" s="24">
        <f t="shared" si="13"/>
        <v>0.94</v>
      </c>
      <c r="F69" s="718" t="s">
        <v>3269</v>
      </c>
      <c r="G69" s="24">
        <f t="shared" si="14"/>
        <v>0.98</v>
      </c>
      <c r="H69" s="718"/>
      <c r="I69" s="24">
        <f t="shared" si="15"/>
        <v>1</v>
      </c>
      <c r="J69" s="718"/>
      <c r="K69" s="24">
        <f t="shared" si="16"/>
        <v>1</v>
      </c>
      <c r="L69" s="718"/>
      <c r="M69" s="24">
        <f t="shared" si="17"/>
        <v>1</v>
      </c>
      <c r="N69" s="718"/>
      <c r="O69" s="24">
        <f t="shared" si="18"/>
        <v>1</v>
      </c>
      <c r="P69" s="718" t="s">
        <v>3203</v>
      </c>
      <c r="Q69" s="24">
        <f t="shared" si="19"/>
        <v>1</v>
      </c>
      <c r="R69" s="715">
        <f t="shared" si="20"/>
        <v>53707</v>
      </c>
      <c r="S69" s="360">
        <f t="shared" si="21"/>
        <v>521</v>
      </c>
    </row>
    <row r="70" spans="1:19">
      <c r="A70" s="2985" t="str">
        <f>抵押物清单!C51</f>
        <v>101</v>
      </c>
      <c r="B70" s="2986">
        <f>抵押物清单!D51</f>
        <v>241.67</v>
      </c>
      <c r="C70" s="24">
        <f t="shared" si="12"/>
        <v>1</v>
      </c>
      <c r="D70" s="718" t="s">
        <v>3224</v>
      </c>
      <c r="E70" s="24">
        <f t="shared" si="13"/>
        <v>0.94</v>
      </c>
      <c r="F70" s="718" t="s">
        <v>3271</v>
      </c>
      <c r="G70" s="24">
        <f t="shared" si="14"/>
        <v>1</v>
      </c>
      <c r="H70" s="718"/>
      <c r="I70" s="24">
        <f t="shared" si="15"/>
        <v>1</v>
      </c>
      <c r="J70" s="718"/>
      <c r="K70" s="24">
        <f t="shared" si="16"/>
        <v>1</v>
      </c>
      <c r="L70" s="718"/>
      <c r="M70" s="24">
        <f t="shared" si="17"/>
        <v>1</v>
      </c>
      <c r="N70" s="718"/>
      <c r="O70" s="24">
        <f t="shared" si="18"/>
        <v>1</v>
      </c>
      <c r="P70" s="718" t="s">
        <v>3203</v>
      </c>
      <c r="Q70" s="24">
        <f t="shared" si="19"/>
        <v>1</v>
      </c>
      <c r="R70" s="715">
        <f t="shared" si="20"/>
        <v>54261</v>
      </c>
      <c r="S70" s="360">
        <f t="shared" si="21"/>
        <v>1311</v>
      </c>
    </row>
    <row r="71" spans="1:19">
      <c r="A71" s="2985" t="str">
        <f>抵押物清单!C52</f>
        <v>102</v>
      </c>
      <c r="B71" s="2986">
        <f>抵押物清单!D52</f>
        <v>376.85</v>
      </c>
      <c r="C71" s="24">
        <f t="shared" si="12"/>
        <v>0.99</v>
      </c>
      <c r="D71" s="718" t="s">
        <v>3224</v>
      </c>
      <c r="E71" s="24">
        <f t="shared" si="13"/>
        <v>0.94</v>
      </c>
      <c r="F71" s="718" t="s">
        <v>3271</v>
      </c>
      <c r="G71" s="24">
        <f t="shared" si="14"/>
        <v>1</v>
      </c>
      <c r="H71" s="718"/>
      <c r="I71" s="24">
        <f t="shared" si="15"/>
        <v>1</v>
      </c>
      <c r="J71" s="718"/>
      <c r="K71" s="24">
        <f t="shared" si="16"/>
        <v>1</v>
      </c>
      <c r="L71" s="718"/>
      <c r="M71" s="24">
        <f t="shared" si="17"/>
        <v>1</v>
      </c>
      <c r="N71" s="718"/>
      <c r="O71" s="24">
        <f t="shared" si="18"/>
        <v>1</v>
      </c>
      <c r="P71" s="718" t="s">
        <v>3203</v>
      </c>
      <c r="Q71" s="24">
        <f t="shared" si="19"/>
        <v>1</v>
      </c>
      <c r="R71" s="715">
        <f t="shared" si="20"/>
        <v>53718</v>
      </c>
      <c r="S71" s="360">
        <f t="shared" si="21"/>
        <v>2024</v>
      </c>
    </row>
    <row r="72" spans="1:19">
      <c r="A72" s="2985" t="str">
        <f>抵押物清单!C53</f>
        <v>103</v>
      </c>
      <c r="B72" s="2986">
        <f>抵押物清单!D53</f>
        <v>120.1</v>
      </c>
      <c r="C72" s="24">
        <f t="shared" si="12"/>
        <v>1</v>
      </c>
      <c r="D72" s="718" t="s">
        <v>3224</v>
      </c>
      <c r="E72" s="24">
        <f t="shared" si="13"/>
        <v>0.94</v>
      </c>
      <c r="F72" s="718" t="s">
        <v>3271</v>
      </c>
      <c r="G72" s="24">
        <f t="shared" si="14"/>
        <v>1</v>
      </c>
      <c r="H72" s="718"/>
      <c r="I72" s="24">
        <f t="shared" si="15"/>
        <v>1</v>
      </c>
      <c r="J72" s="718"/>
      <c r="K72" s="24">
        <f t="shared" si="16"/>
        <v>1</v>
      </c>
      <c r="L72" s="718"/>
      <c r="M72" s="24">
        <f t="shared" si="17"/>
        <v>1</v>
      </c>
      <c r="N72" s="718"/>
      <c r="O72" s="24">
        <f t="shared" si="18"/>
        <v>1</v>
      </c>
      <c r="P72" s="718" t="s">
        <v>3203</v>
      </c>
      <c r="Q72" s="24">
        <f t="shared" si="19"/>
        <v>1</v>
      </c>
      <c r="R72" s="715">
        <f t="shared" si="20"/>
        <v>54261</v>
      </c>
      <c r="S72" s="360">
        <f t="shared" si="21"/>
        <v>652</v>
      </c>
    </row>
    <row r="73" spans="1:19">
      <c r="A73" s="2985" t="str">
        <f>抵押物清单!C54</f>
        <v>104</v>
      </c>
      <c r="B73" s="2986">
        <f>抵押物清单!D54</f>
        <v>393.76</v>
      </c>
      <c r="C73" s="24">
        <f t="shared" si="12"/>
        <v>0.99</v>
      </c>
      <c r="D73" s="718" t="s">
        <v>3224</v>
      </c>
      <c r="E73" s="24">
        <f t="shared" si="13"/>
        <v>0.94</v>
      </c>
      <c r="F73" s="718" t="s">
        <v>3271</v>
      </c>
      <c r="G73" s="24">
        <f t="shared" si="14"/>
        <v>1</v>
      </c>
      <c r="H73" s="718"/>
      <c r="I73" s="24">
        <f t="shared" si="15"/>
        <v>1</v>
      </c>
      <c r="J73" s="718"/>
      <c r="K73" s="24">
        <f t="shared" si="16"/>
        <v>1</v>
      </c>
      <c r="L73" s="718"/>
      <c r="M73" s="24">
        <f t="shared" si="17"/>
        <v>1</v>
      </c>
      <c r="N73" s="718"/>
      <c r="O73" s="24">
        <f t="shared" si="18"/>
        <v>1</v>
      </c>
      <c r="P73" s="718" t="s">
        <v>3203</v>
      </c>
      <c r="Q73" s="24">
        <f t="shared" si="19"/>
        <v>1</v>
      </c>
      <c r="R73" s="715">
        <f t="shared" si="20"/>
        <v>53718</v>
      </c>
      <c r="S73" s="360">
        <f t="shared" si="21"/>
        <v>2115</v>
      </c>
    </row>
    <row r="74" spans="1:19">
      <c r="A74" s="2985" t="str">
        <f>抵押物清单!C55</f>
        <v>105</v>
      </c>
      <c r="B74" s="2986">
        <f>抵押物清单!D55</f>
        <v>73.94</v>
      </c>
      <c r="C74" s="24">
        <f t="shared" si="12"/>
        <v>1.01</v>
      </c>
      <c r="D74" s="718" t="s">
        <v>3224</v>
      </c>
      <c r="E74" s="24">
        <f t="shared" si="13"/>
        <v>0.94</v>
      </c>
      <c r="F74" s="718" t="s">
        <v>3271</v>
      </c>
      <c r="G74" s="24">
        <f t="shared" si="14"/>
        <v>1</v>
      </c>
      <c r="H74" s="718"/>
      <c r="I74" s="24">
        <f t="shared" si="15"/>
        <v>1</v>
      </c>
      <c r="J74" s="718"/>
      <c r="K74" s="24">
        <f t="shared" si="16"/>
        <v>1</v>
      </c>
      <c r="L74" s="718"/>
      <c r="M74" s="24">
        <f t="shared" si="17"/>
        <v>1</v>
      </c>
      <c r="N74" s="718"/>
      <c r="O74" s="24">
        <f t="shared" si="18"/>
        <v>1</v>
      </c>
      <c r="P74" s="718" t="s">
        <v>3203</v>
      </c>
      <c r="Q74" s="24">
        <f t="shared" si="19"/>
        <v>1</v>
      </c>
      <c r="R74" s="715">
        <f t="shared" si="20"/>
        <v>54803</v>
      </c>
      <c r="S74" s="360">
        <f t="shared" si="21"/>
        <v>405</v>
      </c>
    </row>
    <row r="75" spans="1:19">
      <c r="A75" s="2985" t="str">
        <f>抵押物清单!C56</f>
        <v>107</v>
      </c>
      <c r="B75" s="2986">
        <f>抵押物清单!D56</f>
        <v>99.51</v>
      </c>
      <c r="C75" s="24">
        <f t="shared" si="12"/>
        <v>1.01</v>
      </c>
      <c r="D75" s="718" t="s">
        <v>3224</v>
      </c>
      <c r="E75" s="24">
        <f t="shared" si="13"/>
        <v>0.94</v>
      </c>
      <c r="F75" s="718" t="s">
        <v>3271</v>
      </c>
      <c r="G75" s="24">
        <f t="shared" si="14"/>
        <v>1</v>
      </c>
      <c r="H75" s="718"/>
      <c r="I75" s="24">
        <f t="shared" si="15"/>
        <v>1</v>
      </c>
      <c r="J75" s="718"/>
      <c r="K75" s="24">
        <f t="shared" si="16"/>
        <v>1</v>
      </c>
      <c r="L75" s="718"/>
      <c r="M75" s="24">
        <f t="shared" si="17"/>
        <v>1</v>
      </c>
      <c r="N75" s="718"/>
      <c r="O75" s="24">
        <f t="shared" si="18"/>
        <v>1</v>
      </c>
      <c r="P75" s="718" t="s">
        <v>3203</v>
      </c>
      <c r="Q75" s="24">
        <f t="shared" si="19"/>
        <v>1</v>
      </c>
      <c r="R75" s="715">
        <f t="shared" si="20"/>
        <v>54803</v>
      </c>
      <c r="S75" s="360">
        <f t="shared" si="21"/>
        <v>545</v>
      </c>
    </row>
    <row r="76" spans="1:19">
      <c r="A76" s="2985" t="str">
        <f>抵押物清单!C57</f>
        <v>101</v>
      </c>
      <c r="B76" s="2986">
        <f>抵押物清单!D57</f>
        <v>101.76</v>
      </c>
      <c r="C76" s="24">
        <f t="shared" si="12"/>
        <v>1</v>
      </c>
      <c r="D76" s="718" t="s">
        <v>3224</v>
      </c>
      <c r="E76" s="24">
        <f t="shared" si="13"/>
        <v>0.94</v>
      </c>
      <c r="F76" s="718" t="s">
        <v>3271</v>
      </c>
      <c r="G76" s="24">
        <f t="shared" si="14"/>
        <v>1</v>
      </c>
      <c r="H76" s="718"/>
      <c r="I76" s="24">
        <f t="shared" si="15"/>
        <v>1</v>
      </c>
      <c r="J76" s="718"/>
      <c r="K76" s="24">
        <f t="shared" si="16"/>
        <v>1</v>
      </c>
      <c r="L76" s="718"/>
      <c r="M76" s="24">
        <f t="shared" si="17"/>
        <v>1</v>
      </c>
      <c r="N76" s="718"/>
      <c r="O76" s="24">
        <f t="shared" si="18"/>
        <v>1</v>
      </c>
      <c r="P76" s="718" t="s">
        <v>3203</v>
      </c>
      <c r="Q76" s="24">
        <f t="shared" si="19"/>
        <v>1</v>
      </c>
      <c r="R76" s="715">
        <f t="shared" si="20"/>
        <v>54261</v>
      </c>
      <c r="S76" s="360">
        <f t="shared" si="21"/>
        <v>552</v>
      </c>
    </row>
    <row r="77" spans="1:19">
      <c r="A77" s="2985" t="str">
        <f>抵押物清单!C58</f>
        <v>102</v>
      </c>
      <c r="B77" s="2986">
        <f>抵押物清单!D58</f>
        <v>376.11</v>
      </c>
      <c r="C77" s="24">
        <f t="shared" si="12"/>
        <v>0.99</v>
      </c>
      <c r="D77" s="718" t="s">
        <v>3224</v>
      </c>
      <c r="E77" s="24">
        <f t="shared" si="13"/>
        <v>0.94</v>
      </c>
      <c r="F77" s="718" t="s">
        <v>3271</v>
      </c>
      <c r="G77" s="24">
        <f t="shared" si="14"/>
        <v>1</v>
      </c>
      <c r="H77" s="718"/>
      <c r="I77" s="24">
        <f t="shared" si="15"/>
        <v>1</v>
      </c>
      <c r="J77" s="718"/>
      <c r="K77" s="24">
        <f t="shared" si="16"/>
        <v>1</v>
      </c>
      <c r="L77" s="718"/>
      <c r="M77" s="24">
        <f t="shared" si="17"/>
        <v>1</v>
      </c>
      <c r="N77" s="718"/>
      <c r="O77" s="24">
        <f t="shared" si="18"/>
        <v>1</v>
      </c>
      <c r="P77" s="718" t="s">
        <v>3203</v>
      </c>
      <c r="Q77" s="24">
        <f t="shared" si="19"/>
        <v>1</v>
      </c>
      <c r="R77" s="715">
        <f t="shared" si="20"/>
        <v>53718</v>
      </c>
      <c r="S77" s="360">
        <f t="shared" si="21"/>
        <v>2020</v>
      </c>
    </row>
    <row r="78" spans="1:19">
      <c r="A78" s="2985" t="str">
        <f>抵押物清单!C59</f>
        <v>8单元商业09</v>
      </c>
      <c r="B78" s="2986">
        <f>抵押物清单!D59</f>
        <v>54.64</v>
      </c>
      <c r="C78" s="24">
        <f t="shared" si="12"/>
        <v>1.01</v>
      </c>
      <c r="D78" s="718" t="s">
        <v>3224</v>
      </c>
      <c r="E78" s="24">
        <f t="shared" si="13"/>
        <v>0.94</v>
      </c>
      <c r="F78" s="718" t="s">
        <v>3269</v>
      </c>
      <c r="G78" s="24">
        <f t="shared" si="14"/>
        <v>0.98</v>
      </c>
      <c r="H78" s="718"/>
      <c r="I78" s="24">
        <f t="shared" si="15"/>
        <v>1</v>
      </c>
      <c r="J78" s="718"/>
      <c r="K78" s="24">
        <f t="shared" si="16"/>
        <v>1</v>
      </c>
      <c r="L78" s="718"/>
      <c r="M78" s="24">
        <f t="shared" si="17"/>
        <v>1</v>
      </c>
      <c r="N78" s="718"/>
      <c r="O78" s="24">
        <f t="shared" si="18"/>
        <v>1</v>
      </c>
      <c r="P78" s="718" t="s">
        <v>3203</v>
      </c>
      <c r="Q78" s="24">
        <f t="shared" si="19"/>
        <v>1</v>
      </c>
      <c r="R78" s="715">
        <f t="shared" si="20"/>
        <v>53707</v>
      </c>
      <c r="S78" s="360">
        <f t="shared" ref="S78:S122" si="22">ROUND(R78*B78/10000,0)</f>
        <v>293</v>
      </c>
    </row>
    <row r="79" spans="1:19">
      <c r="A79" s="2985" t="str">
        <f>抵押物清单!C60</f>
        <v>8单元商业16</v>
      </c>
      <c r="B79" s="2986">
        <f>抵押物清单!D60</f>
        <v>65.930000000000007</v>
      </c>
      <c r="C79" s="24">
        <f t="shared" si="12"/>
        <v>1.01</v>
      </c>
      <c r="D79" s="718" t="s">
        <v>3224</v>
      </c>
      <c r="E79" s="24">
        <f t="shared" si="13"/>
        <v>0.94</v>
      </c>
      <c r="F79" s="718" t="s">
        <v>3269</v>
      </c>
      <c r="G79" s="24">
        <f t="shared" si="14"/>
        <v>0.98</v>
      </c>
      <c r="H79" s="718"/>
      <c r="I79" s="24">
        <f t="shared" si="15"/>
        <v>1</v>
      </c>
      <c r="J79" s="718"/>
      <c r="K79" s="24">
        <f t="shared" si="16"/>
        <v>1</v>
      </c>
      <c r="L79" s="718"/>
      <c r="M79" s="24">
        <f t="shared" si="17"/>
        <v>1</v>
      </c>
      <c r="N79" s="718"/>
      <c r="O79" s="24">
        <f t="shared" si="18"/>
        <v>1</v>
      </c>
      <c r="P79" s="718" t="s">
        <v>3203</v>
      </c>
      <c r="Q79" s="24">
        <f t="shared" si="19"/>
        <v>1</v>
      </c>
      <c r="R79" s="715">
        <f t="shared" si="20"/>
        <v>53707</v>
      </c>
      <c r="S79" s="360">
        <f t="shared" si="22"/>
        <v>354</v>
      </c>
    </row>
    <row r="80" spans="1:19">
      <c r="A80" s="2985" t="str">
        <f>抵押物清单!C61</f>
        <v>9单元商业08</v>
      </c>
      <c r="B80" s="2986">
        <f>抵押物清单!D61</f>
        <v>83.76</v>
      </c>
      <c r="C80" s="24">
        <f t="shared" si="12"/>
        <v>1.01</v>
      </c>
      <c r="D80" s="718" t="s">
        <v>3224</v>
      </c>
      <c r="E80" s="24">
        <f t="shared" si="13"/>
        <v>0.94</v>
      </c>
      <c r="F80" s="718" t="s">
        <v>3269</v>
      </c>
      <c r="G80" s="24">
        <f t="shared" si="14"/>
        <v>0.98</v>
      </c>
      <c r="H80" s="718"/>
      <c r="I80" s="24">
        <f t="shared" si="15"/>
        <v>1</v>
      </c>
      <c r="J80" s="718"/>
      <c r="K80" s="24">
        <f t="shared" si="16"/>
        <v>1</v>
      </c>
      <c r="L80" s="718"/>
      <c r="M80" s="24">
        <f t="shared" si="17"/>
        <v>1</v>
      </c>
      <c r="N80" s="718"/>
      <c r="O80" s="24">
        <f t="shared" si="18"/>
        <v>1</v>
      </c>
      <c r="P80" s="718" t="s">
        <v>3203</v>
      </c>
      <c r="Q80" s="24">
        <f t="shared" si="19"/>
        <v>1</v>
      </c>
      <c r="R80" s="715">
        <f t="shared" si="20"/>
        <v>53707</v>
      </c>
      <c r="S80" s="360">
        <f t="shared" si="22"/>
        <v>450</v>
      </c>
    </row>
    <row r="81" spans="1:19">
      <c r="A81" s="2985" t="str">
        <f>抵押物清单!C62</f>
        <v>01</v>
      </c>
      <c r="B81" s="2986">
        <f>抵押物清单!D62</f>
        <v>145.76</v>
      </c>
      <c r="C81" s="24">
        <f t="shared" si="12"/>
        <v>1</v>
      </c>
      <c r="D81" s="718" t="s">
        <v>3224</v>
      </c>
      <c r="E81" s="24">
        <f t="shared" si="13"/>
        <v>0.94</v>
      </c>
      <c r="F81" s="718" t="s">
        <v>3271</v>
      </c>
      <c r="G81" s="24">
        <f t="shared" si="14"/>
        <v>1</v>
      </c>
      <c r="H81" s="718"/>
      <c r="I81" s="24">
        <f t="shared" si="15"/>
        <v>1</v>
      </c>
      <c r="J81" s="718"/>
      <c r="K81" s="24">
        <f t="shared" si="16"/>
        <v>1</v>
      </c>
      <c r="L81" s="718"/>
      <c r="M81" s="24">
        <f t="shared" si="17"/>
        <v>1</v>
      </c>
      <c r="N81" s="718"/>
      <c r="O81" s="24">
        <f t="shared" si="18"/>
        <v>1</v>
      </c>
      <c r="P81" s="718" t="s">
        <v>3203</v>
      </c>
      <c r="Q81" s="24">
        <f t="shared" si="19"/>
        <v>1</v>
      </c>
      <c r="R81" s="715">
        <f t="shared" si="20"/>
        <v>54261</v>
      </c>
      <c r="S81" s="360">
        <f t="shared" si="22"/>
        <v>791</v>
      </c>
    </row>
    <row r="82" spans="1:19">
      <c r="A82" s="2985" t="str">
        <f>抵押物清单!C63</f>
        <v>02</v>
      </c>
      <c r="B82" s="2986">
        <f>抵押物清单!D63</f>
        <v>111.17</v>
      </c>
      <c r="C82" s="24">
        <f t="shared" si="12"/>
        <v>1</v>
      </c>
      <c r="D82" s="718" t="s">
        <v>3224</v>
      </c>
      <c r="E82" s="24">
        <f t="shared" si="13"/>
        <v>0.94</v>
      </c>
      <c r="F82" s="718" t="s">
        <v>3271</v>
      </c>
      <c r="G82" s="24">
        <f t="shared" si="14"/>
        <v>1</v>
      </c>
      <c r="H82" s="718"/>
      <c r="I82" s="24">
        <f t="shared" si="15"/>
        <v>1</v>
      </c>
      <c r="J82" s="718"/>
      <c r="K82" s="24">
        <f t="shared" si="16"/>
        <v>1</v>
      </c>
      <c r="L82" s="718"/>
      <c r="M82" s="24">
        <f t="shared" si="17"/>
        <v>1</v>
      </c>
      <c r="N82" s="718"/>
      <c r="O82" s="24">
        <f t="shared" si="18"/>
        <v>1</v>
      </c>
      <c r="P82" s="718" t="s">
        <v>3203</v>
      </c>
      <c r="Q82" s="24">
        <f t="shared" si="19"/>
        <v>1</v>
      </c>
      <c r="R82" s="715">
        <f t="shared" si="20"/>
        <v>54261</v>
      </c>
      <c r="S82" s="360">
        <f t="shared" si="22"/>
        <v>603</v>
      </c>
    </row>
    <row r="83" spans="1:19">
      <c r="A83" s="2985" t="str">
        <f>抵押物清单!C64</f>
        <v>03</v>
      </c>
      <c r="B83" s="2986">
        <f>抵押物清单!D64</f>
        <v>92.56</v>
      </c>
      <c r="C83" s="24">
        <f t="shared" si="12"/>
        <v>1.01</v>
      </c>
      <c r="D83" s="718" t="s">
        <v>3224</v>
      </c>
      <c r="E83" s="24">
        <f t="shared" si="13"/>
        <v>0.94</v>
      </c>
      <c r="F83" s="718" t="s">
        <v>3271</v>
      </c>
      <c r="G83" s="24">
        <f t="shared" si="14"/>
        <v>1</v>
      </c>
      <c r="H83" s="718"/>
      <c r="I83" s="24">
        <f t="shared" si="15"/>
        <v>1</v>
      </c>
      <c r="J83" s="718"/>
      <c r="K83" s="24">
        <f t="shared" si="16"/>
        <v>1</v>
      </c>
      <c r="L83" s="718"/>
      <c r="M83" s="24">
        <f t="shared" si="17"/>
        <v>1</v>
      </c>
      <c r="N83" s="718"/>
      <c r="O83" s="24">
        <f t="shared" si="18"/>
        <v>1</v>
      </c>
      <c r="P83" s="718" t="s">
        <v>3203</v>
      </c>
      <c r="Q83" s="24">
        <f t="shared" si="19"/>
        <v>1</v>
      </c>
      <c r="R83" s="715">
        <f t="shared" si="20"/>
        <v>54803</v>
      </c>
      <c r="S83" s="360">
        <f t="shared" si="22"/>
        <v>507</v>
      </c>
    </row>
    <row r="84" spans="1:19">
      <c r="A84" s="2985" t="str">
        <f>抵押物清单!C65</f>
        <v>05</v>
      </c>
      <c r="B84" s="2986">
        <f>抵押物清单!D65</f>
        <v>243.48</v>
      </c>
      <c r="C84" s="24">
        <f t="shared" si="12"/>
        <v>1</v>
      </c>
      <c r="D84" s="718" t="s">
        <v>3224</v>
      </c>
      <c r="E84" s="24">
        <f t="shared" si="13"/>
        <v>0.94</v>
      </c>
      <c r="F84" s="718" t="s">
        <v>3271</v>
      </c>
      <c r="G84" s="24">
        <f t="shared" si="14"/>
        <v>1</v>
      </c>
      <c r="H84" s="718"/>
      <c r="I84" s="24">
        <f t="shared" si="15"/>
        <v>1</v>
      </c>
      <c r="J84" s="718"/>
      <c r="K84" s="24">
        <f t="shared" si="16"/>
        <v>1</v>
      </c>
      <c r="L84" s="718"/>
      <c r="M84" s="24">
        <f t="shared" si="17"/>
        <v>1</v>
      </c>
      <c r="N84" s="718"/>
      <c r="O84" s="24">
        <f t="shared" si="18"/>
        <v>1</v>
      </c>
      <c r="P84" s="718" t="s">
        <v>3203</v>
      </c>
      <c r="Q84" s="24">
        <f t="shared" si="19"/>
        <v>1</v>
      </c>
      <c r="R84" s="715">
        <f t="shared" si="20"/>
        <v>54261</v>
      </c>
      <c r="S84" s="360">
        <f t="shared" si="22"/>
        <v>1321</v>
      </c>
    </row>
    <row r="85" spans="1:19">
      <c r="A85" s="2985" t="str">
        <f>抵押物清单!C66</f>
        <v>11</v>
      </c>
      <c r="B85" s="2986">
        <f>抵押物清单!D66</f>
        <v>74.36</v>
      </c>
      <c r="C85" s="24">
        <f t="shared" si="12"/>
        <v>1.01</v>
      </c>
      <c r="D85" s="718" t="s">
        <v>3224</v>
      </c>
      <c r="E85" s="24">
        <f t="shared" si="13"/>
        <v>0.94</v>
      </c>
      <c r="F85" s="718" t="s">
        <v>3269</v>
      </c>
      <c r="G85" s="24">
        <f t="shared" si="14"/>
        <v>0.98</v>
      </c>
      <c r="H85" s="718"/>
      <c r="I85" s="24">
        <f t="shared" si="15"/>
        <v>1</v>
      </c>
      <c r="J85" s="718"/>
      <c r="K85" s="24">
        <f t="shared" si="16"/>
        <v>1</v>
      </c>
      <c r="L85" s="718"/>
      <c r="M85" s="24">
        <f t="shared" si="17"/>
        <v>1</v>
      </c>
      <c r="N85" s="718"/>
      <c r="O85" s="24">
        <f t="shared" si="18"/>
        <v>1</v>
      </c>
      <c r="P85" s="718" t="s">
        <v>3203</v>
      </c>
      <c r="Q85" s="24">
        <f t="shared" si="19"/>
        <v>1</v>
      </c>
      <c r="R85" s="715">
        <f t="shared" si="20"/>
        <v>53707</v>
      </c>
      <c r="S85" s="360">
        <f t="shared" si="22"/>
        <v>399</v>
      </c>
    </row>
    <row r="86" spans="1:19">
      <c r="A86" s="2985" t="str">
        <f>抵押物清单!C67</f>
        <v>12</v>
      </c>
      <c r="B86" s="2986">
        <f>抵押物清单!D67</f>
        <v>104.41</v>
      </c>
      <c r="C86" s="24">
        <f t="shared" si="12"/>
        <v>1</v>
      </c>
      <c r="D86" s="718" t="s">
        <v>3224</v>
      </c>
      <c r="E86" s="24">
        <f t="shared" si="13"/>
        <v>0.94</v>
      </c>
      <c r="F86" s="718" t="s">
        <v>3269</v>
      </c>
      <c r="G86" s="24">
        <f t="shared" si="14"/>
        <v>0.98</v>
      </c>
      <c r="H86" s="718"/>
      <c r="I86" s="24">
        <f t="shared" si="15"/>
        <v>1</v>
      </c>
      <c r="J86" s="718"/>
      <c r="K86" s="24">
        <f t="shared" si="16"/>
        <v>1</v>
      </c>
      <c r="L86" s="718"/>
      <c r="M86" s="24">
        <f t="shared" si="17"/>
        <v>1</v>
      </c>
      <c r="N86" s="718"/>
      <c r="O86" s="24">
        <f t="shared" si="18"/>
        <v>1</v>
      </c>
      <c r="P86" s="718" t="s">
        <v>3203</v>
      </c>
      <c r="Q86" s="24">
        <f t="shared" si="19"/>
        <v>1</v>
      </c>
      <c r="R86" s="715">
        <f t="shared" si="20"/>
        <v>53175</v>
      </c>
      <c r="S86" s="360">
        <f t="shared" si="22"/>
        <v>555</v>
      </c>
    </row>
    <row r="87" spans="1:19">
      <c r="A87" s="2985" t="str">
        <f>抵押物清单!C68</f>
        <v>24</v>
      </c>
      <c r="B87" s="2986">
        <f>抵押物清单!D68</f>
        <v>63.88</v>
      </c>
      <c r="C87" s="24">
        <f t="shared" si="12"/>
        <v>1.01</v>
      </c>
      <c r="D87" s="718" t="s">
        <v>3224</v>
      </c>
      <c r="E87" s="24">
        <f t="shared" si="13"/>
        <v>0.94</v>
      </c>
      <c r="F87" s="718" t="s">
        <v>3269</v>
      </c>
      <c r="G87" s="24">
        <f t="shared" si="14"/>
        <v>0.98</v>
      </c>
      <c r="H87" s="718"/>
      <c r="I87" s="24">
        <f t="shared" si="15"/>
        <v>1</v>
      </c>
      <c r="J87" s="718"/>
      <c r="K87" s="24">
        <f t="shared" si="16"/>
        <v>1</v>
      </c>
      <c r="L87" s="718"/>
      <c r="M87" s="24">
        <f t="shared" si="17"/>
        <v>1</v>
      </c>
      <c r="N87" s="718"/>
      <c r="O87" s="24">
        <f t="shared" si="18"/>
        <v>1</v>
      </c>
      <c r="P87" s="718" t="s">
        <v>3203</v>
      </c>
      <c r="Q87" s="24">
        <f t="shared" si="19"/>
        <v>1</v>
      </c>
      <c r="R87" s="715">
        <f t="shared" si="20"/>
        <v>53707</v>
      </c>
      <c r="S87" s="360">
        <f t="shared" si="22"/>
        <v>343</v>
      </c>
    </row>
    <row r="88" spans="1:19">
      <c r="A88" s="2985" t="str">
        <f>抵押物清单!C69</f>
        <v>25</v>
      </c>
      <c r="B88" s="2986">
        <f>抵押物清单!D69</f>
        <v>55.17</v>
      </c>
      <c r="C88" s="24">
        <f t="shared" si="12"/>
        <v>1.01</v>
      </c>
      <c r="D88" s="718" t="s">
        <v>3224</v>
      </c>
      <c r="E88" s="24">
        <f t="shared" si="13"/>
        <v>0.94</v>
      </c>
      <c r="F88" s="718" t="s">
        <v>3269</v>
      </c>
      <c r="G88" s="24">
        <f t="shared" si="14"/>
        <v>0.98</v>
      </c>
      <c r="H88" s="718"/>
      <c r="I88" s="24">
        <f t="shared" si="15"/>
        <v>1</v>
      </c>
      <c r="J88" s="718"/>
      <c r="K88" s="24">
        <f t="shared" si="16"/>
        <v>1</v>
      </c>
      <c r="L88" s="718"/>
      <c r="M88" s="24">
        <f t="shared" si="17"/>
        <v>1</v>
      </c>
      <c r="N88" s="718"/>
      <c r="O88" s="24">
        <f t="shared" si="18"/>
        <v>1</v>
      </c>
      <c r="P88" s="718" t="s">
        <v>3203</v>
      </c>
      <c r="Q88" s="24">
        <f t="shared" si="19"/>
        <v>1</v>
      </c>
      <c r="R88" s="715">
        <f t="shared" si="20"/>
        <v>53707</v>
      </c>
      <c r="S88" s="360">
        <f t="shared" si="22"/>
        <v>296</v>
      </c>
    </row>
    <row r="89" spans="1:19">
      <c r="A89" s="2985" t="str">
        <f>抵押物清单!C70</f>
        <v>26</v>
      </c>
      <c r="B89" s="2986">
        <f>抵押物清单!D70</f>
        <v>82.96</v>
      </c>
      <c r="C89" s="24">
        <f t="shared" si="12"/>
        <v>1.01</v>
      </c>
      <c r="D89" s="718" t="s">
        <v>3224</v>
      </c>
      <c r="E89" s="24">
        <f t="shared" si="13"/>
        <v>0.94</v>
      </c>
      <c r="F89" s="718" t="s">
        <v>3269</v>
      </c>
      <c r="G89" s="24">
        <f t="shared" si="14"/>
        <v>0.98</v>
      </c>
      <c r="H89" s="718"/>
      <c r="I89" s="24">
        <f t="shared" si="15"/>
        <v>1</v>
      </c>
      <c r="J89" s="718"/>
      <c r="K89" s="24">
        <f t="shared" si="16"/>
        <v>1</v>
      </c>
      <c r="L89" s="718"/>
      <c r="M89" s="24">
        <f t="shared" si="17"/>
        <v>1</v>
      </c>
      <c r="N89" s="718"/>
      <c r="O89" s="24">
        <f t="shared" si="18"/>
        <v>1</v>
      </c>
      <c r="P89" s="718" t="s">
        <v>3203</v>
      </c>
      <c r="Q89" s="24">
        <f t="shared" si="19"/>
        <v>1</v>
      </c>
      <c r="R89" s="715">
        <f t="shared" si="20"/>
        <v>53707</v>
      </c>
      <c r="S89" s="360">
        <f t="shared" si="22"/>
        <v>446</v>
      </c>
    </row>
    <row r="90" spans="1:19">
      <c r="A90" s="2985" t="str">
        <f>抵押物清单!C71</f>
        <v>27</v>
      </c>
      <c r="B90" s="2986">
        <f>抵押物清单!D71</f>
        <v>55.21</v>
      </c>
      <c r="C90" s="24">
        <f t="shared" ref="C90:C153" si="23">IF(B90="",1,(LOOKUP(B90,$3:$3,$4:$4)-LOOKUP($B$24,$3:$3,$4:$4)+100)/100)</f>
        <v>1.01</v>
      </c>
      <c r="D90" s="718" t="s">
        <v>3224</v>
      </c>
      <c r="E90" s="24">
        <f t="shared" ref="E90:E153" si="24">(SUMIF($5:$5,D90,$6:$6)-SUMIF($5:$5,$D$24,$6:$6)+100)/100</f>
        <v>0.94</v>
      </c>
      <c r="F90" s="718" t="s">
        <v>3269</v>
      </c>
      <c r="G90" s="24">
        <f t="shared" ref="G90:G153" si="25">(SUMIF($7:$7,F90,$8:$8)-SUMIF($7:$7,$F$24,$8:$8)+100)/100</f>
        <v>0.98</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3203</v>
      </c>
      <c r="Q90" s="24">
        <f t="shared" ref="Q90:Q153" si="30">(SUMIF($17:$17,P90,$18:$18)-SUMIF($17:$17,$P$24,$18:$18)+100)/100</f>
        <v>1</v>
      </c>
      <c r="R90" s="715">
        <f t="shared" ref="R90:R153" si="31">IF(B90="",0,ROUND($R$24*C90*E90*G90*I90*K90*M90*O90*Q90,0))</f>
        <v>53707</v>
      </c>
      <c r="S90" s="360">
        <f t="shared" si="22"/>
        <v>297</v>
      </c>
    </row>
    <row r="91" spans="1:19">
      <c r="A91" s="2985"/>
      <c r="B91" s="58"/>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5"/>
      <c r="B92" s="58"/>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5"/>
      <c r="B93" s="58"/>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5"/>
      <c r="B94" s="58"/>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5"/>
      <c r="B95" s="58"/>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5"/>
      <c r="B96" s="58"/>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5"/>
      <c r="B97" s="58"/>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5"/>
      <c r="B98" s="58"/>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5"/>
      <c r="B99" s="58"/>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5"/>
      <c r="B100" s="58"/>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5"/>
      <c r="B101" s="58"/>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5"/>
      <c r="B102" s="58"/>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5"/>
      <c r="B103" s="58"/>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5"/>
      <c r="B104" s="58"/>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5"/>
      <c r="B105" s="58"/>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5"/>
      <c r="B106" s="58"/>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5"/>
      <c r="B107" s="58"/>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5"/>
      <c r="B108" s="58"/>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5"/>
      <c r="B109" s="58"/>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5"/>
      <c r="B110" s="58"/>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5"/>
      <c r="B111" s="58"/>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5"/>
      <c r="B112" s="58"/>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5"/>
      <c r="B113" s="58"/>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5"/>
      <c r="B114" s="58"/>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5"/>
      <c r="B115" s="58"/>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5"/>
      <c r="B116" s="58"/>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5"/>
      <c r="B117" s="58"/>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5"/>
      <c r="B118" s="58"/>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5"/>
      <c r="B119" s="58"/>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5"/>
      <c r="B120" s="58"/>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5"/>
      <c r="B121" s="58"/>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5"/>
      <c r="B122" s="58"/>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5"/>
      <c r="B123" s="58"/>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5"/>
      <c r="B124" s="58"/>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5"/>
      <c r="B125" s="58"/>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5"/>
      <c r="B126" s="58"/>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5"/>
      <c r="B127" s="58"/>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5"/>
      <c r="B128" s="58"/>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5"/>
      <c r="B129" s="58"/>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5"/>
      <c r="B130" s="58"/>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5"/>
      <c r="B131" s="58"/>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5"/>
      <c r="B132" s="58"/>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2526</v>
      </c>
      <c r="B1" s="2559"/>
      <c r="C1" s="2559"/>
      <c r="D1" s="2559"/>
      <c r="E1" s="2560"/>
    </row>
    <row r="2" spans="1:6" ht="15.75">
      <c r="A2" s="2561" t="s">
        <v>2327</v>
      </c>
      <c r="B2" s="2562">
        <f ca="1">SUMIF(B6:B13,"&lt;&gt;#ref!",B6:B13)</f>
        <v>45644</v>
      </c>
      <c r="C2" s="2563" t="s">
        <v>2519</v>
      </c>
      <c r="D2" s="2564" t="s">
        <v>2520</v>
      </c>
      <c r="E2" s="2565">
        <f>SUM(E6:E13)</f>
        <v>21933.11</v>
      </c>
    </row>
    <row r="3" spans="1:6" ht="15.75">
      <c r="A3" s="2561" t="s">
        <v>1395</v>
      </c>
      <c r="B3" s="2562">
        <f ca="1">ROUND(B2*10000/E2,0)</f>
        <v>20811</v>
      </c>
      <c r="C3" s="2563" t="s">
        <v>2527</v>
      </c>
      <c r="D3" s="2566"/>
      <c r="E3" s="2567"/>
    </row>
    <row r="4" spans="1:6" ht="15.75">
      <c r="A4" s="2568"/>
      <c r="B4" s="2566"/>
      <c r="C4" s="2566"/>
      <c r="D4" s="2566"/>
      <c r="E4" s="2567"/>
    </row>
    <row r="5" spans="1:6" ht="15">
      <c r="A5" s="2569" t="s">
        <v>2521</v>
      </c>
      <c r="B5" s="3288" t="s">
        <v>2522</v>
      </c>
      <c r="C5" s="3288"/>
      <c r="D5" s="2570"/>
      <c r="E5" s="2571" t="s">
        <v>2523</v>
      </c>
      <c r="F5" s="2572" t="s">
        <v>2524</v>
      </c>
    </row>
    <row r="6" spans="1:6">
      <c r="A6" s="2573" t="str">
        <f>'数据-取费表'!AN6</f>
        <v>收益法（无租约）</v>
      </c>
      <c r="B6" s="2572">
        <f ca="1">IF(F6="是",'数据-取费表'!AO6,0)</f>
        <v>4364</v>
      </c>
      <c r="C6" s="2563" t="s">
        <v>2519</v>
      </c>
      <c r="D6" s="2566"/>
      <c r="E6" s="2574">
        <f>IF(OR(A6=0,F6="否"),0,'数据-取费表'!K6+'数据-取费表'!S6)</f>
        <v>1778.3200000000002</v>
      </c>
      <c r="F6" s="2575" t="s">
        <v>2525</v>
      </c>
    </row>
    <row r="7" spans="1:6">
      <c r="A7" s="2573" t="str">
        <f>'数据-取费表'!AN7</f>
        <v>收益法（10年内）</v>
      </c>
      <c r="B7" s="2572">
        <f ca="1">IF(F7="是",'数据-取费表'!AO7,0)</f>
        <v>14128</v>
      </c>
      <c r="C7" s="2563" t="s">
        <v>2519</v>
      </c>
      <c r="D7" s="2566"/>
      <c r="E7" s="2574">
        <f>IF(OR(A7=0,F7="否"),0,'数据-取费表'!K7+'数据-取费表'!S7)</f>
        <v>5607.7300000000005</v>
      </c>
      <c r="F7" s="2575" t="s">
        <v>2525</v>
      </c>
    </row>
    <row r="8" spans="1:6">
      <c r="A8" s="2573" t="str">
        <f>'数据-取费表'!AN8</f>
        <v>收益法（10年以上）</v>
      </c>
      <c r="B8" s="2572">
        <f ca="1">IF(F8="是",'数据-取费表'!AO8,0)</f>
        <v>27152</v>
      </c>
      <c r="C8" s="2563" t="s">
        <v>2519</v>
      </c>
      <c r="D8" s="2566"/>
      <c r="E8" s="2574">
        <f>IF(OR(A8=0,F8="否"),0,'数据-取费表'!K8+'数据-取费表'!S8)</f>
        <v>14547.060000000001</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2" sqref="D1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3148</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24540</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311</v>
      </c>
      <c r="D5" s="1820" t="s">
        <v>1402</v>
      </c>
      <c r="E5" s="1291"/>
      <c r="F5" s="1292"/>
      <c r="G5" s="1849"/>
      <c r="H5" s="343">
        <v>1</v>
      </c>
      <c r="I5" s="344" t="s">
        <v>1401</v>
      </c>
      <c r="J5" s="1290">
        <f ca="1">J6+J10+J12</f>
        <v>0</v>
      </c>
      <c r="K5" s="1820" t="s">
        <v>1402</v>
      </c>
      <c r="L5" s="1291"/>
      <c r="M5" s="1292"/>
    </row>
    <row r="6" spans="1:37" ht="18" customHeight="1">
      <c r="A6" s="1289" t="s">
        <v>1035</v>
      </c>
      <c r="B6" s="3291" t="s">
        <v>1403</v>
      </c>
      <c r="C6" s="1294">
        <f ca="1">ROUND(F6*F8*F7*(1-F9)/10000,0)</f>
        <v>311</v>
      </c>
      <c r="D6" s="163" t="s">
        <v>3029</v>
      </c>
      <c r="E6" s="346" t="s">
        <v>1405</v>
      </c>
      <c r="F6" s="347">
        <f ca="1">INDIRECT("'数据-取费表'!u"&amp;$G$1)</f>
        <v>5.04</v>
      </c>
      <c r="G6" s="1849"/>
      <c r="H6" s="1289" t="s">
        <v>1035</v>
      </c>
      <c r="I6" s="3291" t="s">
        <v>1403</v>
      </c>
      <c r="J6" s="345">
        <f ca="1">ROUND(M6*M8*M7*(1-M9)/10000,0)</f>
        <v>0</v>
      </c>
      <c r="K6" s="163" t="s">
        <v>3028</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1778.3200000000002</v>
      </c>
      <c r="G7" s="1849"/>
      <c r="H7" s="348"/>
      <c r="I7" s="3292"/>
      <c r="J7" s="350"/>
      <c r="K7" s="351"/>
      <c r="L7" s="346" t="s">
        <v>1406</v>
      </c>
      <c r="M7" s="347">
        <f ca="1">F7</f>
        <v>1778.3200000000002</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0.05</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3038</v>
      </c>
      <c r="E10" s="357" t="s">
        <v>1410</v>
      </c>
      <c r="F10" s="1364" t="s">
        <v>3185</v>
      </c>
      <c r="G10" s="1849"/>
      <c r="H10" s="1289" t="s">
        <v>1039</v>
      </c>
      <c r="I10" s="1821" t="s">
        <v>1409</v>
      </c>
      <c r="J10" s="345">
        <f ca="1">ROUND(IF(M10="押一",J6/12*M11,IF(M10="押二",J6/12*2*M11,IF(M10="押三",J6/12*3*M11,J11*M11))),0)</f>
        <v>0</v>
      </c>
      <c r="K10" s="1822" t="s">
        <v>3037</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573</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462</v>
      </c>
      <c r="D14" s="1798" t="s">
        <v>1418</v>
      </c>
      <c r="E14" s="1792"/>
      <c r="F14" s="363"/>
      <c r="G14" s="1849"/>
      <c r="H14" s="1199" t="s">
        <v>1035</v>
      </c>
      <c r="I14" s="346" t="s">
        <v>1419</v>
      </c>
      <c r="J14" s="24">
        <f ca="1">C29</f>
        <v>716</v>
      </c>
      <c r="K14" s="15"/>
      <c r="L14" s="977"/>
      <c r="M14" s="978"/>
    </row>
    <row r="15" spans="1:37" s="1856" customFormat="1" ht="18" customHeight="1" thickBot="1">
      <c r="A15" s="1199" t="s">
        <v>1036</v>
      </c>
      <c r="B15" s="346" t="s">
        <v>1420</v>
      </c>
      <c r="C15" s="24">
        <f ca="1">ROUND(C14*F15,0)</f>
        <v>14</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17</v>
      </c>
      <c r="K16" s="1335" t="s">
        <v>1425</v>
      </c>
      <c r="L16" s="1336"/>
      <c r="M16" s="1292"/>
    </row>
    <row r="17" spans="1:37" s="1856" customFormat="1" ht="18" customHeight="1">
      <c r="A17" s="1199" t="s">
        <v>1390</v>
      </c>
      <c r="B17" s="346" t="s">
        <v>1426</v>
      </c>
      <c r="C17" s="24">
        <f ca="1">ROUND(F17*(F43+INDIRECT("'数据-取费表'!S"&amp;$G$1))/10000,0)</f>
        <v>36</v>
      </c>
      <c r="D17" s="346" t="s">
        <v>1427</v>
      </c>
      <c r="E17" s="346" t="s">
        <v>1428</v>
      </c>
      <c r="F17" s="26">
        <f>'数据-取费表'!B35</f>
        <v>200</v>
      </c>
      <c r="G17" s="1852"/>
      <c r="H17" s="1199" t="s">
        <v>1035</v>
      </c>
      <c r="I17" s="346" t="s">
        <v>1429</v>
      </c>
      <c r="J17" s="24">
        <f ca="1">ROUND(IF(项目基本情况!B11="自然人",J5*M17,J18+J19+J20),1)</f>
        <v>6.3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7</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519</v>
      </c>
      <c r="D19" s="139" t="s">
        <v>1436</v>
      </c>
      <c r="E19" s="1816"/>
      <c r="F19" s="26"/>
      <c r="G19" s="1849"/>
      <c r="H19" s="1199" t="s">
        <v>1036</v>
      </c>
      <c r="I19" s="346" t="s">
        <v>1437</v>
      </c>
      <c r="J19" s="24">
        <f ca="1">IF(K19="按租金收入计税",ROUND(J5*M19,2),ROUND(C29*M19*0.7,2))</f>
        <v>6.01</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10</v>
      </c>
      <c r="D20" s="368" t="s">
        <v>1440</v>
      </c>
      <c r="E20" s="346" t="s">
        <v>1422</v>
      </c>
      <c r="F20" s="366">
        <f>'数据-取费表'!B37</f>
        <v>0.02</v>
      </c>
      <c r="G20" s="1852"/>
      <c r="H20" s="1199" t="s">
        <v>1389</v>
      </c>
      <c r="I20" s="163" t="s">
        <v>1441</v>
      </c>
      <c r="J20" s="25">
        <f ca="1">ROUND(M20*M21/10000,2)</f>
        <v>0.28000000000000003</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10.7</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-17</v>
      </c>
      <c r="K25" s="1343" t="s">
        <v>1464</v>
      </c>
      <c r="L25" s="1344"/>
      <c r="M25" s="1345"/>
    </row>
    <row r="26" spans="1:37">
      <c r="A26" s="1199" t="s">
        <v>1034</v>
      </c>
      <c r="B26" s="346" t="s">
        <v>1465</v>
      </c>
      <c r="C26" s="24">
        <f ca="1">ROUND((C19+C20)*F26,0)</f>
        <v>106</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716</v>
      </c>
      <c r="D29" s="1340"/>
      <c r="E29" s="1338"/>
      <c r="F29" s="1341"/>
      <c r="G29" s="1852"/>
      <c r="H29" s="379" t="s">
        <v>1033</v>
      </c>
      <c r="I29" s="380" t="s">
        <v>1479</v>
      </c>
      <c r="J29" s="381">
        <f ca="1">ROUND(J26/(1+F40)^F41,0)</f>
        <v>0</v>
      </c>
      <c r="K29" s="382" t="s">
        <v>1480</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72</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ROUND(IF(项目基本情况!B11="自然人",C5*F31,C32+C33+C34),1)</f>
        <v>54.2</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16.59</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37.32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0.28000000000000003</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924.47</v>
      </c>
      <c r="G35" s="1849"/>
      <c r="H35" s="743"/>
      <c r="I35" s="1858"/>
      <c r="J35" s="1859"/>
      <c r="K35" s="1860"/>
      <c r="L35" s="1857"/>
      <c r="M35" s="1857"/>
    </row>
    <row r="36" spans="1:18" ht="18" customHeight="1">
      <c r="A36" s="1350" t="s">
        <v>1039</v>
      </c>
      <c r="B36" s="346" t="s">
        <v>1449</v>
      </c>
      <c r="C36" s="24">
        <f ca="1">ROUND(C29*F36,1)</f>
        <v>10.7</v>
      </c>
      <c r="D36" s="1796"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0.9</v>
      </c>
      <c r="D37" s="1796" t="s">
        <v>1454</v>
      </c>
      <c r="E37" s="346" t="s">
        <v>1455</v>
      </c>
      <c r="F37" s="375">
        <f ca="1">INDIRECT("'数据-取费表'!Al"&amp;$G$1)</f>
        <v>1.5E-3</v>
      </c>
      <c r="G37" s="1849"/>
      <c r="H37" s="1857"/>
      <c r="I37" s="1858"/>
      <c r="J37" s="1859"/>
      <c r="K37" s="749"/>
      <c r="L37" s="1857"/>
      <c r="M37" s="1857"/>
    </row>
    <row r="38" spans="1:18" ht="18" customHeight="1" thickBot="1">
      <c r="A38" s="1337" t="s">
        <v>1393</v>
      </c>
      <c r="B38" s="1338" t="s">
        <v>1439</v>
      </c>
      <c r="C38" s="1339">
        <f ca="1">ROUND(C5*F38,1)</f>
        <v>6.2</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239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4364</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1477</v>
      </c>
      <c r="F42" s="356">
        <f ca="1">INDIRECT("'数据-取费表'!v"&amp;$G$1)</f>
        <v>0.03</v>
      </c>
      <c r="G42" s="1849"/>
      <c r="H42" s="730"/>
      <c r="I42" s="1858"/>
      <c r="J42" s="1859"/>
      <c r="K42" s="749"/>
      <c r="L42" s="730"/>
      <c r="M42" s="730"/>
    </row>
    <row r="43" spans="1:18" ht="18" customHeight="1" thickBot="1">
      <c r="A43" s="379" t="s">
        <v>1033</v>
      </c>
      <c r="B43" s="380" t="s">
        <v>1487</v>
      </c>
      <c r="C43" s="381">
        <f ca="1">ROUND(C40*10000/F43,0)</f>
        <v>24540</v>
      </c>
      <c r="D43" s="382" t="s">
        <v>1488</v>
      </c>
      <c r="E43" s="383" t="s">
        <v>1489</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-5337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4364</v>
      </c>
      <c r="R47" s="1884" t="s">
        <v>1529</v>
      </c>
    </row>
    <row r="48" spans="1:18" s="1840" customFormat="1" ht="28.5" thickBot="1">
      <c r="A48" s="1358" t="s">
        <v>1135</v>
      </c>
      <c r="B48" s="344" t="s">
        <v>1401</v>
      </c>
      <c r="C48" s="1815">
        <f ca="1">C49+C53+C55</f>
        <v>0</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3030</v>
      </c>
      <c r="E49" s="1828" t="s">
        <v>1491</v>
      </c>
      <c r="F49" s="1279"/>
      <c r="G49" s="1889"/>
      <c r="H49" s="791"/>
      <c r="I49" s="1885" t="s">
        <v>1534</v>
      </c>
      <c r="J49" s="1890">
        <v>2008</v>
      </c>
      <c r="K49" s="1887" t="s">
        <v>1535</v>
      </c>
      <c r="L49" s="1891"/>
      <c r="O49" s="1892" t="s">
        <v>1042</v>
      </c>
      <c r="P49" s="1883" t="s">
        <v>1536</v>
      </c>
      <c r="Q49" s="1884">
        <f ca="1">C29</f>
        <v>716</v>
      </c>
      <c r="R49" s="1884" t="s">
        <v>1529</v>
      </c>
    </row>
    <row r="50" spans="1:18" s="1840" customFormat="1" ht="13.5" thickBot="1">
      <c r="A50" s="1193"/>
      <c r="B50" s="1196"/>
      <c r="C50" s="1366"/>
      <c r="D50" s="1170"/>
      <c r="E50" s="1275" t="s">
        <v>1406</v>
      </c>
      <c r="F50" s="1276">
        <f ca="1">F7</f>
        <v>1778.3200000000002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2705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3037</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4364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573</v>
      </c>
      <c r="D56" s="1912"/>
      <c r="E56" s="1913"/>
      <c r="F56" s="1905"/>
      <c r="I56" s="1914" t="s">
        <v>1554</v>
      </c>
      <c r="J56" s="1915" t="s">
        <v>3162</v>
      </c>
      <c r="K56" s="1885" t="s">
        <v>1555</v>
      </c>
      <c r="L56" s="1888" t="str">
        <f ca="1">IF(L48&lt;J51,"——",L48-J53)</f>
        <v>——</v>
      </c>
      <c r="O56" s="1882" t="s">
        <v>1040</v>
      </c>
      <c r="P56" s="1883" t="s">
        <v>1528</v>
      </c>
      <c r="Q56" s="1884">
        <f ca="1">C40+J29</f>
        <v>4364</v>
      </c>
      <c r="R56" s="1884" t="s">
        <v>1529</v>
      </c>
    </row>
    <row r="57" spans="1:18" s="1840" customFormat="1" ht="24.75" thickBot="1">
      <c r="A57" s="1916"/>
      <c r="B57" s="1167" t="s">
        <v>1478</v>
      </c>
      <c r="C57" s="281">
        <f ca="1">C29</f>
        <v>716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60.4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60.14</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0.28000000000000003</v>
      </c>
      <c r="D62" s="1182" t="s">
        <v>1497</v>
      </c>
      <c r="E62" s="1167" t="s">
        <v>1498</v>
      </c>
      <c r="F62" s="370">
        <f t="shared" si="0"/>
        <v>3</v>
      </c>
      <c r="I62" s="1927" t="s">
        <v>1570</v>
      </c>
      <c r="J62" s="1928" t="s">
        <v>1571</v>
      </c>
      <c r="K62" s="1928" t="s">
        <v>1572</v>
      </c>
      <c r="L62" s="1928" t="s">
        <v>1573</v>
      </c>
      <c r="M62" s="1929" t="s">
        <v>1574</v>
      </c>
      <c r="O62" s="1882" t="s">
        <v>1046</v>
      </c>
      <c r="P62" s="1883" t="s">
        <v>1575</v>
      </c>
      <c r="Q62" s="1884">
        <f ca="1">Q56+Q57</f>
        <v>4364</v>
      </c>
      <c r="R62" s="1884" t="s">
        <v>1047</v>
      </c>
    </row>
    <row r="63" spans="1:18" s="1840" customFormat="1" ht="13.5" thickBot="1">
      <c r="A63" s="371"/>
      <c r="B63" s="1173"/>
      <c r="C63" s="29"/>
      <c r="D63" s="1183"/>
      <c r="E63" s="1167" t="s">
        <v>1499</v>
      </c>
      <c r="F63" s="347">
        <f t="shared" ca="1" si="0"/>
        <v>924.47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10.7</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5">
        <f t="shared" ca="1" si="0"/>
        <v>1.5E-3</v>
      </c>
      <c r="I65" s="1927" t="s">
        <v>1579</v>
      </c>
      <c r="J65" s="1928">
        <v>40</v>
      </c>
      <c r="K65" s="1928">
        <v>30</v>
      </c>
      <c r="L65" s="1928">
        <v>50</v>
      </c>
      <c r="M65" s="1930">
        <v>0.02</v>
      </c>
      <c r="O65" s="1882" t="s">
        <v>1040</v>
      </c>
      <c r="P65" s="1883" t="s">
        <v>1580</v>
      </c>
      <c r="Q65" s="1884">
        <f ca="1">C40+J29</f>
        <v>4364</v>
      </c>
      <c r="R65" s="1884" t="s">
        <v>1529</v>
      </c>
    </row>
    <row r="66" spans="1:18" s="1840" customFormat="1" ht="16.5" thickBot="1">
      <c r="A66" s="1199" t="s">
        <v>1504</v>
      </c>
      <c r="B66" s="1167" t="s">
        <v>1439</v>
      </c>
      <c r="C66" s="24">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-72</v>
      </c>
      <c r="D67" s="1180" t="s">
        <v>1464</v>
      </c>
      <c r="E67" s="1185"/>
      <c r="F67" s="1186"/>
      <c r="O67" s="1892" t="s">
        <v>1042</v>
      </c>
      <c r="P67" s="1883" t="s">
        <v>1562</v>
      </c>
      <c r="Q67" s="1931">
        <f ca="1">L51</f>
        <v>2705</v>
      </c>
      <c r="R67" s="1884" t="s">
        <v>1582</v>
      </c>
    </row>
    <row r="68" spans="1:18" s="1840" customFormat="1" ht="16.5" thickBot="1">
      <c r="A68" s="1164" t="s">
        <v>1032</v>
      </c>
      <c r="B68" s="1165" t="s">
        <v>1485</v>
      </c>
      <c r="C68" s="345">
        <f ca="1">ROUND(C67*(1-((1+F70)/(1+F68))^F69)/(F68-F70),0)</f>
        <v>-973</v>
      </c>
      <c r="D68" s="1182" t="s">
        <v>1469</v>
      </c>
      <c r="E68" s="1167" t="s">
        <v>1470</v>
      </c>
      <c r="F68" s="356">
        <f ca="1">F40</f>
        <v>5.5E-2</v>
      </c>
      <c r="O68" s="1892" t="s">
        <v>1043</v>
      </c>
      <c r="P68" s="1932" t="s">
        <v>1583</v>
      </c>
      <c r="Q68" s="1884">
        <f ca="1">ROUND(Q69-Q70*Q71,0)</f>
        <v>190</v>
      </c>
      <c r="R68" s="1884" t="s">
        <v>1051</v>
      </c>
    </row>
    <row r="69" spans="1:18" s="1840" customFormat="1" ht="13.5" thickBot="1">
      <c r="A69" s="1168"/>
      <c r="B69" s="1169"/>
      <c r="C69" s="350"/>
      <c r="D69" s="1187" t="s">
        <v>1473</v>
      </c>
      <c r="E69" s="1167" t="s">
        <v>1474</v>
      </c>
      <c r="F69" s="378">
        <f ca="1">F41</f>
        <v>25.42</v>
      </c>
      <c r="O69" s="1892" t="s">
        <v>1048</v>
      </c>
      <c r="P69" s="1932" t="s">
        <v>1584</v>
      </c>
      <c r="Q69" s="1884">
        <f ca="1">C39</f>
        <v>239</v>
      </c>
      <c r="R69" s="1884" t="s">
        <v>1529</v>
      </c>
    </row>
    <row r="70" spans="1:18" s="1840" customFormat="1" ht="13.5" thickBot="1">
      <c r="A70" s="1171"/>
      <c r="B70" s="1172"/>
      <c r="C70" s="354"/>
      <c r="D70" s="1183"/>
      <c r="E70" s="1167" t="s">
        <v>1477</v>
      </c>
      <c r="F70" s="1273"/>
      <c r="O70" s="1892" t="s">
        <v>1049</v>
      </c>
      <c r="P70" s="1932" t="s">
        <v>1585</v>
      </c>
      <c r="Q70" s="1884">
        <f ca="1">C13</f>
        <v>573</v>
      </c>
      <c r="R70" s="1884" t="s">
        <v>1529</v>
      </c>
    </row>
    <row r="71" spans="1:18" s="1840" customFormat="1" ht="13.5" thickBot="1">
      <c r="A71" s="1188" t="s">
        <v>1033</v>
      </c>
      <c r="B71" s="1189" t="s">
        <v>1487</v>
      </c>
      <c r="C71" s="381">
        <f ca="1">ROUND(C68*10000/F71,0)</f>
        <v>-5471</v>
      </c>
      <c r="D71" s="1190" t="s">
        <v>1488</v>
      </c>
      <c r="E71" s="1191" t="s">
        <v>1489</v>
      </c>
      <c r="F71" s="384">
        <f ca="1">F43</f>
        <v>1778.3200000000002</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49</v>
      </c>
      <c r="D75" s="1840"/>
      <c r="E75" s="1840"/>
      <c r="F75" s="1840"/>
      <c r="K75" s="1866"/>
      <c r="L75" s="1840"/>
      <c r="O75" s="1882" t="s">
        <v>1046</v>
      </c>
      <c r="P75" s="1883" t="s">
        <v>1549</v>
      </c>
      <c r="Q75" s="1884">
        <f ca="1">Q65+Q66</f>
        <v>4364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0.79500000000000004</v>
      </c>
    </row>
    <row r="80" spans="1:18">
      <c r="B80" s="385" t="s">
        <v>1511</v>
      </c>
      <c r="C80" s="317">
        <f ca="1">ROUND(C75/C39,3)</f>
        <v>0.20499999999999999</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91" t="s">
        <v>1403</v>
      </c>
      <c r="C6" s="1294">
        <f ca="1">ROUND(F6*F8*F7*(1-F9),0)</f>
        <v>0</v>
      </c>
      <c r="D6" s="163" t="s">
        <v>3026</v>
      </c>
      <c r="E6" s="346" t="s">
        <v>1405</v>
      </c>
      <c r="F6" s="347">
        <f ca="1">INDIRECT("'数据-取费表'!u"&amp;$G$1)</f>
        <v>0</v>
      </c>
      <c r="G6" s="1849"/>
      <c r="H6" s="1289" t="s">
        <v>1035</v>
      </c>
      <c r="I6" s="3291" t="s">
        <v>1403</v>
      </c>
      <c r="J6" s="345">
        <f ca="1">ROUND(M6*M8*M7*(1-M9),0)</f>
        <v>0</v>
      </c>
      <c r="K6" s="1832" t="s">
        <v>3027</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0</v>
      </c>
      <c r="G7" s="1849"/>
      <c r="H7" s="348"/>
      <c r="I7" s="3292"/>
      <c r="J7" s="350"/>
      <c r="K7" s="351"/>
      <c r="L7" s="346" t="s">
        <v>1406</v>
      </c>
      <c r="M7" s="347">
        <f ca="1">F7</f>
        <v>0</v>
      </c>
    </row>
    <row r="8" spans="1:37" ht="18" customHeight="1">
      <c r="A8" s="348"/>
      <c r="B8" s="3292"/>
      <c r="C8" s="350"/>
      <c r="D8" s="351"/>
      <c r="E8" s="346" t="s">
        <v>1407</v>
      </c>
      <c r="F8" s="347">
        <f ca="1">INDIRECT("'数据-取费表'!ai"&amp;$G$1)</f>
        <v>0</v>
      </c>
      <c r="G8" s="1849"/>
      <c r="H8" s="348"/>
      <c r="I8" s="3292"/>
      <c r="J8" s="350"/>
      <c r="K8" s="351"/>
      <c r="L8" s="346" t="s">
        <v>1407</v>
      </c>
      <c r="M8" s="347">
        <f ca="1">INDIRECT("'数据-取费表'!ai"&amp;$G$1)</f>
        <v>0</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3037</v>
      </c>
      <c r="E10" s="357" t="s">
        <v>1410</v>
      </c>
      <c r="F10" s="1364"/>
      <c r="G10" s="1849"/>
      <c r="H10" s="1289" t="s">
        <v>1039</v>
      </c>
      <c r="I10" s="1821" t="s">
        <v>1409</v>
      </c>
      <c r="J10" s="345">
        <f ca="1">ROUND(IF(M10="押一",J6/12*M11,IF(M10="押二",J6/12*2*M11,IF(M10="押三",J6/12*3*M11,J11*M11))),0)</f>
        <v>0</v>
      </c>
      <c r="K10" s="1833" t="s">
        <v>3039</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200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0</v>
      </c>
      <c r="G35" s="1849"/>
      <c r="H35" s="743"/>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49"/>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3040</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89" t="s">
        <v>1548</v>
      </c>
      <c r="L53" s="3290"/>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3</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99" t="s">
        <v>1077</v>
      </c>
      <c r="B2" s="3300" t="s">
        <v>1078</v>
      </c>
      <c r="C2" s="3300"/>
      <c r="D2" s="1299" t="s">
        <v>1079</v>
      </c>
      <c r="E2" s="1299" t="s">
        <v>1080</v>
      </c>
      <c r="F2" s="1299" t="s">
        <v>1081</v>
      </c>
      <c r="G2" s="1299" t="s">
        <v>1082</v>
      </c>
      <c r="H2" s="1299" t="s">
        <v>1083</v>
      </c>
      <c r="I2" s="1300" t="s">
        <v>1084</v>
      </c>
    </row>
    <row r="3" spans="1:9">
      <c r="A3" s="3299"/>
      <c r="B3" s="3300" t="s">
        <v>1085</v>
      </c>
      <c r="C3" s="3300"/>
      <c r="D3" s="1301"/>
      <c r="E3" s="1299"/>
      <c r="F3" s="1302"/>
      <c r="G3" s="1302"/>
      <c r="H3" s="1303"/>
      <c r="I3" s="1304">
        <f>ROUND(D3*E3*F3*G3*H3/10000,0)</f>
        <v>0</v>
      </c>
    </row>
    <row r="4" spans="1:9">
      <c r="A4" s="3299"/>
      <c r="B4" s="3300" t="s">
        <v>1086</v>
      </c>
      <c r="C4" s="3300"/>
      <c r="D4" s="1301"/>
      <c r="E4" s="1299"/>
      <c r="F4" s="1302"/>
      <c r="G4" s="1302"/>
      <c r="H4" s="1303"/>
      <c r="I4" s="1304">
        <f t="shared" ref="I4:I9" si="0">ROUND(D4*E4*F4*G4*H4/10000,0)</f>
        <v>0</v>
      </c>
    </row>
    <row r="5" spans="1:9">
      <c r="A5" s="3299"/>
      <c r="B5" s="3300" t="s">
        <v>1087</v>
      </c>
      <c r="C5" s="3300"/>
      <c r="D5" s="1301"/>
      <c r="E5" s="1299"/>
      <c r="F5" s="1302"/>
      <c r="G5" s="1302"/>
      <c r="H5" s="1303"/>
      <c r="I5" s="1304">
        <f t="shared" si="0"/>
        <v>0</v>
      </c>
    </row>
    <row r="6" spans="1:9">
      <c r="A6" s="3299"/>
      <c r="B6" s="3300" t="s">
        <v>1088</v>
      </c>
      <c r="C6" s="3300"/>
      <c r="D6" s="1301"/>
      <c r="E6" s="1299"/>
      <c r="F6" s="1302"/>
      <c r="G6" s="1302"/>
      <c r="H6" s="1303"/>
      <c r="I6" s="1304">
        <f t="shared" si="0"/>
        <v>0</v>
      </c>
    </row>
    <row r="7" spans="1:9">
      <c r="A7" s="3299"/>
      <c r="B7" s="3300" t="s">
        <v>1089</v>
      </c>
      <c r="C7" s="3300"/>
      <c r="D7" s="1301"/>
      <c r="E7" s="1299"/>
      <c r="F7" s="1302"/>
      <c r="G7" s="1302"/>
      <c r="H7" s="1303"/>
      <c r="I7" s="1304">
        <f t="shared" si="0"/>
        <v>0</v>
      </c>
    </row>
    <row r="8" spans="1:9">
      <c r="A8" s="3299"/>
      <c r="B8" s="3300" t="s">
        <v>1090</v>
      </c>
      <c r="C8" s="3300"/>
      <c r="D8" s="1301"/>
      <c r="E8" s="1299"/>
      <c r="F8" s="1302"/>
      <c r="G8" s="1302"/>
      <c r="H8" s="1303"/>
      <c r="I8" s="1304">
        <f t="shared" si="0"/>
        <v>0</v>
      </c>
    </row>
    <row r="9" spans="1:9">
      <c r="A9" s="3299"/>
      <c r="B9" s="3300" t="s">
        <v>1091</v>
      </c>
      <c r="C9" s="3300"/>
      <c r="D9" s="1301"/>
      <c r="E9" s="1299"/>
      <c r="F9" s="1302"/>
      <c r="G9" s="1302"/>
      <c r="H9" s="1303"/>
      <c r="I9" s="1304">
        <f t="shared" si="0"/>
        <v>0</v>
      </c>
    </row>
    <row r="10" spans="1:9">
      <c r="A10" s="3299"/>
      <c r="B10" s="3301" t="s">
        <v>1092</v>
      </c>
      <c r="C10" s="3301"/>
      <c r="D10" s="1305"/>
      <c r="E10" s="1305" t="e">
        <f>ROUND(D1*10000/D10/H9,0)</f>
        <v>#DIV/0!</v>
      </c>
      <c r="F10" s="1306"/>
      <c r="G10" s="1306"/>
      <c r="H10" s="1307"/>
      <c r="I10" s="1308">
        <f>SUM(I3:I9)</f>
        <v>0</v>
      </c>
    </row>
    <row r="11" spans="1:9" ht="14.25">
      <c r="A11" s="3299" t="s">
        <v>1093</v>
      </c>
      <c r="B11" s="3300" t="s">
        <v>1094</v>
      </c>
      <c r="C11" s="3300"/>
      <c r="D11" s="1301" t="s">
        <v>1095</v>
      </c>
      <c r="E11" s="1301" t="s">
        <v>1096</v>
      </c>
      <c r="F11" s="1302" t="s">
        <v>1097</v>
      </c>
      <c r="G11" s="1302" t="s">
        <v>1083</v>
      </c>
      <c r="H11" s="1309" t="s">
        <v>1098</v>
      </c>
      <c r="I11" s="1300" t="s">
        <v>1084</v>
      </c>
    </row>
    <row r="12" spans="1:9">
      <c r="A12" s="3299"/>
      <c r="B12" s="3300" t="s">
        <v>1099</v>
      </c>
      <c r="C12" s="3300"/>
      <c r="D12" s="1301"/>
      <c r="E12" s="1301"/>
      <c r="F12" s="1302"/>
      <c r="G12" s="1303"/>
      <c r="H12" s="1310"/>
      <c r="I12" s="1300">
        <f>ROUND(D12*E12*F12*G12/10000,0)</f>
        <v>0</v>
      </c>
    </row>
    <row r="13" spans="1:9">
      <c r="A13" s="3299"/>
      <c r="B13" s="3300" t="s">
        <v>1100</v>
      </c>
      <c r="C13" s="3300"/>
      <c r="D13" s="1301"/>
      <c r="E13" s="1301"/>
      <c r="F13" s="1302"/>
      <c r="G13" s="1303"/>
      <c r="H13" s="1310"/>
      <c r="I13" s="1300">
        <f>ROUND(D13*E13*F13*G13/10000,0)</f>
        <v>0</v>
      </c>
    </row>
    <row r="14" spans="1:9">
      <c r="A14" s="3299"/>
      <c r="B14" s="3300" t="s">
        <v>1101</v>
      </c>
      <c r="C14" s="3300"/>
      <c r="D14" s="1301"/>
      <c r="E14" s="1301"/>
      <c r="F14" s="1302"/>
      <c r="G14" s="1303"/>
      <c r="H14" s="1310"/>
      <c r="I14" s="1300">
        <f>ROUND(D14*E14*F14*G14/10000,0)</f>
        <v>0</v>
      </c>
    </row>
    <row r="15" spans="1:9">
      <c r="A15" s="3299"/>
      <c r="B15" s="3301" t="s">
        <v>1092</v>
      </c>
      <c r="C15" s="3301"/>
      <c r="D15" s="1305"/>
      <c r="E15" s="1305">
        <f>SUM(E12:E14)</f>
        <v>0</v>
      </c>
      <c r="F15" s="1306"/>
      <c r="G15" s="1303"/>
      <c r="H15" s="1310"/>
      <c r="I15" s="1311">
        <f>SUM(I12:I14)</f>
        <v>0</v>
      </c>
    </row>
    <row r="16" spans="1:9" ht="24">
      <c r="A16" s="3299" t="s">
        <v>1102</v>
      </c>
      <c r="B16" s="3300" t="s">
        <v>1103</v>
      </c>
      <c r="C16" s="3300"/>
      <c r="D16" s="1301" t="s">
        <v>1079</v>
      </c>
      <c r="E16" s="1312" t="s">
        <v>1104</v>
      </c>
      <c r="F16" s="1302" t="s">
        <v>1105</v>
      </c>
      <c r="G16" s="1303" t="s">
        <v>1083</v>
      </c>
      <c r="H16" s="1309" t="s">
        <v>1098</v>
      </c>
      <c r="I16" s="1300" t="s">
        <v>1084</v>
      </c>
    </row>
    <row r="17" spans="1:9" ht="14.25">
      <c r="A17" s="3299"/>
      <c r="B17" s="3300" t="s">
        <v>1106</v>
      </c>
      <c r="C17" s="3300"/>
      <c r="D17" s="1301"/>
      <c r="E17" s="1301"/>
      <c r="F17" s="1302"/>
      <c r="G17" s="1303"/>
      <c r="H17" s="1313"/>
      <c r="I17" s="1314">
        <f>ROUND(D17*E17*F17*G17/10000,0)</f>
        <v>0</v>
      </c>
    </row>
    <row r="18" spans="1:9" ht="14.25">
      <c r="A18" s="3299"/>
      <c r="B18" s="3300" t="s">
        <v>1107</v>
      </c>
      <c r="C18" s="3300"/>
      <c r="D18" s="1301"/>
      <c r="E18" s="1301"/>
      <c r="F18" s="1302"/>
      <c r="G18" s="1303"/>
      <c r="H18" s="1313"/>
      <c r="I18" s="1314">
        <f>ROUND(D18*E18*F18*G18/10000,0)</f>
        <v>0</v>
      </c>
    </row>
    <row r="19" spans="1:9" ht="14.25">
      <c r="A19" s="3299"/>
      <c r="B19" s="3300" t="s">
        <v>1108</v>
      </c>
      <c r="C19" s="3300"/>
      <c r="D19" s="1301"/>
      <c r="E19" s="1301"/>
      <c r="F19" s="1302"/>
      <c r="G19" s="1303"/>
      <c r="H19" s="1313"/>
      <c r="I19" s="1314">
        <f>ROUND(D19*E19*F19*G19/10000,0)</f>
        <v>0</v>
      </c>
    </row>
    <row r="20" spans="1:9">
      <c r="A20" s="3299"/>
      <c r="B20" s="3301" t="s">
        <v>1092</v>
      </c>
      <c r="C20" s="3301"/>
      <c r="D20" s="1305">
        <f>SUM(D17:D19)</f>
        <v>0</v>
      </c>
      <c r="E20" s="1305"/>
      <c r="F20" s="1306"/>
      <c r="G20" s="1303"/>
      <c r="H20" s="1310"/>
      <c r="I20" s="1311">
        <f>SUM(I17:I19)</f>
        <v>0</v>
      </c>
    </row>
    <row r="21" spans="1:9">
      <c r="A21" s="3299" t="s">
        <v>1109</v>
      </c>
      <c r="B21" s="3303"/>
      <c r="C21" s="3303"/>
      <c r="D21" s="3303"/>
      <c r="E21" s="3303"/>
      <c r="F21" s="3303"/>
      <c r="G21" s="3303"/>
      <c r="H21" s="1763">
        <v>0.1</v>
      </c>
      <c r="I21" s="1308">
        <f>ROUND(I10*H21,0)</f>
        <v>0</v>
      </c>
    </row>
    <row r="22" spans="1:9" ht="14.25">
      <c r="A22" s="3304" t="s">
        <v>1110</v>
      </c>
      <c r="B22" s="3305"/>
      <c r="C22" s="3306"/>
      <c r="D22" s="1315" t="s">
        <v>1111</v>
      </c>
      <c r="E22" s="1315" t="s">
        <v>1112</v>
      </c>
      <c r="F22" s="1316" t="s">
        <v>1113</v>
      </c>
      <c r="G22" s="1316" t="s">
        <v>1114</v>
      </c>
      <c r="H22" s="1309" t="s">
        <v>1115</v>
      </c>
      <c r="I22" s="1300" t="s">
        <v>1116</v>
      </c>
    </row>
    <row r="23" spans="1:9" ht="14.25" thickBot="1">
      <c r="A23" s="3307"/>
      <c r="B23" s="3308"/>
      <c r="C23" s="3309"/>
      <c r="D23" s="1317"/>
      <c r="E23" s="1317"/>
      <c r="F23" s="1317"/>
      <c r="G23" s="1318"/>
      <c r="H23" s="1319"/>
      <c r="I23" s="1320">
        <f>ROUND(E23*D23*F23*(1-G23)/10000,0)</f>
        <v>0</v>
      </c>
    </row>
    <row r="26" spans="1:9">
      <c r="A26" s="1321" t="s">
        <v>1117</v>
      </c>
      <c r="B26" s="1321"/>
      <c r="C26" s="1321"/>
      <c r="D26" s="1321"/>
      <c r="E26" s="3310">
        <f>C27-C30-C31-C32</f>
        <v>0</v>
      </c>
      <c r="F26" s="3310"/>
      <c r="G26" s="3310"/>
      <c r="H26" s="1735" t="s">
        <v>1340</v>
      </c>
    </row>
    <row r="27" spans="1:9">
      <c r="A27" s="1322">
        <v>1</v>
      </c>
      <c r="B27" s="1323" t="s">
        <v>1118</v>
      </c>
      <c r="C27" s="1323">
        <f>C28+C29</f>
        <v>0</v>
      </c>
      <c r="D27" s="1323"/>
      <c r="E27" s="3311"/>
      <c r="F27" s="3311"/>
      <c r="G27" s="3311"/>
    </row>
    <row r="28" spans="1:9">
      <c r="A28" s="1324" t="s">
        <v>1119</v>
      </c>
      <c r="B28" s="1323" t="s">
        <v>1120</v>
      </c>
      <c r="C28" s="1323"/>
      <c r="D28" s="1323"/>
      <c r="E28" s="3311"/>
      <c r="F28" s="3311"/>
      <c r="G28" s="331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02"/>
      <c r="F32" s="3302"/>
      <c r="G32" s="3302"/>
    </row>
    <row r="33" spans="1:7" hidden="1">
      <c r="A33" s="3312" t="s">
        <v>1129</v>
      </c>
      <c r="B33" s="3313"/>
      <c r="C33" s="3313"/>
      <c r="D33" s="3314"/>
      <c r="E33" s="3310"/>
      <c r="F33" s="3310"/>
      <c r="G33" s="3310"/>
    </row>
    <row r="34" spans="1:7" hidden="1">
      <c r="A34" s="1326">
        <v>1</v>
      </c>
      <c r="B34" s="1323" t="s">
        <v>1130</v>
      </c>
      <c r="C34" s="1323"/>
      <c r="D34" s="1323"/>
      <c r="E34" s="3311"/>
      <c r="F34" s="3311"/>
      <c r="G34" s="3311"/>
    </row>
    <row r="35" spans="1:7" hidden="1">
      <c r="A35" s="1326">
        <v>2</v>
      </c>
      <c r="B35" s="1323" t="s">
        <v>1131</v>
      </c>
      <c r="C35" s="1323"/>
      <c r="D35" s="1323"/>
      <c r="E35" s="3311"/>
      <c r="F35" s="3311"/>
      <c r="G35" s="3311"/>
    </row>
    <row r="36" spans="1:7" hidden="1">
      <c r="A36" s="1326">
        <v>3</v>
      </c>
      <c r="B36" s="1323" t="s">
        <v>1132</v>
      </c>
      <c r="C36" s="1323"/>
      <c r="D36" s="1323"/>
      <c r="E36" s="3311"/>
      <c r="F36" s="3311"/>
      <c r="G36" s="3311"/>
    </row>
    <row r="37" spans="1:7" hidden="1">
      <c r="A37" s="1326">
        <v>4</v>
      </c>
      <c r="B37" s="1323" t="s">
        <v>1133</v>
      </c>
      <c r="C37" s="1323"/>
      <c r="D37" s="1323"/>
      <c r="E37" s="3311"/>
      <c r="F37" s="3311"/>
      <c r="G37" s="3311"/>
    </row>
    <row r="38" spans="1:7" hidden="1">
      <c r="A38" s="3312" t="s">
        <v>1134</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3"/>
      <c r="D2" s="1363"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2644</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325" t="s">
        <v>2651</v>
      </c>
      <c r="Q4" s="3326"/>
      <c r="R4" s="3316" t="s">
        <v>2647</v>
      </c>
      <c r="S4" s="3317"/>
      <c r="T4" s="3316" t="s">
        <v>2648</v>
      </c>
      <c r="U4" s="3317"/>
      <c r="V4" s="3329" t="s">
        <v>2649</v>
      </c>
      <c r="W4" s="3329"/>
      <c r="X4" s="2666"/>
      <c r="Y4" s="3316" t="s">
        <v>2651</v>
      </c>
      <c r="Z4" s="3317"/>
      <c r="AA4" s="3315" t="s">
        <v>2647</v>
      </c>
      <c r="AB4" s="3315" t="s">
        <v>2648</v>
      </c>
      <c r="AC4" s="3322" t="s">
        <v>2649</v>
      </c>
    </row>
    <row r="5" spans="1:29" ht="15">
      <c r="A5" s="403"/>
      <c r="B5" s="404"/>
      <c r="C5" s="3319" t="s">
        <v>2542</v>
      </c>
      <c r="D5" s="3230"/>
      <c r="E5" s="3318" t="s">
        <v>2543</v>
      </c>
      <c r="F5" s="3228"/>
      <c r="G5" s="3319" t="s">
        <v>2544</v>
      </c>
      <c r="H5" s="3230"/>
      <c r="I5" s="3319" t="s">
        <v>2545</v>
      </c>
      <c r="J5" s="3230"/>
      <c r="K5" s="609"/>
      <c r="L5" s="1128"/>
      <c r="M5" s="1129"/>
      <c r="N5" s="1129"/>
      <c r="O5" s="1129"/>
      <c r="P5" s="3327"/>
      <c r="Q5" s="3243"/>
      <c r="R5" s="3225"/>
      <c r="S5" s="3226"/>
      <c r="T5" s="3225"/>
      <c r="U5" s="3226"/>
      <c r="V5" s="3248"/>
      <c r="W5" s="3248"/>
      <c r="X5" s="1811"/>
      <c r="Y5" s="3225"/>
      <c r="Z5" s="3226"/>
      <c r="AA5" s="3219"/>
      <c r="AB5" s="3219"/>
      <c r="AC5" s="3323"/>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328"/>
      <c r="Q6" s="3245"/>
      <c r="R6" s="3225"/>
      <c r="S6" s="3226"/>
      <c r="T6" s="3246"/>
      <c r="U6" s="3247"/>
      <c r="V6" s="3248"/>
      <c r="W6" s="3248"/>
      <c r="X6" s="1811"/>
      <c r="Y6" s="3246"/>
      <c r="Z6" s="3247"/>
      <c r="AA6" s="3220"/>
      <c r="AB6" s="3220"/>
      <c r="AC6" s="3324"/>
    </row>
    <row r="7" spans="1:29" s="116" customFormat="1" ht="15.75" thickBot="1">
      <c r="A7" s="407" t="s">
        <v>2548</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30"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30" t="s">
        <v>2552</v>
      </c>
      <c r="Q8" s="3222"/>
      <c r="R8" s="768" t="s">
        <v>17</v>
      </c>
      <c r="S8" s="769">
        <f t="shared" si="0"/>
        <v>0</v>
      </c>
      <c r="T8" s="768" t="s">
        <v>17</v>
      </c>
      <c r="U8" s="769">
        <f t="shared" si="1"/>
        <v>0</v>
      </c>
      <c r="V8" s="768" t="s">
        <v>17</v>
      </c>
      <c r="W8" s="769">
        <f t="shared" si="2"/>
        <v>0</v>
      </c>
      <c r="X8" s="770"/>
      <c r="Y8" s="3221" t="s">
        <v>2552</v>
      </c>
      <c r="Z8" s="3222"/>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2667">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2667">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5"/>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2667">
        <f t="shared" si="5"/>
        <v>1</v>
      </c>
    </row>
    <row r="15" spans="1:29" ht="15">
      <c r="A15" s="439" t="s">
        <v>2559</v>
      </c>
      <c r="B15" s="628" t="s">
        <v>2687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2" t="s">
        <v>2560</v>
      </c>
      <c r="Q15" s="1808" t="str">
        <f t="shared" si="6"/>
        <v>办公集聚程度</v>
      </c>
      <c r="R15" s="772" t="s">
        <v>17</v>
      </c>
      <c r="S15" s="773">
        <f t="shared" si="0"/>
        <v>100</v>
      </c>
      <c r="T15" s="772" t="s">
        <v>17</v>
      </c>
      <c r="U15" s="773">
        <f t="shared" si="1"/>
        <v>100</v>
      </c>
      <c r="V15" s="772" t="s">
        <v>17</v>
      </c>
      <c r="W15" s="773">
        <f t="shared" si="2"/>
        <v>100</v>
      </c>
      <c r="X15" s="1811"/>
      <c r="Y15" s="3255" t="s">
        <v>2560</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63"/>
      <c r="Q16" s="1808"/>
      <c r="R16" s="772"/>
      <c r="S16" s="773"/>
      <c r="T16" s="772"/>
      <c r="U16" s="773"/>
      <c r="V16" s="772"/>
      <c r="W16" s="773"/>
      <c r="X16" s="1811"/>
      <c r="Y16" s="3256"/>
      <c r="Z16" s="1812"/>
      <c r="AA16" s="1809">
        <v>1</v>
      </c>
      <c r="AB16" s="1809">
        <v>1</v>
      </c>
      <c r="AC16" s="2670">
        <v>1</v>
      </c>
    </row>
    <row r="17" spans="1:29" ht="114">
      <c r="A17" s="427"/>
      <c r="B17" s="630" t="s">
        <v>2097</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63"/>
      <c r="Q18" s="1808"/>
      <c r="R18" s="772"/>
      <c r="S18" s="773"/>
      <c r="T18" s="772"/>
      <c r="U18" s="773"/>
      <c r="V18" s="772"/>
      <c r="W18" s="773"/>
      <c r="X18" s="1811"/>
      <c r="Y18" s="3256"/>
      <c r="Z18" s="1812"/>
      <c r="AA18" s="1809">
        <v>1</v>
      </c>
      <c r="AB18" s="1809">
        <v>1</v>
      </c>
      <c r="AC18" s="2670">
        <v>1</v>
      </c>
    </row>
    <row r="19" spans="1:29" ht="213.75">
      <c r="A19" s="427"/>
      <c r="B19" s="630" t="s">
        <v>2688</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63"/>
      <c r="Q20" s="1808"/>
      <c r="R20" s="772"/>
      <c r="S20" s="773"/>
      <c r="T20" s="772"/>
      <c r="U20" s="773"/>
      <c r="V20" s="772"/>
      <c r="W20" s="773"/>
      <c r="X20" s="1811"/>
      <c r="Y20" s="3256"/>
      <c r="Z20" s="1812"/>
      <c r="AA20" s="1809">
        <v>1</v>
      </c>
      <c r="AB20" s="1809">
        <v>1</v>
      </c>
      <c r="AC20" s="2670">
        <v>1</v>
      </c>
    </row>
    <row r="21" spans="1:29" ht="42.75">
      <c r="A21" s="427"/>
      <c r="B21" s="632" t="s">
        <v>2689</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63"/>
      <c r="Q22" s="1808"/>
      <c r="R22" s="772"/>
      <c r="S22" s="773"/>
      <c r="T22" s="772"/>
      <c r="U22" s="773"/>
      <c r="V22" s="772"/>
      <c r="W22" s="773"/>
      <c r="X22" s="1811"/>
      <c r="Y22" s="3256"/>
      <c r="Z22" s="1812"/>
      <c r="AA22" s="1809">
        <v>1</v>
      </c>
      <c r="AB22" s="1809">
        <v>1</v>
      </c>
      <c r="AC22" s="2670">
        <v>1</v>
      </c>
    </row>
    <row r="23" spans="1:29" ht="85.5">
      <c r="A23" s="427"/>
      <c r="B23" s="630" t="s">
        <v>2690</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3"/>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63"/>
      <c r="Q24" s="1808"/>
      <c r="R24" s="772"/>
      <c r="S24" s="773"/>
      <c r="T24" s="772"/>
      <c r="U24" s="773"/>
      <c r="V24" s="772"/>
      <c r="W24" s="773"/>
      <c r="X24" s="1811"/>
      <c r="Y24" s="3256"/>
      <c r="Z24" s="1812"/>
      <c r="AA24" s="1809">
        <v>1</v>
      </c>
      <c r="AB24" s="1809">
        <v>1</v>
      </c>
      <c r="AC24" s="2670">
        <v>1</v>
      </c>
    </row>
    <row r="25" spans="1:29" ht="27">
      <c r="A25" s="403"/>
      <c r="B25" s="630" t="s">
        <v>2691</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63"/>
      <c r="Q25" s="1808" t="str">
        <f>B25</f>
        <v>毗邻道路的类型与等级</v>
      </c>
      <c r="R25" s="772" t="s">
        <v>17</v>
      </c>
      <c r="S25" s="773">
        <f>F25</f>
        <v>100</v>
      </c>
      <c r="T25" s="772" t="s">
        <v>17</v>
      </c>
      <c r="U25" s="773">
        <f>H25</f>
        <v>100</v>
      </c>
      <c r="V25" s="772" t="s">
        <v>17</v>
      </c>
      <c r="W25" s="773">
        <f>J25</f>
        <v>100</v>
      </c>
      <c r="X25" s="1811"/>
      <c r="Y25" s="3256"/>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63"/>
      <c r="Q26" s="1808"/>
      <c r="R26" s="772"/>
      <c r="S26" s="773"/>
      <c r="T26" s="772"/>
      <c r="U26" s="773"/>
      <c r="V26" s="772"/>
      <c r="W26" s="773"/>
      <c r="X26" s="1811"/>
      <c r="Y26" s="3256"/>
      <c r="Z26" s="1812"/>
      <c r="AA26" s="1809">
        <v>1</v>
      </c>
      <c r="AB26" s="1809">
        <v>1</v>
      </c>
      <c r="AC26" s="267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3"/>
      <c r="Q27" s="1808" t="str">
        <f t="shared" ref="Q27:Q47" si="11">B27</f>
        <v>楼层</v>
      </c>
      <c r="R27" s="772" t="s">
        <v>17</v>
      </c>
      <c r="S27" s="773">
        <f>F27</f>
        <v>100</v>
      </c>
      <c r="T27" s="772" t="s">
        <v>17</v>
      </c>
      <c r="U27" s="773">
        <f>H27</f>
        <v>100</v>
      </c>
      <c r="V27" s="772" t="s">
        <v>17</v>
      </c>
      <c r="W27" s="773">
        <f>J27</f>
        <v>100</v>
      </c>
      <c r="X27" s="1811"/>
      <c r="Y27" s="3256"/>
      <c r="Z27" s="1812" t="str">
        <f>Q27</f>
        <v>楼层</v>
      </c>
      <c r="AA27" s="1809">
        <f t="shared" si="3"/>
        <v>1</v>
      </c>
      <c r="AB27" s="1809">
        <f t="shared" si="4"/>
        <v>1</v>
      </c>
      <c r="AC27" s="2670">
        <f t="shared" si="5"/>
        <v>1</v>
      </c>
    </row>
    <row r="28" spans="1:29" s="116" customFormat="1" ht="15">
      <c r="A28" s="430"/>
      <c r="B28" s="630"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63"/>
      <c r="Q28" s="1793" t="str">
        <f t="shared" si="11"/>
        <v>朝向</v>
      </c>
      <c r="R28" s="768" t="s">
        <v>17</v>
      </c>
      <c r="S28" s="769">
        <f>F28</f>
        <v>100</v>
      </c>
      <c r="T28" s="768" t="s">
        <v>17</v>
      </c>
      <c r="U28" s="769">
        <f>H28</f>
        <v>100</v>
      </c>
      <c r="V28" s="768" t="s">
        <v>17</v>
      </c>
      <c r="W28" s="769">
        <f>J28</f>
        <v>100</v>
      </c>
      <c r="X28" s="770"/>
      <c r="Y28" s="3256"/>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63"/>
      <c r="Q29" s="1808">
        <f t="shared" si="11"/>
        <v>111</v>
      </c>
      <c r="R29" s="772" t="s">
        <v>17</v>
      </c>
      <c r="S29" s="773">
        <f t="shared" ref="S29:S47" si="12">F29</f>
        <v>100</v>
      </c>
      <c r="T29" s="772" t="s">
        <v>17</v>
      </c>
      <c r="U29" s="773">
        <f t="shared" ref="U29:U47" si="13">H29</f>
        <v>100</v>
      </c>
      <c r="V29" s="772" t="s">
        <v>17</v>
      </c>
      <c r="W29" s="773">
        <f t="shared" ref="W29:W47" si="14">J29</f>
        <v>100</v>
      </c>
      <c r="X29" s="1811"/>
      <c r="Y29" s="3256"/>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3"/>
      <c r="Q32" s="1808">
        <f t="shared" si="11"/>
        <v>111</v>
      </c>
      <c r="R32" s="772" t="s">
        <v>17</v>
      </c>
      <c r="S32" s="773">
        <f t="shared" si="12"/>
        <v>100</v>
      </c>
      <c r="T32" s="772" t="s">
        <v>17</v>
      </c>
      <c r="U32" s="773">
        <f t="shared" si="13"/>
        <v>100</v>
      </c>
      <c r="V32" s="772" t="s">
        <v>17</v>
      </c>
      <c r="W32" s="773">
        <f t="shared" si="14"/>
        <v>100</v>
      </c>
      <c r="X32" s="1811"/>
      <c r="Y32" s="3256"/>
      <c r="Z32" s="1812">
        <f t="shared" si="15"/>
        <v>111</v>
      </c>
      <c r="AA32" s="1809">
        <f t="shared" si="3"/>
        <v>1</v>
      </c>
      <c r="AB32" s="1809">
        <f t="shared" si="4"/>
        <v>1</v>
      </c>
      <c r="AC32" s="2670">
        <f t="shared" si="5"/>
        <v>1</v>
      </c>
    </row>
    <row r="33" spans="1:29" ht="15">
      <c r="A33" s="439" t="s">
        <v>2563</v>
      </c>
      <c r="B33" s="70"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57" t="s">
        <v>2565</v>
      </c>
      <c r="Q33" s="1808" t="str">
        <f t="shared" si="11"/>
        <v>建筑类型</v>
      </c>
      <c r="R33" s="772" t="s">
        <v>17</v>
      </c>
      <c r="S33" s="773">
        <f t="shared" si="12"/>
        <v>100</v>
      </c>
      <c r="T33" s="772" t="s">
        <v>17</v>
      </c>
      <c r="U33" s="773">
        <f t="shared" si="13"/>
        <v>100</v>
      </c>
      <c r="V33" s="772" t="s">
        <v>17</v>
      </c>
      <c r="W33" s="773">
        <f t="shared" si="14"/>
        <v>100</v>
      </c>
      <c r="X33" s="1811"/>
      <c r="Y33" s="3260" t="s">
        <v>2565</v>
      </c>
      <c r="Z33" s="1812" t="str">
        <f t="shared" si="15"/>
        <v>建筑类型</v>
      </c>
      <c r="AA33" s="1809">
        <f t="shared" si="3"/>
        <v>1</v>
      </c>
      <c r="AB33" s="1809">
        <f t="shared" si="4"/>
        <v>1</v>
      </c>
      <c r="AC33" s="2670">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8"/>
      <c r="Q34" s="774" t="str">
        <f t="shared" si="11"/>
        <v>项目建筑规模</v>
      </c>
      <c r="R34" s="775" t="s">
        <v>17</v>
      </c>
      <c r="S34" s="776" t="e">
        <f t="shared" si="12"/>
        <v>#N/A</v>
      </c>
      <c r="T34" s="775" t="s">
        <v>17</v>
      </c>
      <c r="U34" s="776" t="e">
        <f t="shared" si="13"/>
        <v>#N/A</v>
      </c>
      <c r="V34" s="775" t="s">
        <v>17</v>
      </c>
      <c r="W34" s="776" t="e">
        <f t="shared" si="14"/>
        <v>#N/A</v>
      </c>
      <c r="X34" s="777"/>
      <c r="Y34" s="3260"/>
      <c r="Z34" s="778" t="str">
        <f t="shared" si="15"/>
        <v>项目建筑规模</v>
      </c>
      <c r="AA34" s="1809" t="e">
        <f t="shared" si="3"/>
        <v>#N/A</v>
      </c>
      <c r="AB34" s="1809"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8"/>
      <c r="Q35" s="1808" t="str">
        <f t="shared" si="11"/>
        <v>建筑结构</v>
      </c>
      <c r="R35" s="772" t="s">
        <v>17</v>
      </c>
      <c r="S35" s="773">
        <f t="shared" si="12"/>
        <v>100</v>
      </c>
      <c r="T35" s="772" t="s">
        <v>17</v>
      </c>
      <c r="U35" s="773">
        <f t="shared" si="13"/>
        <v>100</v>
      </c>
      <c r="V35" s="772" t="s">
        <v>17</v>
      </c>
      <c r="W35" s="773">
        <f t="shared" si="14"/>
        <v>100</v>
      </c>
      <c r="X35" s="1811"/>
      <c r="Y35" s="3260"/>
      <c r="Z35" s="1812" t="str">
        <f t="shared" si="15"/>
        <v>建筑结构</v>
      </c>
      <c r="AA35" s="1809">
        <f t="shared" si="3"/>
        <v>1</v>
      </c>
      <c r="AB35" s="1809">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8"/>
      <c r="Q36" s="1808" t="str">
        <f t="shared" si="11"/>
        <v>公共部分装修</v>
      </c>
      <c r="R36" s="772" t="s">
        <v>17</v>
      </c>
      <c r="S36" s="773">
        <f t="shared" si="12"/>
        <v>100</v>
      </c>
      <c r="T36" s="772" t="s">
        <v>17</v>
      </c>
      <c r="U36" s="773">
        <f t="shared" si="13"/>
        <v>100</v>
      </c>
      <c r="V36" s="772" t="s">
        <v>17</v>
      </c>
      <c r="W36" s="773">
        <f t="shared" si="14"/>
        <v>100</v>
      </c>
      <c r="X36" s="1811"/>
      <c r="Y36" s="3260"/>
      <c r="Z36" s="1812" t="str">
        <f t="shared" si="15"/>
        <v>公共部分装修</v>
      </c>
      <c r="AA36" s="1809">
        <f t="shared" si="3"/>
        <v>1</v>
      </c>
      <c r="AB36" s="1809">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8"/>
      <c r="Q37" s="1808" t="str">
        <f t="shared" si="11"/>
        <v>成新度</v>
      </c>
      <c r="R37" s="772" t="s">
        <v>17</v>
      </c>
      <c r="S37" s="773" t="e">
        <f t="shared" si="12"/>
        <v>#N/A</v>
      </c>
      <c r="T37" s="772" t="s">
        <v>17</v>
      </c>
      <c r="U37" s="773" t="e">
        <f t="shared" si="13"/>
        <v>#N/A</v>
      </c>
      <c r="V37" s="772" t="s">
        <v>17</v>
      </c>
      <c r="W37" s="773" t="e">
        <f t="shared" si="14"/>
        <v>#N/A</v>
      </c>
      <c r="X37" s="1811"/>
      <c r="Y37" s="3260"/>
      <c r="Z37" s="1812" t="str">
        <f t="shared" si="15"/>
        <v>成新度</v>
      </c>
      <c r="AA37" s="1809" t="e">
        <f t="shared" si="3"/>
        <v>#N/A</v>
      </c>
      <c r="AB37" s="1809" t="e">
        <f t="shared" si="4"/>
        <v>#N/A</v>
      </c>
      <c r="AC37" s="2670"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8"/>
      <c r="Q38" s="1793" t="str">
        <f t="shared" si="11"/>
        <v>写字楼等级</v>
      </c>
      <c r="R38" s="768" t="s">
        <v>17</v>
      </c>
      <c r="S38" s="769">
        <f t="shared" si="12"/>
        <v>100</v>
      </c>
      <c r="T38" s="768" t="s">
        <v>17</v>
      </c>
      <c r="U38" s="769">
        <f t="shared" si="13"/>
        <v>100</v>
      </c>
      <c r="V38" s="768" t="s">
        <v>17</v>
      </c>
      <c r="W38" s="769">
        <f t="shared" si="14"/>
        <v>100</v>
      </c>
      <c r="X38" s="770"/>
      <c r="Y38" s="3260"/>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8" t="s">
        <v>2565</v>
      </c>
      <c r="Q39" s="1808" t="str">
        <f t="shared" si="11"/>
        <v>物业管理</v>
      </c>
      <c r="R39" s="772" t="s">
        <v>17</v>
      </c>
      <c r="S39" s="773">
        <f t="shared" si="12"/>
        <v>100</v>
      </c>
      <c r="T39" s="772" t="s">
        <v>17</v>
      </c>
      <c r="U39" s="773">
        <f t="shared" si="13"/>
        <v>100</v>
      </c>
      <c r="V39" s="772" t="s">
        <v>17</v>
      </c>
      <c r="W39" s="773">
        <f t="shared" si="14"/>
        <v>100</v>
      </c>
      <c r="X39" s="1811"/>
      <c r="Y39" s="3260" t="s">
        <v>2565</v>
      </c>
      <c r="Z39" s="1812" t="str">
        <f t="shared" si="15"/>
        <v>物业管理</v>
      </c>
      <c r="AA39" s="1809">
        <f t="shared" si="3"/>
        <v>1</v>
      </c>
      <c r="AB39" s="1809">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8"/>
      <c r="Q40" s="1808" t="str">
        <f t="shared" si="11"/>
        <v>市政基础设施</v>
      </c>
      <c r="R40" s="772" t="s">
        <v>17</v>
      </c>
      <c r="S40" s="773">
        <f t="shared" si="12"/>
        <v>100</v>
      </c>
      <c r="T40" s="772" t="s">
        <v>17</v>
      </c>
      <c r="U40" s="773">
        <f t="shared" si="13"/>
        <v>100</v>
      </c>
      <c r="V40" s="772" t="s">
        <v>17</v>
      </c>
      <c r="W40" s="773">
        <f t="shared" si="14"/>
        <v>100</v>
      </c>
      <c r="X40" s="1811"/>
      <c r="Y40" s="3260"/>
      <c r="Z40" s="1812" t="str">
        <f t="shared" si="15"/>
        <v>市政基础设施</v>
      </c>
      <c r="AA40" s="1809">
        <f t="shared" si="3"/>
        <v>1</v>
      </c>
      <c r="AB40" s="1809">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8"/>
      <c r="Q41" s="1808" t="str">
        <f t="shared" si="11"/>
        <v>层高</v>
      </c>
      <c r="R41" s="772" t="s">
        <v>17</v>
      </c>
      <c r="S41" s="773">
        <f t="shared" si="12"/>
        <v>100</v>
      </c>
      <c r="T41" s="772" t="s">
        <v>17</v>
      </c>
      <c r="U41" s="773">
        <f t="shared" si="13"/>
        <v>100</v>
      </c>
      <c r="V41" s="772" t="s">
        <v>17</v>
      </c>
      <c r="W41" s="773">
        <f t="shared" si="14"/>
        <v>100</v>
      </c>
      <c r="X41" s="1811"/>
      <c r="Y41" s="3260"/>
      <c r="Z41" s="1812" t="str">
        <f t="shared" si="15"/>
        <v>层高</v>
      </c>
      <c r="AA41" s="1809">
        <f t="shared" si="3"/>
        <v>1</v>
      </c>
      <c r="AB41" s="1809">
        <f t="shared" si="4"/>
        <v>1</v>
      </c>
      <c r="AC41" s="2670">
        <f t="shared" si="5"/>
        <v>1</v>
      </c>
    </row>
    <row r="42" spans="1:29" s="470" customFormat="1" ht="15">
      <c r="A42" s="467"/>
      <c r="B42" s="1810"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8"/>
      <c r="Q42" s="774" t="str">
        <f t="shared" si="11"/>
        <v>单套建筑面积</v>
      </c>
      <c r="R42" s="775" t="s">
        <v>17</v>
      </c>
      <c r="S42" s="776">
        <f t="shared" si="12"/>
        <v>100</v>
      </c>
      <c r="T42" s="775" t="s">
        <v>17</v>
      </c>
      <c r="U42" s="776">
        <f t="shared" si="13"/>
        <v>100</v>
      </c>
      <c r="V42" s="775" t="s">
        <v>17</v>
      </c>
      <c r="W42" s="776">
        <f t="shared" si="14"/>
        <v>100</v>
      </c>
      <c r="X42" s="777"/>
      <c r="Y42" s="3260"/>
      <c r="Z42" s="778" t="str">
        <f t="shared" si="15"/>
        <v>单套建筑面积</v>
      </c>
      <c r="AA42" s="1809">
        <f t="shared" si="3"/>
        <v>1</v>
      </c>
      <c r="AB42" s="1809">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8"/>
      <c r="Q43" s="1808" t="str">
        <f t="shared" si="11"/>
        <v>内部装修</v>
      </c>
      <c r="R43" s="772" t="s">
        <v>17</v>
      </c>
      <c r="S43" s="773">
        <f t="shared" si="12"/>
        <v>100</v>
      </c>
      <c r="T43" s="772" t="s">
        <v>17</v>
      </c>
      <c r="U43" s="773">
        <f t="shared" si="13"/>
        <v>100</v>
      </c>
      <c r="V43" s="772" t="s">
        <v>17</v>
      </c>
      <c r="W43" s="773">
        <f t="shared" si="14"/>
        <v>100</v>
      </c>
      <c r="X43" s="1811"/>
      <c r="Y43" s="3260"/>
      <c r="Z43" s="1812" t="str">
        <f t="shared" si="15"/>
        <v>内部装修</v>
      </c>
      <c r="AA43" s="1809">
        <f t="shared" si="3"/>
        <v>1</v>
      </c>
      <c r="AB43" s="1809">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58"/>
      <c r="Q44" s="1808" t="str">
        <f t="shared" si="11"/>
        <v>内部装修维护情况</v>
      </c>
      <c r="R44" s="772" t="s">
        <v>17</v>
      </c>
      <c r="S44" s="773">
        <f t="shared" si="12"/>
        <v>100</v>
      </c>
      <c r="T44" s="772" t="s">
        <v>17</v>
      </c>
      <c r="U44" s="773">
        <f t="shared" si="13"/>
        <v>100</v>
      </c>
      <c r="V44" s="772" t="s">
        <v>17</v>
      </c>
      <c r="W44" s="773">
        <f t="shared" si="14"/>
        <v>100</v>
      </c>
      <c r="X44" s="1811"/>
      <c r="Y44" s="3260"/>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8"/>
      <c r="Q45" s="1793">
        <f t="shared" si="11"/>
        <v>111</v>
      </c>
      <c r="R45" s="768" t="s">
        <v>17</v>
      </c>
      <c r="S45" s="769">
        <f t="shared" si="12"/>
        <v>100</v>
      </c>
      <c r="T45" s="768" t="s">
        <v>17</v>
      </c>
      <c r="U45" s="769">
        <f t="shared" si="13"/>
        <v>100</v>
      </c>
      <c r="V45" s="768" t="s">
        <v>17</v>
      </c>
      <c r="W45" s="769">
        <f t="shared" si="14"/>
        <v>100</v>
      </c>
      <c r="X45" s="770"/>
      <c r="Y45" s="3260"/>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8"/>
      <c r="Q46" s="1808">
        <f t="shared" si="11"/>
        <v>111</v>
      </c>
      <c r="R46" s="772" t="s">
        <v>17</v>
      </c>
      <c r="S46" s="773">
        <f t="shared" si="12"/>
        <v>100</v>
      </c>
      <c r="T46" s="772" t="s">
        <v>17</v>
      </c>
      <c r="U46" s="773">
        <f t="shared" si="13"/>
        <v>100</v>
      </c>
      <c r="V46" s="772" t="s">
        <v>17</v>
      </c>
      <c r="W46" s="773">
        <f t="shared" si="14"/>
        <v>100</v>
      </c>
      <c r="X46" s="1811"/>
      <c r="Y46" s="3260"/>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9"/>
      <c r="Q47" s="1808">
        <f t="shared" si="11"/>
        <v>111</v>
      </c>
      <c r="R47" s="772" t="s">
        <v>17</v>
      </c>
      <c r="S47" s="773">
        <f t="shared" si="12"/>
        <v>100</v>
      </c>
      <c r="T47" s="772" t="s">
        <v>17</v>
      </c>
      <c r="U47" s="773">
        <f t="shared" si="13"/>
        <v>100</v>
      </c>
      <c r="V47" s="772" t="s">
        <v>17</v>
      </c>
      <c r="W47" s="773">
        <f t="shared" si="14"/>
        <v>100</v>
      </c>
      <c r="X47" s="1811"/>
      <c r="Y47" s="3261"/>
      <c r="Z47" s="1812">
        <f t="shared" si="15"/>
        <v>111</v>
      </c>
      <c r="AA47" s="1809">
        <f t="shared" si="3"/>
        <v>1</v>
      </c>
      <c r="AB47" s="1809">
        <f t="shared" si="4"/>
        <v>1</v>
      </c>
      <c r="AC47" s="2670">
        <f t="shared" si="5"/>
        <v>1</v>
      </c>
    </row>
    <row r="48" spans="1:29" ht="15">
      <c r="A48" s="478" t="s">
        <v>2577</v>
      </c>
      <c r="B48" s="479"/>
      <c r="C48" s="1405" t="s">
        <v>1</v>
      </c>
      <c r="D48" s="1406"/>
      <c r="E48" s="1407"/>
      <c r="F48" s="1408"/>
      <c r="G48" s="1409"/>
      <c r="H48" s="1410"/>
      <c r="I48" s="1407"/>
      <c r="J48" s="484"/>
      <c r="K48" s="781"/>
      <c r="L48" s="1141"/>
      <c r="M48" s="1129"/>
      <c r="N48" s="1129"/>
      <c r="O48" s="1129"/>
      <c r="P48" s="3235" t="str">
        <f>A48</f>
        <v>成交单价（元/平方米）</v>
      </c>
      <c r="Q48" s="3253"/>
      <c r="R48" s="3254">
        <f>E48</f>
        <v>0</v>
      </c>
      <c r="S48" s="3254"/>
      <c r="T48" s="3254">
        <f>G48</f>
        <v>0</v>
      </c>
      <c r="U48" s="3254"/>
      <c r="V48" s="3254">
        <f>I48</f>
        <v>0</v>
      </c>
      <c r="W48" s="3254"/>
      <c r="X48" s="445"/>
      <c r="Y48" s="779"/>
      <c r="Z48" s="445"/>
      <c r="AA48" s="445"/>
      <c r="AB48" s="445"/>
      <c r="AC48" s="629"/>
    </row>
    <row r="49" spans="1:29" ht="15.75" thickBot="1">
      <c r="A49" s="485" t="s">
        <v>2669</v>
      </c>
      <c r="B49" s="486"/>
      <c r="C49" s="1411" t="e">
        <f>R50</f>
        <v>#DIV/0!</v>
      </c>
      <c r="D49" s="1412"/>
      <c r="E49" s="1413" t="e">
        <f>R49</f>
        <v>#DIV/0!</v>
      </c>
      <c r="F49" s="1413"/>
      <c r="G49" s="1411" t="e">
        <f>T49</f>
        <v>#DIV/0!</v>
      </c>
      <c r="H49" s="1412"/>
      <c r="I49" s="1413" t="e">
        <f>V49</f>
        <v>#DIV/0!</v>
      </c>
      <c r="J49" s="488"/>
      <c r="K49" s="782"/>
      <c r="L49" s="1141"/>
      <c r="M49" s="1129"/>
      <c r="N49" s="1129"/>
      <c r="O49" s="1129"/>
      <c r="P49" s="3235"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3"/>
      <c r="L50" s="1141"/>
      <c r="M50" s="1129"/>
      <c r="N50" s="1129"/>
      <c r="O50" s="1129"/>
      <c r="P50" s="3331" t="str">
        <f>A50</f>
        <v>估价对象XX用房的比较价值（楼面单价，元/平方米）</v>
      </c>
      <c r="Q50" s="3332"/>
      <c r="R50" s="3333" t="e">
        <f>IF(F1="售价",ROUND(AVERAGE(R49:V49),0),ROUND(AVERAGE(R49:V49),1))</f>
        <v>#DIV/0!</v>
      </c>
      <c r="S50" s="3333"/>
      <c r="T50" s="3333"/>
      <c r="U50" s="3333"/>
      <c r="V50" s="3333"/>
      <c r="W50" s="333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3"/>
    </row>
    <row r="59" spans="1:29" s="507" customFormat="1" ht="15">
      <c r="A59" s="504" t="s">
        <v>2548</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2585</v>
      </c>
      <c r="B61" s="515"/>
      <c r="C61" s="516"/>
      <c r="D61" s="517"/>
      <c r="E61" s="517"/>
      <c r="F61" s="517"/>
      <c r="G61" s="517"/>
      <c r="H61" s="517"/>
      <c r="I61" s="517"/>
      <c r="J61" s="517"/>
      <c r="K61" s="517"/>
      <c r="L61" s="517"/>
      <c r="M61" s="518"/>
      <c r="N61" s="517"/>
      <c r="O61" s="518"/>
      <c r="P61" s="2678"/>
      <c r="Q61" s="503"/>
    </row>
    <row r="62" spans="1:29" s="116" customFormat="1" ht="15">
      <c r="A62" s="520" t="s">
        <v>2550</v>
      </c>
      <c r="B62" s="509"/>
      <c r="C62" s="521" t="s">
        <v>2652</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2588</v>
      </c>
      <c r="B64" s="527" t="s">
        <v>2554</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2699</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2563</v>
      </c>
      <c r="B101" s="527" t="s">
        <v>2612</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2614</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2616</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2617</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2618</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2701</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2620</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3"/>
      <c r="D2" s="1122"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57">
      <c r="A15" s="439" t="s">
        <v>2559</v>
      </c>
      <c r="B15" s="68"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5" t="s">
        <v>2560</v>
      </c>
      <c r="Q15" s="1808" t="str">
        <f t="shared" si="6"/>
        <v>产业集聚程度</v>
      </c>
      <c r="R15" s="772" t="s">
        <v>17</v>
      </c>
      <c r="S15" s="773">
        <f t="shared" si="0"/>
        <v>100</v>
      </c>
      <c r="T15" s="772" t="s">
        <v>17</v>
      </c>
      <c r="U15" s="773">
        <f t="shared" si="1"/>
        <v>100</v>
      </c>
      <c r="V15" s="772" t="s">
        <v>17</v>
      </c>
      <c r="W15" s="773">
        <f t="shared" si="2"/>
        <v>100</v>
      </c>
      <c r="X15" s="1811"/>
      <c r="Y15" s="3255"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56"/>
      <c r="Q16" s="1808"/>
      <c r="R16" s="772"/>
      <c r="S16" s="773"/>
      <c r="T16" s="772"/>
      <c r="U16" s="773"/>
      <c r="V16" s="772"/>
      <c r="W16" s="773"/>
      <c r="X16" s="1811"/>
      <c r="Y16" s="3256"/>
      <c r="Z16" s="1812"/>
      <c r="AA16" s="1809">
        <v>1</v>
      </c>
      <c r="AB16" s="1809">
        <v>1</v>
      </c>
      <c r="AC16" s="1809">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56"/>
      <c r="Q18" s="1808"/>
      <c r="R18" s="772"/>
      <c r="S18" s="773"/>
      <c r="T18" s="772"/>
      <c r="U18" s="773"/>
      <c r="V18" s="772"/>
      <c r="W18" s="773"/>
      <c r="X18" s="1811"/>
      <c r="Y18" s="3256"/>
      <c r="Z18" s="1812"/>
      <c r="AA18" s="1809">
        <v>1</v>
      </c>
      <c r="AB18" s="1809">
        <v>1</v>
      </c>
      <c r="AC18" s="1809">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6"/>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56"/>
      <c r="Q20" s="1808"/>
      <c r="R20" s="772"/>
      <c r="S20" s="773"/>
      <c r="T20" s="772"/>
      <c r="U20" s="773"/>
      <c r="V20" s="772"/>
      <c r="W20" s="773"/>
      <c r="X20" s="1811"/>
      <c r="Y20" s="3256"/>
      <c r="Z20" s="1812"/>
      <c r="AA20" s="1809">
        <v>1</v>
      </c>
      <c r="AB20" s="1809">
        <v>1</v>
      </c>
      <c r="AC20" s="1809">
        <v>1</v>
      </c>
    </row>
    <row r="21" spans="1:29" ht="28.5">
      <c r="A21" s="427"/>
      <c r="B21" s="1382"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6"/>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56"/>
      <c r="Q22" s="1808"/>
      <c r="R22" s="772"/>
      <c r="S22" s="773"/>
      <c r="T22" s="772"/>
      <c r="U22" s="773"/>
      <c r="V22" s="772"/>
      <c r="W22" s="773"/>
      <c r="X22" s="1811"/>
      <c r="Y22" s="3256"/>
      <c r="Z22" s="1812"/>
      <c r="AA22" s="1809">
        <v>1</v>
      </c>
      <c r="AB22" s="1809">
        <v>1</v>
      </c>
      <c r="AC22" s="1809">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6"/>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56"/>
      <c r="Q24" s="1808"/>
      <c r="R24" s="772"/>
      <c r="S24" s="773"/>
      <c r="T24" s="772"/>
      <c r="U24" s="773"/>
      <c r="V24" s="772"/>
      <c r="W24" s="773"/>
      <c r="X24" s="1811"/>
      <c r="Y24" s="3256"/>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6"/>
      <c r="Q25" s="1808">
        <f>B25</f>
        <v>111</v>
      </c>
      <c r="R25" s="772" t="s">
        <v>17</v>
      </c>
      <c r="S25" s="773">
        <f>F25</f>
        <v>100</v>
      </c>
      <c r="T25" s="772" t="s">
        <v>17</v>
      </c>
      <c r="U25" s="773">
        <f>H25</f>
        <v>100</v>
      </c>
      <c r="V25" s="772" t="s">
        <v>17</v>
      </c>
      <c r="W25" s="773">
        <f>J25</f>
        <v>100</v>
      </c>
      <c r="X25" s="1811"/>
      <c r="Y25" s="325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6"/>
      <c r="Q26" s="1808">
        <f t="shared" ref="Q26:Q40" si="11">B26</f>
        <v>111</v>
      </c>
      <c r="R26" s="772" t="s">
        <v>17</v>
      </c>
      <c r="S26" s="773">
        <f>F26</f>
        <v>100</v>
      </c>
      <c r="T26" s="772" t="s">
        <v>17</v>
      </c>
      <c r="U26" s="773">
        <f>H26</f>
        <v>100</v>
      </c>
      <c r="V26" s="772" t="s">
        <v>17</v>
      </c>
      <c r="W26" s="773">
        <f>J26</f>
        <v>100</v>
      </c>
      <c r="X26" s="1811"/>
      <c r="Y26" s="3256"/>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6"/>
      <c r="Q27" s="1793">
        <f t="shared" si="11"/>
        <v>111</v>
      </c>
      <c r="R27" s="768" t="s">
        <v>17</v>
      </c>
      <c r="S27" s="769">
        <f>F27</f>
        <v>100</v>
      </c>
      <c r="T27" s="768" t="s">
        <v>17</v>
      </c>
      <c r="U27" s="769">
        <f>H27</f>
        <v>100</v>
      </c>
      <c r="V27" s="768" t="s">
        <v>17</v>
      </c>
      <c r="W27" s="769">
        <f>J27</f>
        <v>100</v>
      </c>
      <c r="X27" s="770"/>
      <c r="Y27" s="3256"/>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6"/>
      <c r="Q28" s="1808">
        <f t="shared" si="11"/>
        <v>111</v>
      </c>
      <c r="R28" s="772" t="s">
        <v>17</v>
      </c>
      <c r="S28" s="773">
        <f t="shared" ref="S28:S40" si="12">F28</f>
        <v>100</v>
      </c>
      <c r="T28" s="772" t="s">
        <v>17</v>
      </c>
      <c r="U28" s="773">
        <f t="shared" ref="U28:U40" si="13">H28</f>
        <v>100</v>
      </c>
      <c r="V28" s="772" t="s">
        <v>17</v>
      </c>
      <c r="W28" s="773">
        <f t="shared" ref="W28:W40" si="14">J28</f>
        <v>100</v>
      </c>
      <c r="X28" s="1811"/>
      <c r="Y28" s="3256"/>
      <c r="Z28" s="1812">
        <f t="shared" ref="Z28:Z40" si="15">Q28</f>
        <v>111</v>
      </c>
      <c r="AA28" s="1809">
        <f t="shared" si="3"/>
        <v>1</v>
      </c>
      <c r="AB28" s="1809">
        <f t="shared" si="4"/>
        <v>1</v>
      </c>
      <c r="AC28" s="1809">
        <f t="shared" si="5"/>
        <v>1</v>
      </c>
    </row>
    <row r="29" spans="1:29" ht="15">
      <c r="A29" s="465" t="s">
        <v>2563</v>
      </c>
      <c r="B29" s="70"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34" t="s">
        <v>2565</v>
      </c>
      <c r="Q29" s="1808" t="str">
        <f t="shared" si="11"/>
        <v>建筑类型</v>
      </c>
      <c r="R29" s="772" t="s">
        <v>17</v>
      </c>
      <c r="S29" s="773">
        <f t="shared" si="12"/>
        <v>100</v>
      </c>
      <c r="T29" s="772" t="s">
        <v>17</v>
      </c>
      <c r="U29" s="773">
        <f t="shared" si="13"/>
        <v>100</v>
      </c>
      <c r="V29" s="772" t="s">
        <v>17</v>
      </c>
      <c r="W29" s="773">
        <f t="shared" si="14"/>
        <v>100</v>
      </c>
      <c r="X29" s="1811"/>
      <c r="Y29" s="3260"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60"/>
      <c r="Q30" s="774" t="str">
        <f t="shared" si="11"/>
        <v>项目建筑规模</v>
      </c>
      <c r="R30" s="775" t="s">
        <v>17</v>
      </c>
      <c r="S30" s="776" t="e">
        <f t="shared" si="12"/>
        <v>#N/A</v>
      </c>
      <c r="T30" s="775" t="s">
        <v>17</v>
      </c>
      <c r="U30" s="776" t="e">
        <f t="shared" si="13"/>
        <v>#N/A</v>
      </c>
      <c r="V30" s="775" t="s">
        <v>17</v>
      </c>
      <c r="W30" s="776" t="e">
        <f t="shared" si="14"/>
        <v>#N/A</v>
      </c>
      <c r="X30" s="777"/>
      <c r="Y30" s="3260"/>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60"/>
      <c r="Q31" s="1808" t="str">
        <f t="shared" si="11"/>
        <v>建筑结构</v>
      </c>
      <c r="R31" s="772" t="s">
        <v>17</v>
      </c>
      <c r="S31" s="773">
        <f t="shared" si="12"/>
        <v>100</v>
      </c>
      <c r="T31" s="772" t="s">
        <v>17</v>
      </c>
      <c r="U31" s="773">
        <f t="shared" si="13"/>
        <v>100</v>
      </c>
      <c r="V31" s="772" t="s">
        <v>17</v>
      </c>
      <c r="W31" s="773">
        <f t="shared" si="14"/>
        <v>100</v>
      </c>
      <c r="X31" s="1811"/>
      <c r="Y31" s="3260"/>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60"/>
      <c r="Q32" s="1808" t="str">
        <f t="shared" si="11"/>
        <v>公共部分装修</v>
      </c>
      <c r="R32" s="772" t="s">
        <v>17</v>
      </c>
      <c r="S32" s="773">
        <f t="shared" si="12"/>
        <v>100</v>
      </c>
      <c r="T32" s="772" t="s">
        <v>17</v>
      </c>
      <c r="U32" s="773">
        <f t="shared" si="13"/>
        <v>100</v>
      </c>
      <c r="V32" s="772" t="s">
        <v>17</v>
      </c>
      <c r="W32" s="773">
        <f t="shared" si="14"/>
        <v>100</v>
      </c>
      <c r="X32" s="1811"/>
      <c r="Y32" s="3260"/>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60"/>
      <c r="Q33" s="1808" t="str">
        <f t="shared" si="11"/>
        <v>成新度</v>
      </c>
      <c r="R33" s="772" t="s">
        <v>17</v>
      </c>
      <c r="S33" s="773" t="e">
        <f t="shared" si="12"/>
        <v>#N/A</v>
      </c>
      <c r="T33" s="772" t="s">
        <v>17</v>
      </c>
      <c r="U33" s="773" t="e">
        <f t="shared" si="13"/>
        <v>#N/A</v>
      </c>
      <c r="V33" s="772" t="s">
        <v>17</v>
      </c>
      <c r="W33" s="773" t="e">
        <f t="shared" si="14"/>
        <v>#N/A</v>
      </c>
      <c r="X33" s="1811"/>
      <c r="Y33" s="3260"/>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60"/>
      <c r="Q34" s="1793" t="str">
        <f t="shared" si="11"/>
        <v>物业管理</v>
      </c>
      <c r="R34" s="768" t="s">
        <v>17</v>
      </c>
      <c r="S34" s="769">
        <f t="shared" si="12"/>
        <v>100</v>
      </c>
      <c r="T34" s="768" t="s">
        <v>17</v>
      </c>
      <c r="U34" s="769">
        <f t="shared" si="13"/>
        <v>100</v>
      </c>
      <c r="V34" s="768" t="s">
        <v>17</v>
      </c>
      <c r="W34" s="769">
        <f t="shared" si="14"/>
        <v>100</v>
      </c>
      <c r="X34" s="770"/>
      <c r="Y34" s="3260"/>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60" t="s">
        <v>2565</v>
      </c>
      <c r="Q35" s="1808" t="str">
        <f t="shared" si="11"/>
        <v>市政基础设施</v>
      </c>
      <c r="R35" s="772" t="s">
        <v>17</v>
      </c>
      <c r="S35" s="773">
        <f t="shared" si="12"/>
        <v>100</v>
      </c>
      <c r="T35" s="772" t="s">
        <v>17</v>
      </c>
      <c r="U35" s="773">
        <f t="shared" si="13"/>
        <v>100</v>
      </c>
      <c r="V35" s="772" t="s">
        <v>17</v>
      </c>
      <c r="W35" s="773">
        <f t="shared" si="14"/>
        <v>100</v>
      </c>
      <c r="X35" s="1811"/>
      <c r="Y35" s="3260"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60"/>
      <c r="Q36" s="1808" t="str">
        <f t="shared" si="11"/>
        <v>内部装修</v>
      </c>
      <c r="R36" s="772" t="s">
        <v>17</v>
      </c>
      <c r="S36" s="773">
        <f t="shared" si="12"/>
        <v>100</v>
      </c>
      <c r="T36" s="772" t="s">
        <v>17</v>
      </c>
      <c r="U36" s="773">
        <f t="shared" si="13"/>
        <v>100</v>
      </c>
      <c r="V36" s="772" t="s">
        <v>17</v>
      </c>
      <c r="W36" s="773">
        <f t="shared" si="14"/>
        <v>100</v>
      </c>
      <c r="X36" s="1811"/>
      <c r="Y36" s="3260"/>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60"/>
      <c r="Q37" s="1808" t="str">
        <f t="shared" si="11"/>
        <v>内部装修状况</v>
      </c>
      <c r="R37" s="772" t="s">
        <v>17</v>
      </c>
      <c r="S37" s="773">
        <f t="shared" si="12"/>
        <v>100</v>
      </c>
      <c r="T37" s="772" t="s">
        <v>17</v>
      </c>
      <c r="U37" s="773">
        <f t="shared" si="13"/>
        <v>100</v>
      </c>
      <c r="V37" s="772" t="s">
        <v>17</v>
      </c>
      <c r="W37" s="773">
        <f t="shared" si="14"/>
        <v>100</v>
      </c>
      <c r="X37" s="1811"/>
      <c r="Y37" s="326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60"/>
      <c r="Q38" s="774">
        <f t="shared" si="11"/>
        <v>111</v>
      </c>
      <c r="R38" s="775" t="s">
        <v>17</v>
      </c>
      <c r="S38" s="776">
        <f t="shared" si="12"/>
        <v>100</v>
      </c>
      <c r="T38" s="775" t="s">
        <v>17</v>
      </c>
      <c r="U38" s="776">
        <f t="shared" si="13"/>
        <v>100</v>
      </c>
      <c r="V38" s="775" t="s">
        <v>17</v>
      </c>
      <c r="W38" s="776">
        <f t="shared" si="14"/>
        <v>100</v>
      </c>
      <c r="X38" s="777"/>
      <c r="Y38" s="326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60"/>
      <c r="Q39" s="1808">
        <f t="shared" si="11"/>
        <v>111</v>
      </c>
      <c r="R39" s="772" t="s">
        <v>17</v>
      </c>
      <c r="S39" s="773">
        <f t="shared" si="12"/>
        <v>100</v>
      </c>
      <c r="T39" s="772" t="s">
        <v>17</v>
      </c>
      <c r="U39" s="773">
        <f t="shared" si="13"/>
        <v>100</v>
      </c>
      <c r="V39" s="772" t="s">
        <v>17</v>
      </c>
      <c r="W39" s="773">
        <f t="shared" si="14"/>
        <v>100</v>
      </c>
      <c r="X39" s="1811"/>
      <c r="Y39" s="3260"/>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1"/>
      <c r="Q40" s="1808">
        <f t="shared" si="11"/>
        <v>111</v>
      </c>
      <c r="R40" s="772" t="s">
        <v>17</v>
      </c>
      <c r="S40" s="773">
        <f t="shared" si="12"/>
        <v>100</v>
      </c>
      <c r="T40" s="772" t="s">
        <v>17</v>
      </c>
      <c r="U40" s="773">
        <f t="shared" si="13"/>
        <v>100</v>
      </c>
      <c r="V40" s="772" t="s">
        <v>17</v>
      </c>
      <c r="W40" s="773">
        <f t="shared" si="14"/>
        <v>100</v>
      </c>
      <c r="X40" s="1811"/>
      <c r="Y40" s="3261"/>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253" t="str">
        <f>A41</f>
        <v>成交单价（元/平方米）</v>
      </c>
      <c r="Q41" s="3253"/>
      <c r="R41" s="3254">
        <f>E41</f>
        <v>0</v>
      </c>
      <c r="S41" s="3254"/>
      <c r="T41" s="3254">
        <f>G41</f>
        <v>0</v>
      </c>
      <c r="U41" s="3254"/>
      <c r="V41" s="3254">
        <f>I41</f>
        <v>0</v>
      </c>
      <c r="W41" s="3254"/>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250" t="str">
        <f>A43</f>
        <v>估价对象XX用房的比较价值（楼面单价，元/平方米）</v>
      </c>
      <c r="Q43" s="3251"/>
      <c r="R43" s="3252" t="e">
        <f>IF(F1="售价",ROUND(AVERAGE(R42:V42),0),ROUND(AVERAGE(R42:V42),1))</f>
        <v>#DIV/0!</v>
      </c>
      <c r="S43" s="3252"/>
      <c r="T43" s="3252"/>
      <c r="U43" s="3252"/>
      <c r="V43" s="3252"/>
      <c r="W43" s="325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2563</v>
      </c>
      <c r="B88" s="527" t="s">
        <v>2612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1"/>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1" t="s">
        <v>2549</v>
      </c>
      <c r="Q7" s="3249"/>
      <c r="R7" s="768" t="s">
        <v>17</v>
      </c>
      <c r="S7" s="769">
        <f t="shared" ref="S7:S14" si="0">F7</f>
        <v>0</v>
      </c>
      <c r="T7" s="768" t="s">
        <v>17</v>
      </c>
      <c r="U7" s="769">
        <f t="shared" ref="U7:U14" si="1">H7</f>
        <v>0</v>
      </c>
      <c r="V7" s="768" t="s">
        <v>17</v>
      </c>
      <c r="W7" s="769">
        <f t="shared" ref="W7:W14" si="2">J7</f>
        <v>0</v>
      </c>
      <c r="X7" s="770"/>
      <c r="Y7" s="3221" t="s">
        <v>2549</v>
      </c>
      <c r="Z7" s="3222"/>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3" t="s">
        <v>2555</v>
      </c>
      <c r="Q9" s="1793" t="str">
        <f t="shared" ref="Q9:Q14" si="6">B9</f>
        <v>用途</v>
      </c>
      <c r="R9" s="768" t="s">
        <v>17</v>
      </c>
      <c r="S9" s="769">
        <f t="shared" si="0"/>
        <v>100</v>
      </c>
      <c r="T9" s="768" t="s">
        <v>17</v>
      </c>
      <c r="U9" s="769">
        <f t="shared" si="1"/>
        <v>100</v>
      </c>
      <c r="V9" s="768" t="s">
        <v>17</v>
      </c>
      <c r="W9" s="769">
        <f t="shared" si="2"/>
        <v>100</v>
      </c>
      <c r="X9" s="770"/>
      <c r="Y9" s="3095" t="s">
        <v>2556</v>
      </c>
      <c r="Z9" s="55"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3"/>
      <c r="Q11" s="1793">
        <f t="shared" si="6"/>
        <v>111</v>
      </c>
      <c r="R11" s="768" t="s">
        <v>17</v>
      </c>
      <c r="S11" s="769">
        <f t="shared" si="0"/>
        <v>100</v>
      </c>
      <c r="T11" s="768" t="s">
        <v>17</v>
      </c>
      <c r="U11" s="769">
        <f t="shared" si="1"/>
        <v>100</v>
      </c>
      <c r="V11" s="768" t="s">
        <v>17</v>
      </c>
      <c r="W11" s="769">
        <f t="shared" si="2"/>
        <v>100</v>
      </c>
      <c r="X11" s="770"/>
      <c r="Y11" s="3095"/>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28.25">
      <c r="A14" s="400" t="s">
        <v>2559</v>
      </c>
      <c r="B14" s="62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5" t="s">
        <v>2560</v>
      </c>
      <c r="Q14" s="1808" t="str">
        <f t="shared" si="6"/>
        <v>交通便捷度</v>
      </c>
      <c r="R14" s="772" t="s">
        <v>17</v>
      </c>
      <c r="S14" s="773">
        <f t="shared" si="0"/>
        <v>100</v>
      </c>
      <c r="T14" s="772" t="s">
        <v>17</v>
      </c>
      <c r="U14" s="773">
        <f t="shared" si="1"/>
        <v>100</v>
      </c>
      <c r="V14" s="772" t="s">
        <v>17</v>
      </c>
      <c r="W14" s="773">
        <f t="shared" si="2"/>
        <v>100</v>
      </c>
      <c r="X14" s="1811"/>
      <c r="Y14" s="3255"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56"/>
      <c r="Q15" s="1808"/>
      <c r="R15" s="772"/>
      <c r="S15" s="773"/>
      <c r="T15" s="772"/>
      <c r="U15" s="773"/>
      <c r="V15" s="772"/>
      <c r="W15" s="773"/>
      <c r="X15" s="1811"/>
      <c r="Y15" s="3256"/>
      <c r="Z15" s="1812"/>
      <c r="AA15" s="1809">
        <v>1</v>
      </c>
      <c r="AB15" s="1809">
        <v>1</v>
      </c>
      <c r="AC15" s="1809">
        <v>1</v>
      </c>
    </row>
    <row r="16" spans="1:29" ht="228">
      <c r="A16" s="403"/>
      <c r="B16" s="63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56"/>
      <c r="Q17" s="1808"/>
      <c r="R17" s="772"/>
      <c r="S17" s="773"/>
      <c r="T17" s="772"/>
      <c r="U17" s="773"/>
      <c r="V17" s="772"/>
      <c r="W17" s="773"/>
      <c r="X17" s="1811"/>
      <c r="Y17" s="3256"/>
      <c r="Z17" s="1812"/>
      <c r="AA17" s="1809">
        <v>1</v>
      </c>
      <c r="AB17" s="1809">
        <v>1</v>
      </c>
      <c r="AC17" s="1809">
        <v>1</v>
      </c>
    </row>
    <row r="18" spans="1:29" ht="42.75">
      <c r="A18" s="403"/>
      <c r="B18" s="632" t="s">
        <v>2689</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56"/>
      <c r="Q19" s="1808"/>
      <c r="R19" s="772"/>
      <c r="S19" s="773"/>
      <c r="T19" s="772"/>
      <c r="U19" s="773"/>
      <c r="V19" s="772"/>
      <c r="W19" s="773"/>
      <c r="X19" s="1811"/>
      <c r="Y19" s="3256"/>
      <c r="Z19" s="1812"/>
      <c r="AA19" s="1809">
        <v>1</v>
      </c>
      <c r="AB19" s="1809">
        <v>1</v>
      </c>
      <c r="AC19" s="1809">
        <v>1</v>
      </c>
    </row>
    <row r="20" spans="1:29" ht="99.75">
      <c r="A20" s="403"/>
      <c r="B20" s="630" t="s">
        <v>2710</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56"/>
      <c r="Q21" s="1808"/>
      <c r="R21" s="772"/>
      <c r="S21" s="773"/>
      <c r="T21" s="772"/>
      <c r="U21" s="773"/>
      <c r="V21" s="772"/>
      <c r="W21" s="773"/>
      <c r="X21" s="1811"/>
      <c r="Y21" s="3256"/>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6"/>
      <c r="Q24" s="1808">
        <f t="shared" ref="Q24:Q36"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15">
      <c r="A26" s="651" t="s">
        <v>2563</v>
      </c>
      <c r="B26" s="69"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4"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0"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60"/>
      <c r="Q27" s="774" t="str">
        <f t="shared" si="11"/>
        <v>项目停车位配比</v>
      </c>
      <c r="R27" s="775" t="s">
        <v>17</v>
      </c>
      <c r="S27" s="776">
        <f t="shared" si="12"/>
        <v>100</v>
      </c>
      <c r="T27" s="775" t="s">
        <v>17</v>
      </c>
      <c r="U27" s="776">
        <f t="shared" si="13"/>
        <v>100</v>
      </c>
      <c r="V27" s="775" t="s">
        <v>17</v>
      </c>
      <c r="W27" s="776">
        <f t="shared" si="14"/>
        <v>100</v>
      </c>
      <c r="X27" s="777"/>
      <c r="Y27" s="3260"/>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60"/>
      <c r="Q28" s="1808" t="str">
        <f t="shared" si="11"/>
        <v>公共部分装修</v>
      </c>
      <c r="R28" s="772" t="s">
        <v>17</v>
      </c>
      <c r="S28" s="773">
        <f t="shared" si="12"/>
        <v>100</v>
      </c>
      <c r="T28" s="772" t="s">
        <v>17</v>
      </c>
      <c r="U28" s="773">
        <f t="shared" si="13"/>
        <v>100</v>
      </c>
      <c r="V28" s="772" t="s">
        <v>17</v>
      </c>
      <c r="W28" s="773">
        <f t="shared" si="14"/>
        <v>100</v>
      </c>
      <c r="X28" s="1811"/>
      <c r="Y28" s="3260"/>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60"/>
      <c r="Q29" s="1808" t="str">
        <f t="shared" si="11"/>
        <v>成新率</v>
      </c>
      <c r="R29" s="772" t="s">
        <v>17</v>
      </c>
      <c r="S29" s="773" t="e">
        <f t="shared" si="12"/>
        <v>#N/A</v>
      </c>
      <c r="T29" s="772" t="s">
        <v>17</v>
      </c>
      <c r="U29" s="773" t="e">
        <f t="shared" si="13"/>
        <v>#N/A</v>
      </c>
      <c r="V29" s="772" t="s">
        <v>17</v>
      </c>
      <c r="W29" s="773" t="e">
        <f t="shared" si="14"/>
        <v>#N/A</v>
      </c>
      <c r="X29" s="1811"/>
      <c r="Y29" s="3260"/>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60"/>
      <c r="Q30" s="1808" t="str">
        <f t="shared" si="11"/>
        <v>物业等级</v>
      </c>
      <c r="R30" s="772" t="s">
        <v>17</v>
      </c>
      <c r="S30" s="773">
        <f t="shared" si="12"/>
        <v>100</v>
      </c>
      <c r="T30" s="772" t="s">
        <v>17</v>
      </c>
      <c r="U30" s="773">
        <f t="shared" si="13"/>
        <v>100</v>
      </c>
      <c r="V30" s="772" t="s">
        <v>17</v>
      </c>
      <c r="W30" s="773">
        <f t="shared" si="14"/>
        <v>100</v>
      </c>
      <c r="X30" s="1811"/>
      <c r="Y30" s="3260"/>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60"/>
      <c r="Q31" s="1793" t="str">
        <f t="shared" si="11"/>
        <v>停车位面积</v>
      </c>
      <c r="R31" s="768" t="s">
        <v>17</v>
      </c>
      <c r="S31" s="769" t="e">
        <f t="shared" si="12"/>
        <v>#N/A</v>
      </c>
      <c r="T31" s="768" t="s">
        <v>17</v>
      </c>
      <c r="U31" s="769" t="e">
        <f t="shared" si="13"/>
        <v>#N/A</v>
      </c>
      <c r="V31" s="768" t="s">
        <v>17</v>
      </c>
      <c r="W31" s="769" t="e">
        <f t="shared" si="14"/>
        <v>#N/A</v>
      </c>
      <c r="X31" s="770"/>
      <c r="Y31" s="3260"/>
      <c r="Z31" s="55"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60" t="s">
        <v>2565</v>
      </c>
      <c r="Q32" s="1808" t="str">
        <f t="shared" si="11"/>
        <v>车位类型</v>
      </c>
      <c r="R32" s="772" t="s">
        <v>17</v>
      </c>
      <c r="S32" s="773">
        <f t="shared" si="12"/>
        <v>100</v>
      </c>
      <c r="T32" s="772" t="s">
        <v>17</v>
      </c>
      <c r="U32" s="773">
        <f t="shared" si="13"/>
        <v>100</v>
      </c>
      <c r="V32" s="772" t="s">
        <v>17</v>
      </c>
      <c r="W32" s="773">
        <f t="shared" si="14"/>
        <v>100</v>
      </c>
      <c r="X32" s="1811"/>
      <c r="Y32" s="3260"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60"/>
      <c r="Q33" s="1808" t="str">
        <f t="shared" si="11"/>
        <v>是否直接入户</v>
      </c>
      <c r="R33" s="772" t="s">
        <v>17</v>
      </c>
      <c r="S33" s="773">
        <f t="shared" si="12"/>
        <v>100</v>
      </c>
      <c r="T33" s="772" t="s">
        <v>17</v>
      </c>
      <c r="U33" s="773">
        <f t="shared" si="13"/>
        <v>100</v>
      </c>
      <c r="V33" s="772" t="s">
        <v>17</v>
      </c>
      <c r="W33" s="773">
        <f t="shared" si="14"/>
        <v>100</v>
      </c>
      <c r="X33" s="1811"/>
      <c r="Y33" s="326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60"/>
      <c r="Q35" s="774">
        <f t="shared" si="11"/>
        <v>111</v>
      </c>
      <c r="R35" s="775" t="s">
        <v>17</v>
      </c>
      <c r="S35" s="776">
        <f t="shared" si="12"/>
        <v>100</v>
      </c>
      <c r="T35" s="775" t="s">
        <v>17</v>
      </c>
      <c r="U35" s="776">
        <f t="shared" si="13"/>
        <v>100</v>
      </c>
      <c r="V35" s="775" t="s">
        <v>17</v>
      </c>
      <c r="W35" s="776">
        <f t="shared" si="14"/>
        <v>100</v>
      </c>
      <c r="X35" s="777"/>
      <c r="Y35" s="3260"/>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60"/>
      <c r="Q36" s="1808">
        <f t="shared" si="11"/>
        <v>111</v>
      </c>
      <c r="R36" s="772" t="s">
        <v>17</v>
      </c>
      <c r="S36" s="773">
        <f t="shared" si="12"/>
        <v>100</v>
      </c>
      <c r="T36" s="772" t="s">
        <v>17</v>
      </c>
      <c r="U36" s="773">
        <f t="shared" si="13"/>
        <v>100</v>
      </c>
      <c r="V36" s="772" t="s">
        <v>17</v>
      </c>
      <c r="W36" s="773">
        <f t="shared" si="14"/>
        <v>100</v>
      </c>
      <c r="X36" s="1811"/>
      <c r="Y36" s="3260"/>
      <c r="Z36" s="1812">
        <f t="shared" si="15"/>
        <v>111</v>
      </c>
      <c r="AA36" s="1809">
        <f t="shared" si="3"/>
        <v>1</v>
      </c>
      <c r="AB36" s="1809">
        <f t="shared" si="4"/>
        <v>1</v>
      </c>
      <c r="AC36" s="1809">
        <f t="shared" si="5"/>
        <v>1</v>
      </c>
    </row>
    <row r="37" spans="1:29" ht="15">
      <c r="A37" s="478" t="s">
        <v>2720</v>
      </c>
      <c r="B37" s="2691" t="s">
        <v>2721</v>
      </c>
      <c r="C37" s="1405" t="s">
        <v>1</v>
      </c>
      <c r="D37" s="1406"/>
      <c r="E37" s="1407"/>
      <c r="F37" s="1408"/>
      <c r="G37" s="1409"/>
      <c r="H37" s="1410"/>
      <c r="I37" s="1407"/>
      <c r="J37" s="1410"/>
      <c r="K37" s="618"/>
      <c r="L37" s="1141"/>
      <c r="M37" s="1142"/>
      <c r="N37" s="1129"/>
      <c r="O37" s="1142"/>
      <c r="P37" s="3253" t="str">
        <f>A37</f>
        <v>成交单价</v>
      </c>
      <c r="Q37" s="3253"/>
      <c r="R37" s="3254">
        <f>E37</f>
        <v>0</v>
      </c>
      <c r="S37" s="3254"/>
      <c r="T37" s="3254">
        <f>G37</f>
        <v>0</v>
      </c>
      <c r="U37" s="3254"/>
      <c r="V37" s="3254">
        <f>I37</f>
        <v>0</v>
      </c>
      <c r="W37" s="3254"/>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250" t="str">
        <f>A39</f>
        <v>估价对象XX用房的比较价值（楼面单价，元/平方米）</v>
      </c>
      <c r="Q39" s="3251"/>
      <c r="R39" s="3252" t="e">
        <f>IF(F1="售价",ROUND(AVERAGE(R38:V38),0),ROUND(AVERAGE(R38:V38),1))</f>
        <v>#DIV/0!</v>
      </c>
      <c r="S39" s="3252"/>
      <c r="T39" s="3252"/>
      <c r="U39" s="3252"/>
      <c r="V39" s="3252"/>
      <c r="W39" s="325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21" t="s">
        <v>2549</v>
      </c>
      <c r="Q7" s="3249"/>
      <c r="R7" s="768" t="s">
        <v>17</v>
      </c>
      <c r="S7" s="769">
        <f t="shared" ref="S7:S14" si="0">F7</f>
        <v>0</v>
      </c>
      <c r="T7" s="768" t="s">
        <v>17</v>
      </c>
      <c r="U7" s="769">
        <f t="shared" ref="U7:U14" si="1">H7</f>
        <v>0</v>
      </c>
      <c r="V7" s="768" t="s">
        <v>17</v>
      </c>
      <c r="W7" s="769">
        <f t="shared" ref="W7:W14" si="2">J7</f>
        <v>0</v>
      </c>
      <c r="X7" s="770"/>
      <c r="Y7" s="3221" t="s">
        <v>2549</v>
      </c>
      <c r="Z7" s="3222"/>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3" t="s">
        <v>2555</v>
      </c>
      <c r="Q9" s="1793" t="str">
        <f t="shared" ref="Q9:Q14" si="6">B9</f>
        <v>用途</v>
      </c>
      <c r="R9" s="768" t="s">
        <v>17</v>
      </c>
      <c r="S9" s="769">
        <f t="shared" si="0"/>
        <v>100</v>
      </c>
      <c r="T9" s="768" t="s">
        <v>17</v>
      </c>
      <c r="U9" s="769">
        <f t="shared" si="1"/>
        <v>100</v>
      </c>
      <c r="V9" s="768" t="s">
        <v>17</v>
      </c>
      <c r="W9" s="769">
        <f t="shared" si="2"/>
        <v>100</v>
      </c>
      <c r="X9" s="770"/>
      <c r="Y9" s="3095" t="s">
        <v>2556</v>
      </c>
      <c r="Z9" s="55"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3"/>
      <c r="Q11" s="1793">
        <f t="shared" si="6"/>
        <v>111</v>
      </c>
      <c r="R11" s="768" t="s">
        <v>17</v>
      </c>
      <c r="S11" s="769">
        <f t="shared" si="0"/>
        <v>100</v>
      </c>
      <c r="T11" s="768" t="s">
        <v>17</v>
      </c>
      <c r="U11" s="769">
        <f t="shared" si="1"/>
        <v>100</v>
      </c>
      <c r="V11" s="768" t="s">
        <v>17</v>
      </c>
      <c r="W11" s="769">
        <f t="shared" si="2"/>
        <v>100</v>
      </c>
      <c r="X11" s="770"/>
      <c r="Y11" s="3095"/>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28.25">
      <c r="A14" s="439" t="s">
        <v>2559</v>
      </c>
      <c r="B14" s="6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5" t="s">
        <v>2560</v>
      </c>
      <c r="Q14" s="1808" t="str">
        <f t="shared" si="6"/>
        <v>交通便捷度</v>
      </c>
      <c r="R14" s="772" t="s">
        <v>17</v>
      </c>
      <c r="S14" s="773">
        <f t="shared" si="0"/>
        <v>100</v>
      </c>
      <c r="T14" s="772" t="s">
        <v>17</v>
      </c>
      <c r="U14" s="773">
        <f t="shared" si="1"/>
        <v>100</v>
      </c>
      <c r="V14" s="772" t="s">
        <v>17</v>
      </c>
      <c r="W14" s="773">
        <f t="shared" si="2"/>
        <v>100</v>
      </c>
      <c r="X14" s="1811"/>
      <c r="Y14" s="3255"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56"/>
      <c r="Q15" s="1808"/>
      <c r="R15" s="772"/>
      <c r="S15" s="773"/>
      <c r="T15" s="772"/>
      <c r="U15" s="773"/>
      <c r="V15" s="772"/>
      <c r="W15" s="773"/>
      <c r="X15" s="1811"/>
      <c r="Y15" s="3256"/>
      <c r="Z15" s="1812"/>
      <c r="AA15" s="1809">
        <v>1</v>
      </c>
      <c r="AB15" s="1809">
        <v>1</v>
      </c>
      <c r="AC15" s="1809">
        <v>1</v>
      </c>
    </row>
    <row r="16" spans="1:29" ht="228">
      <c r="A16" s="427"/>
      <c r="B16" s="45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56"/>
      <c r="Q17" s="1808"/>
      <c r="R17" s="772"/>
      <c r="S17" s="773"/>
      <c r="T17" s="772"/>
      <c r="U17" s="773"/>
      <c r="V17" s="772"/>
      <c r="W17" s="773"/>
      <c r="X17" s="1811"/>
      <c r="Y17" s="3256"/>
      <c r="Z17" s="1812"/>
      <c r="AA17" s="1809">
        <v>1</v>
      </c>
      <c r="AB17" s="1809">
        <v>1</v>
      </c>
      <c r="AC17" s="1809">
        <v>1</v>
      </c>
    </row>
    <row r="18" spans="1:29" ht="42.75">
      <c r="A18" s="427"/>
      <c r="B18" s="1382" t="s">
        <v>2689</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56"/>
      <c r="Q19" s="1808"/>
      <c r="R19" s="772"/>
      <c r="S19" s="773"/>
      <c r="T19" s="772"/>
      <c r="U19" s="773"/>
      <c r="V19" s="772"/>
      <c r="W19" s="773"/>
      <c r="X19" s="1811"/>
      <c r="Y19" s="3256"/>
      <c r="Z19" s="1812"/>
      <c r="AA19" s="1809">
        <v>1</v>
      </c>
      <c r="AB19" s="1809">
        <v>1</v>
      </c>
      <c r="AC19" s="1809">
        <v>1</v>
      </c>
    </row>
    <row r="20" spans="1:29" ht="99.75">
      <c r="A20" s="427"/>
      <c r="B20" s="450" t="s">
        <v>2710</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56"/>
      <c r="Q21" s="1808"/>
      <c r="R21" s="772"/>
      <c r="S21" s="773"/>
      <c r="T21" s="772"/>
      <c r="U21" s="773"/>
      <c r="V21" s="772"/>
      <c r="W21" s="773"/>
      <c r="X21" s="1811"/>
      <c r="Y21" s="3256"/>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6"/>
      <c r="Q24" s="1808">
        <f t="shared" ref="Q24:Q34"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15">
      <c r="A26" s="465" t="s">
        <v>2563</v>
      </c>
      <c r="B26" s="70" t="s">
        <v>2714</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34"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0"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60"/>
      <c r="Q27" s="774" t="str">
        <f t="shared" si="11"/>
        <v>成新率</v>
      </c>
      <c r="R27" s="775" t="s">
        <v>17</v>
      </c>
      <c r="S27" s="776" t="e">
        <f t="shared" si="12"/>
        <v>#N/A</v>
      </c>
      <c r="T27" s="775" t="s">
        <v>17</v>
      </c>
      <c r="U27" s="776" t="e">
        <f t="shared" si="13"/>
        <v>#N/A</v>
      </c>
      <c r="V27" s="775" t="s">
        <v>17</v>
      </c>
      <c r="W27" s="776" t="e">
        <f t="shared" si="14"/>
        <v>#N/A</v>
      </c>
      <c r="X27" s="777"/>
      <c r="Y27" s="3260"/>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60"/>
      <c r="Q28" s="1808" t="str">
        <f t="shared" si="11"/>
        <v>物业等级</v>
      </c>
      <c r="R28" s="772" t="s">
        <v>17</v>
      </c>
      <c r="S28" s="773">
        <f t="shared" si="12"/>
        <v>100</v>
      </c>
      <c r="T28" s="772" t="s">
        <v>17</v>
      </c>
      <c r="U28" s="773">
        <f t="shared" si="13"/>
        <v>100</v>
      </c>
      <c r="V28" s="772" t="s">
        <v>17</v>
      </c>
      <c r="W28" s="773">
        <f t="shared" si="14"/>
        <v>100</v>
      </c>
      <c r="X28" s="1811"/>
      <c r="Y28" s="3260"/>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60"/>
      <c r="Q29" s="1808" t="str">
        <f t="shared" si="11"/>
        <v>有无电梯</v>
      </c>
      <c r="R29" s="772" t="s">
        <v>17</v>
      </c>
      <c r="S29" s="773">
        <f t="shared" si="12"/>
        <v>100</v>
      </c>
      <c r="T29" s="772" t="s">
        <v>17</v>
      </c>
      <c r="U29" s="773">
        <f t="shared" si="13"/>
        <v>100</v>
      </c>
      <c r="V29" s="772" t="s">
        <v>17</v>
      </c>
      <c r="W29" s="773">
        <f t="shared" si="14"/>
        <v>100</v>
      </c>
      <c r="X29" s="1811"/>
      <c r="Y29" s="3260"/>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60"/>
      <c r="Q30" s="1808" t="str">
        <f t="shared" si="11"/>
        <v>建筑面积</v>
      </c>
      <c r="R30" s="772" t="s">
        <v>17</v>
      </c>
      <c r="S30" s="773" t="e">
        <f t="shared" si="12"/>
        <v>#N/A</v>
      </c>
      <c r="T30" s="772" t="s">
        <v>17</v>
      </c>
      <c r="U30" s="773" t="e">
        <f t="shared" si="13"/>
        <v>#N/A</v>
      </c>
      <c r="V30" s="772" t="s">
        <v>17</v>
      </c>
      <c r="W30" s="773" t="e">
        <f t="shared" si="14"/>
        <v>#N/A</v>
      </c>
      <c r="X30" s="1811"/>
      <c r="Y30" s="3260"/>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60"/>
      <c r="Q31" s="1793" t="str">
        <f t="shared" si="11"/>
        <v>是否封闭</v>
      </c>
      <c r="R31" s="768" t="s">
        <v>17</v>
      </c>
      <c r="S31" s="769">
        <f t="shared" si="12"/>
        <v>100</v>
      </c>
      <c r="T31" s="768" t="s">
        <v>17</v>
      </c>
      <c r="U31" s="769">
        <f t="shared" si="13"/>
        <v>100</v>
      </c>
      <c r="V31" s="768" t="s">
        <v>17</v>
      </c>
      <c r="W31" s="769">
        <f t="shared" si="14"/>
        <v>100</v>
      </c>
      <c r="X31" s="770"/>
      <c r="Y31" s="3260"/>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60" t="s">
        <v>2565</v>
      </c>
      <c r="Q32" s="1808">
        <f t="shared" si="11"/>
        <v>111</v>
      </c>
      <c r="R32" s="772" t="s">
        <v>17</v>
      </c>
      <c r="S32" s="773">
        <f t="shared" si="12"/>
        <v>100</v>
      </c>
      <c r="T32" s="772" t="s">
        <v>17</v>
      </c>
      <c r="U32" s="773">
        <f t="shared" si="13"/>
        <v>100</v>
      </c>
      <c r="V32" s="772" t="s">
        <v>17</v>
      </c>
      <c r="W32" s="773">
        <f t="shared" si="14"/>
        <v>100</v>
      </c>
      <c r="X32" s="1811"/>
      <c r="Y32" s="3260" t="s">
        <v>2565</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60"/>
      <c r="Q33" s="1808">
        <f t="shared" si="11"/>
        <v>111</v>
      </c>
      <c r="R33" s="772" t="s">
        <v>17</v>
      </c>
      <c r="S33" s="773">
        <f t="shared" si="12"/>
        <v>100</v>
      </c>
      <c r="T33" s="772" t="s">
        <v>17</v>
      </c>
      <c r="U33" s="773">
        <f t="shared" si="13"/>
        <v>100</v>
      </c>
      <c r="V33" s="772" t="s">
        <v>17</v>
      </c>
      <c r="W33" s="773">
        <f t="shared" si="14"/>
        <v>100</v>
      </c>
      <c r="X33" s="1811"/>
      <c r="Y33" s="3260"/>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253" t="str">
        <f>A35</f>
        <v>成交单价（元/平方米）</v>
      </c>
      <c r="Q35" s="3253"/>
      <c r="R35" s="3254">
        <f>E35</f>
        <v>0</v>
      </c>
      <c r="S35" s="3254"/>
      <c r="T35" s="3254">
        <f>G35</f>
        <v>0</v>
      </c>
      <c r="U35" s="3254"/>
      <c r="V35" s="3254">
        <f>I35</f>
        <v>0</v>
      </c>
      <c r="W35" s="3254"/>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250" t="str">
        <f>A37</f>
        <v>估价对象XX用房的比较价值（楼面单价，元/平方米）</v>
      </c>
      <c r="Q37" s="3251"/>
      <c r="R37" s="3252" t="e">
        <f>IF(F1="售价",ROUND(AVERAGE(R36:V36),0),ROUND(AVERAGE(R36:V36),1))</f>
        <v>#DIV/0!</v>
      </c>
      <c r="S37" s="3252"/>
      <c r="T37" s="3252"/>
      <c r="U37" s="3252"/>
      <c r="V37" s="3252"/>
      <c r="W37" s="325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30"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30"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30" s="116" customFormat="1" ht="15.75" thickBot="1">
      <c r="A7" s="407" t="s">
        <v>2548</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5" si="3">D8/F8</f>
        <v>#DIV/0!</v>
      </c>
      <c r="AB8" s="771" t="e">
        <f t="shared" ref="AB8:AB45" si="4">D8/H8</f>
        <v>#DIV/0!</v>
      </c>
      <c r="AC8" s="771" t="e">
        <f t="shared" ref="AC8:AC45" si="5">D8/J8</f>
        <v>#DIV/0!</v>
      </c>
    </row>
    <row r="9" spans="1:30" s="116" customFormat="1">
      <c r="A9" s="414" t="s">
        <v>2553</v>
      </c>
      <c r="B9" s="70" t="s">
        <v>2554</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121</v>
      </c>
      <c r="G10" s="462"/>
      <c r="H10" s="135">
        <f>ROUND(100/'数据-取费表'!G16,0)</f>
        <v>121</v>
      </c>
      <c r="I10" s="462"/>
      <c r="J10" s="135">
        <f>ROUND(100/'数据-取费表'!G16,0)</f>
        <v>121</v>
      </c>
      <c r="K10" s="671"/>
      <c r="L10" s="1133"/>
      <c r="M10" s="1134"/>
      <c r="N10" s="1134"/>
      <c r="O10" s="1135"/>
      <c r="P10" s="3253"/>
      <c r="Q10" s="1793" t="str">
        <f t="shared" si="6"/>
        <v>土地使用年限（年）</v>
      </c>
      <c r="R10" s="768" t="s">
        <v>17</v>
      </c>
      <c r="S10" s="769">
        <f t="shared" si="0"/>
        <v>121</v>
      </c>
      <c r="T10" s="768" t="s">
        <v>17</v>
      </c>
      <c r="U10" s="769">
        <f t="shared" si="1"/>
        <v>121</v>
      </c>
      <c r="V10" s="768" t="s">
        <v>17</v>
      </c>
      <c r="W10" s="769">
        <f t="shared" si="2"/>
        <v>121</v>
      </c>
      <c r="X10" s="770"/>
      <c r="Y10" s="3095"/>
      <c r="Z10" s="55" t="str">
        <f t="shared" si="7"/>
        <v>土地使用年限（年）</v>
      </c>
      <c r="AA10" s="771">
        <f t="shared" si="3"/>
        <v>0.82644628099173556</v>
      </c>
      <c r="AB10" s="771">
        <f t="shared" si="4"/>
        <v>0.82644628099173556</v>
      </c>
      <c r="AC10" s="771">
        <f t="shared" si="5"/>
        <v>0.82644628099173556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30" s="116" customFormat="1" ht="15">
      <c r="A12" s="430"/>
      <c r="B12" s="2596"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3"/>
      <c r="Q12" s="1793" t="str">
        <f t="shared" si="6"/>
        <v>配建</v>
      </c>
      <c r="R12" s="768" t="s">
        <v>17</v>
      </c>
      <c r="S12" s="769">
        <f t="shared" si="0"/>
        <v>100</v>
      </c>
      <c r="T12" s="768" t="s">
        <v>17</v>
      </c>
      <c r="U12" s="769">
        <f t="shared" si="1"/>
        <v>100</v>
      </c>
      <c r="V12" s="768" t="s">
        <v>17</v>
      </c>
      <c r="W12" s="769">
        <f t="shared" si="2"/>
        <v>100</v>
      </c>
      <c r="X12" s="770"/>
      <c r="Y12" s="3095"/>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D14/F14</f>
        <v>1</v>
      </c>
      <c r="AB14" s="771">
        <f>D14/H14</f>
        <v>1</v>
      </c>
      <c r="AC14" s="771">
        <f>D14/J14</f>
        <v>1</v>
      </c>
    </row>
    <row r="15" spans="1:30" ht="15">
      <c r="A15" s="439" t="s">
        <v>2559</v>
      </c>
      <c r="B15" s="68" t="s">
        <v>2088</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5" t="s">
        <v>2560</v>
      </c>
      <c r="Q15" s="1808" t="str">
        <f t="shared" si="6"/>
        <v>居住社区成熟度</v>
      </c>
      <c r="R15" s="772" t="s">
        <v>17</v>
      </c>
      <c r="S15" s="773">
        <f t="shared" si="0"/>
        <v>100</v>
      </c>
      <c r="T15" s="772" t="s">
        <v>17</v>
      </c>
      <c r="U15" s="773">
        <f t="shared" si="1"/>
        <v>100</v>
      </c>
      <c r="V15" s="772" t="s">
        <v>17</v>
      </c>
      <c r="W15" s="773">
        <f t="shared" si="2"/>
        <v>100</v>
      </c>
      <c r="X15" s="1811"/>
      <c r="Y15" s="3255" t="s">
        <v>2560</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256"/>
      <c r="Q16" s="1808"/>
      <c r="R16" s="772"/>
      <c r="S16" s="773"/>
      <c r="T16" s="772"/>
      <c r="U16" s="773"/>
      <c r="V16" s="772"/>
      <c r="W16" s="773"/>
      <c r="X16" s="1811"/>
      <c r="Y16" s="3256"/>
      <c r="Z16" s="1812"/>
      <c r="AA16" s="1809">
        <v>1</v>
      </c>
      <c r="AB16" s="1809">
        <v>1</v>
      </c>
      <c r="AC16" s="1809">
        <v>1</v>
      </c>
    </row>
    <row r="17" spans="1:29" ht="71.25">
      <c r="A17" s="427"/>
      <c r="B17" s="450" t="s">
        <v>2653</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56"/>
      <c r="Q17" s="1808" t="str">
        <f>B17</f>
        <v>商业繁华度</v>
      </c>
      <c r="R17" s="772" t="s">
        <v>17</v>
      </c>
      <c r="S17" s="773">
        <f>F17</f>
        <v>100</v>
      </c>
      <c r="T17" s="772" t="s">
        <v>17</v>
      </c>
      <c r="U17" s="773">
        <f>H17</f>
        <v>100</v>
      </c>
      <c r="V17" s="772" t="s">
        <v>17</v>
      </c>
      <c r="W17" s="773">
        <f>J17</f>
        <v>100</v>
      </c>
      <c r="X17" s="1811"/>
      <c r="Y17" s="3256"/>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256"/>
      <c r="Q18" s="1808"/>
      <c r="R18" s="772"/>
      <c r="S18" s="773"/>
      <c r="T18" s="772"/>
      <c r="U18" s="773"/>
      <c r="V18" s="772"/>
      <c r="W18" s="773"/>
      <c r="X18" s="1811"/>
      <c r="Y18" s="3256"/>
      <c r="Z18" s="1812"/>
      <c r="AA18" s="1809">
        <v>1</v>
      </c>
      <c r="AB18" s="1809">
        <v>1</v>
      </c>
      <c r="AC18" s="1809">
        <v>1</v>
      </c>
    </row>
    <row r="19" spans="1:29" ht="15">
      <c r="A19" s="427"/>
      <c r="B19" s="450" t="s">
        <v>2687</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6"/>
      <c r="Q19" s="1808" t="str">
        <f>B19</f>
        <v>办公集聚程度</v>
      </c>
      <c r="R19" s="772" t="s">
        <v>17</v>
      </c>
      <c r="S19" s="773">
        <f>F19</f>
        <v>100</v>
      </c>
      <c r="T19" s="772" t="s">
        <v>17</v>
      </c>
      <c r="U19" s="773">
        <f>H19</f>
        <v>100</v>
      </c>
      <c r="V19" s="772" t="s">
        <v>17</v>
      </c>
      <c r="W19" s="773">
        <f>J19</f>
        <v>100</v>
      </c>
      <c r="X19" s="1811"/>
      <c r="Y19" s="3256"/>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256"/>
      <c r="Q20" s="1808"/>
      <c r="R20" s="772"/>
      <c r="S20" s="773"/>
      <c r="T20" s="772"/>
      <c r="U20" s="773"/>
      <c r="V20" s="772"/>
      <c r="W20" s="773"/>
      <c r="X20" s="1811"/>
      <c r="Y20" s="3256"/>
      <c r="Z20" s="1812"/>
      <c r="AA20" s="1809">
        <v>1</v>
      </c>
      <c r="AB20" s="1809">
        <v>1</v>
      </c>
      <c r="AC20" s="1809">
        <v>1</v>
      </c>
    </row>
    <row r="21" spans="1:29" ht="128.25">
      <c r="A21" s="427"/>
      <c r="B21" s="450" t="s">
        <v>2709</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56"/>
      <c r="Q21" s="1808" t="str">
        <f>B21</f>
        <v>交通便捷度</v>
      </c>
      <c r="R21" s="772" t="s">
        <v>17</v>
      </c>
      <c r="S21" s="773">
        <f>F21</f>
        <v>100</v>
      </c>
      <c r="T21" s="772" t="s">
        <v>17</v>
      </c>
      <c r="U21" s="773">
        <f>H21</f>
        <v>100</v>
      </c>
      <c r="V21" s="772" t="s">
        <v>17</v>
      </c>
      <c r="W21" s="773">
        <f>J21</f>
        <v>100</v>
      </c>
      <c r="X21" s="1811"/>
      <c r="Y21" s="3256"/>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256"/>
      <c r="Q22" s="1808"/>
      <c r="R22" s="772"/>
      <c r="S22" s="773"/>
      <c r="T22" s="772"/>
      <c r="U22" s="773"/>
      <c r="V22" s="772"/>
      <c r="W22" s="773"/>
      <c r="X22" s="1811"/>
      <c r="Y22" s="3256"/>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56"/>
      <c r="Q23" s="1808" t="str">
        <f t="shared" ref="Q23:Q37" si="8">B23</f>
        <v>区域土地利用方向</v>
      </c>
      <c r="R23" s="772" t="s">
        <v>17</v>
      </c>
      <c r="S23" s="773">
        <f>F23</f>
        <v>100</v>
      </c>
      <c r="T23" s="772" t="s">
        <v>17</v>
      </c>
      <c r="U23" s="773">
        <f>H23</f>
        <v>100</v>
      </c>
      <c r="V23" s="772" t="s">
        <v>17</v>
      </c>
      <c r="W23" s="773">
        <f>J23</f>
        <v>100</v>
      </c>
      <c r="X23" s="1811"/>
      <c r="Y23" s="3256"/>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256"/>
      <c r="Q24" s="1808"/>
      <c r="R24" s="772"/>
      <c r="S24" s="773"/>
      <c r="T24" s="772"/>
      <c r="U24" s="773"/>
      <c r="V24" s="772"/>
      <c r="W24" s="773"/>
      <c r="X24" s="1811"/>
      <c r="Y24" s="3256"/>
      <c r="Z24" s="1812"/>
      <c r="AA24" s="1809"/>
      <c r="AB24" s="1809"/>
      <c r="AC24" s="1809"/>
    </row>
    <row r="25" spans="1:29" ht="99.75">
      <c r="A25" s="403"/>
      <c r="B25" s="1382" t="s">
        <v>2749</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56"/>
      <c r="Q25" s="1808" t="str">
        <f t="shared" si="8"/>
        <v>自然及人文环境状况</v>
      </c>
      <c r="R25" s="772" t="s">
        <v>17</v>
      </c>
      <c r="S25" s="773">
        <f>F25</f>
        <v>100</v>
      </c>
      <c r="T25" s="772" t="s">
        <v>17</v>
      </c>
      <c r="U25" s="773">
        <f>H25</f>
        <v>100</v>
      </c>
      <c r="V25" s="772" t="s">
        <v>17</v>
      </c>
      <c r="W25" s="773">
        <f>J25</f>
        <v>100</v>
      </c>
      <c r="X25" s="1811"/>
      <c r="Y25" s="3256"/>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256"/>
      <c r="Q26" s="1808"/>
      <c r="R26" s="772"/>
      <c r="S26" s="773"/>
      <c r="T26" s="772"/>
      <c r="U26" s="773"/>
      <c r="V26" s="772"/>
      <c r="W26" s="773"/>
      <c r="X26" s="1811"/>
      <c r="Y26" s="3256"/>
      <c r="Z26" s="1812"/>
      <c r="AA26" s="1809">
        <v>1</v>
      </c>
      <c r="AB26" s="1809">
        <v>1</v>
      </c>
      <c r="AC26" s="1809">
        <v>1</v>
      </c>
    </row>
    <row r="27" spans="1:29" s="116" customFormat="1" ht="228">
      <c r="A27" s="648"/>
      <c r="B27" s="1382" t="s">
        <v>2654</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56"/>
      <c r="Q27" s="1793" t="str">
        <f t="shared" si="8"/>
        <v>公共配套设施</v>
      </c>
      <c r="R27" s="768" t="s">
        <v>17</v>
      </c>
      <c r="S27" s="769">
        <f>F27</f>
        <v>100</v>
      </c>
      <c r="T27" s="768" t="s">
        <v>17</v>
      </c>
      <c r="U27" s="769">
        <f>H27</f>
        <v>100</v>
      </c>
      <c r="V27" s="768" t="s">
        <v>17</v>
      </c>
      <c r="W27" s="769">
        <f>J27</f>
        <v>100</v>
      </c>
      <c r="X27" s="770"/>
      <c r="Y27" s="3256"/>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256"/>
      <c r="Q28" s="1793"/>
      <c r="R28" s="768"/>
      <c r="S28" s="769"/>
      <c r="T28" s="768"/>
      <c r="U28" s="769"/>
      <c r="V28" s="768"/>
      <c r="W28" s="769"/>
      <c r="X28" s="770"/>
      <c r="Y28" s="3256"/>
      <c r="Z28" s="55"/>
      <c r="AA28" s="1809">
        <v>1</v>
      </c>
      <c r="AB28" s="1809">
        <v>1</v>
      </c>
      <c r="AC28" s="1809">
        <v>1</v>
      </c>
    </row>
    <row r="29" spans="1:29" s="116" customFormat="1" ht="42.75">
      <c r="A29" s="648"/>
      <c r="B29" s="1382" t="s">
        <v>2655</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56"/>
      <c r="Q29" s="1793" t="str">
        <f t="shared" ref="Q29" si="9">B29</f>
        <v>基础设施水平</v>
      </c>
      <c r="R29" s="768" t="s">
        <v>17</v>
      </c>
      <c r="S29" s="769">
        <f>F29</f>
        <v>100</v>
      </c>
      <c r="T29" s="768" t="s">
        <v>17</v>
      </c>
      <c r="U29" s="769">
        <f>H29</f>
        <v>100</v>
      </c>
      <c r="V29" s="768" t="s">
        <v>17</v>
      </c>
      <c r="W29" s="769">
        <f>J29</f>
        <v>100</v>
      </c>
      <c r="X29" s="770"/>
      <c r="Y29" s="3256"/>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56"/>
      <c r="Q30" s="1793"/>
      <c r="R30" s="768"/>
      <c r="S30" s="769"/>
      <c r="T30" s="768"/>
      <c r="U30" s="769"/>
      <c r="V30" s="768"/>
      <c r="W30" s="769"/>
      <c r="X30" s="770"/>
      <c r="Y30" s="3256"/>
      <c r="Z30" s="55"/>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6"/>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56"/>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6"/>
      <c r="Q32" s="1808" t="str">
        <f t="shared" si="8"/>
        <v>毗邻道路的类型与等级</v>
      </c>
      <c r="R32" s="772" t="s">
        <v>17</v>
      </c>
      <c r="S32" s="773">
        <f t="shared" si="10"/>
        <v>100</v>
      </c>
      <c r="T32" s="772" t="s">
        <v>17</v>
      </c>
      <c r="U32" s="773">
        <f t="shared" si="11"/>
        <v>100</v>
      </c>
      <c r="V32" s="772" t="s">
        <v>17</v>
      </c>
      <c r="W32" s="773">
        <f t="shared" si="12"/>
        <v>100</v>
      </c>
      <c r="X32" s="1811"/>
      <c r="Y32" s="3256"/>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256"/>
      <c r="Q33" s="1808"/>
      <c r="R33" s="772"/>
      <c r="S33" s="773"/>
      <c r="T33" s="772"/>
      <c r="U33" s="773"/>
      <c r="V33" s="772"/>
      <c r="W33" s="773"/>
      <c r="X33" s="1811"/>
      <c r="Y33" s="3256"/>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6"/>
      <c r="Q34" s="1808" t="str">
        <f t="shared" si="8"/>
        <v>土地级别</v>
      </c>
      <c r="R34" s="772" t="s">
        <v>17</v>
      </c>
      <c r="S34" s="773">
        <f t="shared" si="10"/>
        <v>100</v>
      </c>
      <c r="T34" s="772" t="s">
        <v>17</v>
      </c>
      <c r="U34" s="773">
        <f t="shared" si="11"/>
        <v>100</v>
      </c>
      <c r="V34" s="772" t="s">
        <v>17</v>
      </c>
      <c r="W34" s="773">
        <f t="shared" si="12"/>
        <v>100</v>
      </c>
      <c r="X34" s="1811"/>
      <c r="Y34" s="3256"/>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6"/>
      <c r="Q35" s="1808">
        <f t="shared" si="8"/>
        <v>111</v>
      </c>
      <c r="R35" s="772" t="s">
        <v>17</v>
      </c>
      <c r="S35" s="773">
        <f t="shared" si="10"/>
        <v>100</v>
      </c>
      <c r="T35" s="772" t="s">
        <v>17</v>
      </c>
      <c r="U35" s="773">
        <f t="shared" si="11"/>
        <v>100</v>
      </c>
      <c r="V35" s="772" t="s">
        <v>17</v>
      </c>
      <c r="W35" s="773">
        <f t="shared" si="12"/>
        <v>100</v>
      </c>
      <c r="X35" s="1811"/>
      <c r="Y35" s="3256"/>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4" t="s">
        <v>2565</v>
      </c>
      <c r="Q36" s="1808">
        <f t="shared" si="8"/>
        <v>111</v>
      </c>
      <c r="R36" s="772" t="s">
        <v>17</v>
      </c>
      <c r="S36" s="773">
        <f t="shared" si="10"/>
        <v>100</v>
      </c>
      <c r="T36" s="772" t="s">
        <v>17</v>
      </c>
      <c r="U36" s="773">
        <f t="shared" si="11"/>
        <v>100</v>
      </c>
      <c r="V36" s="772" t="s">
        <v>17</v>
      </c>
      <c r="W36" s="773">
        <f t="shared" si="12"/>
        <v>100</v>
      </c>
      <c r="X36" s="1811"/>
      <c r="Y36" s="3260"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60"/>
      <c r="Q37" s="1808">
        <f t="shared" si="8"/>
        <v>111</v>
      </c>
      <c r="R37" s="775" t="s">
        <v>17</v>
      </c>
      <c r="S37" s="776">
        <f t="shared" si="10"/>
        <v>100</v>
      </c>
      <c r="T37" s="775" t="s">
        <v>17</v>
      </c>
      <c r="U37" s="776">
        <f t="shared" si="11"/>
        <v>100</v>
      </c>
      <c r="V37" s="775" t="s">
        <v>17</v>
      </c>
      <c r="W37" s="776">
        <f t="shared" si="12"/>
        <v>100</v>
      </c>
      <c r="X37" s="777"/>
      <c r="Y37" s="3260"/>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60"/>
      <c r="Q38" s="1808" t="str">
        <f>B38</f>
        <v>宗地面积</v>
      </c>
      <c r="R38" s="772" t="s">
        <v>17</v>
      </c>
      <c r="S38" s="773" t="e">
        <f t="shared" si="10"/>
        <v>#N/A</v>
      </c>
      <c r="T38" s="772" t="s">
        <v>17</v>
      </c>
      <c r="U38" s="773" t="e">
        <f t="shared" si="11"/>
        <v>#N/A</v>
      </c>
      <c r="V38" s="772" t="s">
        <v>17</v>
      </c>
      <c r="W38" s="773" t="e">
        <f t="shared" si="12"/>
        <v>#N/A</v>
      </c>
      <c r="X38" s="1811"/>
      <c r="Y38" s="3260"/>
      <c r="Z38" s="1812" t="str">
        <f t="shared" si="13"/>
        <v>宗地面积</v>
      </c>
      <c r="AA38" s="1809" t="e">
        <f t="shared" si="3"/>
        <v>#N/A</v>
      </c>
      <c r="AB38" s="1809" t="e">
        <f t="shared" si="4"/>
        <v>#N/A</v>
      </c>
      <c r="AC38" s="1809" t="e">
        <f t="shared" si="5"/>
        <v>#N/A</v>
      </c>
    </row>
    <row r="39" spans="1:29" ht="15">
      <c r="A39" s="471"/>
      <c r="B39" s="421" t="s">
        <v>2752</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260"/>
      <c r="Q39" s="1808" t="str">
        <f t="shared" ref="Q39:Q45" si="14">B39</f>
        <v>宗地形状</v>
      </c>
      <c r="R39" s="772" t="s">
        <v>17</v>
      </c>
      <c r="S39" s="773">
        <f t="shared" si="10"/>
        <v>100</v>
      </c>
      <c r="T39" s="772" t="s">
        <v>17</v>
      </c>
      <c r="U39" s="773">
        <f t="shared" si="11"/>
        <v>100</v>
      </c>
      <c r="V39" s="772" t="s">
        <v>17</v>
      </c>
      <c r="W39" s="773">
        <f t="shared" si="12"/>
        <v>100</v>
      </c>
      <c r="X39" s="1811"/>
      <c r="Y39" s="3260"/>
      <c r="Z39" s="1812" t="str">
        <f t="shared" si="13"/>
        <v>宗地形状</v>
      </c>
      <c r="AA39" s="1809">
        <f t="shared" si="3"/>
        <v>1</v>
      </c>
      <c r="AB39" s="1809">
        <f t="shared" si="4"/>
        <v>1</v>
      </c>
      <c r="AC39" s="1809">
        <f t="shared" si="5"/>
        <v>1</v>
      </c>
    </row>
    <row r="40" spans="1:29" ht="15">
      <c r="A40" s="471"/>
      <c r="B40" s="421" t="s">
        <v>2753</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60"/>
      <c r="Q40" s="1808" t="str">
        <f t="shared" si="14"/>
        <v>临街宽度及深度</v>
      </c>
      <c r="R40" s="772" t="s">
        <v>17</v>
      </c>
      <c r="S40" s="773">
        <f t="shared" si="10"/>
        <v>100</v>
      </c>
      <c r="T40" s="772" t="s">
        <v>17</v>
      </c>
      <c r="U40" s="773">
        <f t="shared" si="11"/>
        <v>100</v>
      </c>
      <c r="V40" s="772" t="s">
        <v>17</v>
      </c>
      <c r="W40" s="773">
        <f t="shared" si="12"/>
        <v>100</v>
      </c>
      <c r="X40" s="1811"/>
      <c r="Y40" s="3260"/>
      <c r="Z40" s="1812" t="str">
        <f t="shared" si="13"/>
        <v>临街宽度及深度</v>
      </c>
      <c r="AA40" s="1809">
        <f t="shared" si="3"/>
        <v>1</v>
      </c>
      <c r="AB40" s="1809">
        <f t="shared" si="4"/>
        <v>1</v>
      </c>
      <c r="AC40" s="1809">
        <f t="shared" si="5"/>
        <v>1</v>
      </c>
    </row>
    <row r="41" spans="1:29" s="116" customFormat="1" ht="15">
      <c r="A41" s="472"/>
      <c r="B41" s="421" t="s">
        <v>2754</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60"/>
      <c r="Q41" s="1808" t="str">
        <f t="shared" si="14"/>
        <v>宗地开发程度</v>
      </c>
      <c r="R41" s="768" t="s">
        <v>17</v>
      </c>
      <c r="S41" s="769">
        <f t="shared" si="10"/>
        <v>100</v>
      </c>
      <c r="T41" s="768" t="s">
        <v>17</v>
      </c>
      <c r="U41" s="769">
        <f t="shared" si="11"/>
        <v>100</v>
      </c>
      <c r="V41" s="768" t="s">
        <v>17</v>
      </c>
      <c r="W41" s="769">
        <f t="shared" si="12"/>
        <v>100</v>
      </c>
      <c r="X41" s="770"/>
      <c r="Y41" s="3260"/>
      <c r="Z41" s="55" t="str">
        <f t="shared" si="13"/>
        <v>宗地开发程度</v>
      </c>
      <c r="AA41" s="771">
        <f t="shared" si="3"/>
        <v>1</v>
      </c>
      <c r="AB41" s="771">
        <f t="shared" si="4"/>
        <v>1</v>
      </c>
      <c r="AC41" s="771">
        <f t="shared" si="5"/>
        <v>1</v>
      </c>
    </row>
    <row r="42" spans="1:29" ht="15">
      <c r="A42" s="471"/>
      <c r="B42" s="421" t="s">
        <v>2755</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60" t="s">
        <v>2565</v>
      </c>
      <c r="Q42" s="1808" t="str">
        <f t="shared" si="14"/>
        <v>工程地质条件</v>
      </c>
      <c r="R42" s="772" t="s">
        <v>17</v>
      </c>
      <c r="S42" s="773">
        <f t="shared" si="10"/>
        <v>100</v>
      </c>
      <c r="T42" s="772" t="s">
        <v>17</v>
      </c>
      <c r="U42" s="773">
        <f t="shared" si="11"/>
        <v>100</v>
      </c>
      <c r="V42" s="772" t="s">
        <v>17</v>
      </c>
      <c r="W42" s="773">
        <f t="shared" si="12"/>
        <v>100</v>
      </c>
      <c r="X42" s="1811"/>
      <c r="Y42" s="3260"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60"/>
      <c r="Q43" s="1808">
        <f t="shared" si="14"/>
        <v>111</v>
      </c>
      <c r="R43" s="772" t="s">
        <v>17</v>
      </c>
      <c r="S43" s="773">
        <f t="shared" si="10"/>
        <v>100</v>
      </c>
      <c r="T43" s="772" t="s">
        <v>17</v>
      </c>
      <c r="U43" s="773">
        <f t="shared" si="11"/>
        <v>100</v>
      </c>
      <c r="V43" s="772" t="s">
        <v>17</v>
      </c>
      <c r="W43" s="773">
        <f t="shared" si="12"/>
        <v>100</v>
      </c>
      <c r="X43" s="1811"/>
      <c r="Y43" s="3260"/>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60"/>
      <c r="Q44" s="1808">
        <f t="shared" si="14"/>
        <v>111</v>
      </c>
      <c r="R44" s="772" t="s">
        <v>17</v>
      </c>
      <c r="S44" s="773">
        <f t="shared" si="10"/>
        <v>100</v>
      </c>
      <c r="T44" s="772" t="s">
        <v>17</v>
      </c>
      <c r="U44" s="773">
        <f t="shared" si="11"/>
        <v>100</v>
      </c>
      <c r="V44" s="772" t="s">
        <v>17</v>
      </c>
      <c r="W44" s="773">
        <f t="shared" si="12"/>
        <v>100</v>
      </c>
      <c r="X44" s="1811"/>
      <c r="Y44" s="3260"/>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60"/>
      <c r="Q45" s="1808">
        <f t="shared" si="14"/>
        <v>111</v>
      </c>
      <c r="R45" s="775" t="s">
        <v>17</v>
      </c>
      <c r="S45" s="776">
        <f t="shared" si="10"/>
        <v>100</v>
      </c>
      <c r="T45" s="775" t="s">
        <v>17</v>
      </c>
      <c r="U45" s="776">
        <f t="shared" si="11"/>
        <v>100</v>
      </c>
      <c r="V45" s="775" t="s">
        <v>17</v>
      </c>
      <c r="W45" s="776">
        <f t="shared" si="12"/>
        <v>100</v>
      </c>
      <c r="X45" s="777"/>
      <c r="Y45" s="3260"/>
      <c r="Z45" s="778">
        <f t="shared" si="13"/>
        <v>111</v>
      </c>
      <c r="AA45" s="1809">
        <f t="shared" si="3"/>
        <v>1</v>
      </c>
      <c r="AB45" s="1809">
        <f t="shared" si="4"/>
        <v>1</v>
      </c>
      <c r="AC45" s="1809">
        <f t="shared" si="5"/>
        <v>1</v>
      </c>
    </row>
    <row r="46" spans="1:29" ht="15">
      <c r="A46" s="478" t="s">
        <v>2720</v>
      </c>
      <c r="B46" s="2700" t="s">
        <v>2756</v>
      </c>
      <c r="C46" s="681" t="s">
        <v>1</v>
      </c>
      <c r="D46" s="480"/>
      <c r="E46" s="481"/>
      <c r="F46" s="482"/>
      <c r="G46" s="483"/>
      <c r="H46" s="484"/>
      <c r="I46" s="481"/>
      <c r="J46" s="484"/>
      <c r="K46" s="781"/>
      <c r="L46" s="1141"/>
      <c r="M46" s="1142"/>
      <c r="N46" s="1129"/>
      <c r="O46" s="1142"/>
      <c r="P46" s="3253" t="str">
        <f>A46</f>
        <v>成交单价</v>
      </c>
      <c r="Q46" s="3253"/>
      <c r="R46" s="3248">
        <f>E46</f>
        <v>0</v>
      </c>
      <c r="S46" s="3248"/>
      <c r="T46" s="3248">
        <f>G46</f>
        <v>0</v>
      </c>
      <c r="U46" s="3248"/>
      <c r="V46" s="3248">
        <f>I46</f>
        <v>0</v>
      </c>
      <c r="W46" s="3248"/>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253" t="str">
        <f>A47</f>
        <v>比较价值（元/平方米）</v>
      </c>
      <c r="Q47" s="3253"/>
      <c r="R47" s="3335" t="e">
        <f>ROUND(PRODUCT(R46,AA7:AA45),0)</f>
        <v>#DIV/0!</v>
      </c>
      <c r="S47" s="3335"/>
      <c r="T47" s="3335" t="e">
        <f>ROUND(PRODUCT(T46,AB7:AB45),0)</f>
        <v>#DIV/0!</v>
      </c>
      <c r="U47" s="3335"/>
      <c r="V47" s="3335" t="e">
        <f>ROUND(PRODUCT(V46,AC7:AC45),0)</f>
        <v>#DIV/0!</v>
      </c>
      <c r="W47" s="3335"/>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250" t="str">
        <f>A48</f>
        <v>估价对象XX用房的比较价值（楼面单价，元/平方米）</v>
      </c>
      <c r="Q48" s="3251"/>
      <c r="R48" s="3336" t="e">
        <f>ROUND(AVERAGE(R47:V47),0)</f>
        <v>#DIV/0!</v>
      </c>
      <c r="S48" s="3336"/>
      <c r="T48" s="3336"/>
      <c r="U48" s="3336"/>
      <c r="V48" s="3336"/>
      <c r="W48" s="3336"/>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1" t="s">
        <v>2760</v>
      </c>
      <c r="D55" s="2702" t="s">
        <v>2761</v>
      </c>
      <c r="E55" s="685" t="s">
        <v>2762</v>
      </c>
      <c r="F55" s="1105" t="s">
        <v>2763</v>
      </c>
      <c r="G55" s="3236" t="s">
        <v>2764</v>
      </c>
      <c r="H55" s="3337"/>
      <c r="I55" s="143" t="s">
        <v>2765</v>
      </c>
      <c r="J55" s="2703">
        <f>项目基本情况!F35</f>
        <v>0</v>
      </c>
      <c r="K55" s="2704" t="s">
        <v>2766</v>
      </c>
      <c r="L55" s="1104"/>
      <c r="M55" s="1142"/>
      <c r="N55" s="1142"/>
      <c r="O55" s="1142"/>
    </row>
    <row r="56" spans="1:15" s="691" customFormat="1">
      <c r="A56" s="687" t="s">
        <v>2767</v>
      </c>
      <c r="B56" s="688" t="e">
        <f>C48</f>
        <v>#DIV/0!</v>
      </c>
      <c r="C56" s="689">
        <v>1</v>
      </c>
      <c r="D56" s="1161">
        <v>1</v>
      </c>
      <c r="E56" s="689">
        <f>'数据-汇总表'!E8+'数据-汇总表'!E9</f>
        <v>21933.11</v>
      </c>
      <c r="F56" s="1101" t="e">
        <f t="shared" ref="F56:F65" si="15">ROUND(B56*E56/10000,0)</f>
        <v>#DIV/0!</v>
      </c>
      <c r="G56" s="3235"/>
      <c r="H56" s="3253"/>
      <c r="I56" s="1106">
        <v>1</v>
      </c>
      <c r="J56" s="1109">
        <v>1</v>
      </c>
      <c r="K56" s="1143"/>
      <c r="L56" s="939"/>
      <c r="M56" s="939"/>
      <c r="N56" s="939"/>
      <c r="O56" s="939"/>
    </row>
    <row r="57" spans="1:15" s="691" customFormat="1">
      <c r="A57" s="692" t="s">
        <v>2768</v>
      </c>
      <c r="B57" s="261" t="e">
        <f>ROUND($C$48*C57*D57,0)</f>
        <v>#DIV/0!</v>
      </c>
      <c r="C57" s="199">
        <f t="shared" ref="C57:C65" si="16">IF($C$55="北京市系数",I57,J57)</f>
        <v>0.7</v>
      </c>
      <c r="D57" s="1162">
        <v>0.25</v>
      </c>
      <c r="E57" s="693"/>
      <c r="F57" s="1101" t="e">
        <f t="shared" si="15"/>
        <v>#DIV/0!</v>
      </c>
      <c r="G57" s="3338" t="s">
        <v>2769</v>
      </c>
      <c r="H57" s="1102" t="str">
        <f>项目基本情况!B37</f>
        <v>五级</v>
      </c>
      <c r="I57" s="1106">
        <f>SUMIF(修正!A45:A56,H57,修正!B45:B56)</f>
        <v>0.7</v>
      </c>
      <c r="J57" s="1110"/>
      <c r="K57" s="1142"/>
      <c r="L57" s="939"/>
      <c r="M57" s="939"/>
      <c r="N57" s="939"/>
      <c r="O57" s="939"/>
    </row>
    <row r="58" spans="1:15" s="691" customFormat="1">
      <c r="A58" s="692" t="s">
        <v>2770</v>
      </c>
      <c r="B58" s="261" t="e">
        <f t="shared" ref="B58:B65" si="17">ROUND($C$48*C58*D58,0)</f>
        <v>#DIV/0!</v>
      </c>
      <c r="C58" s="199">
        <f t="shared" si="16"/>
        <v>0.4</v>
      </c>
      <c r="D58" s="1162">
        <v>0.25</v>
      </c>
      <c r="E58" s="693"/>
      <c r="F58" s="1101" t="e">
        <f t="shared" si="15"/>
        <v>#DIV/0!</v>
      </c>
      <c r="G58" s="3338"/>
      <c r="H58" s="1102" t="str">
        <f>项目基本情况!B37</f>
        <v>五级</v>
      </c>
      <c r="I58" s="1106">
        <f>SUMIF(修正!A45:A56,H58,修正!C45:C56)</f>
        <v>0.4</v>
      </c>
      <c r="J58" s="1110"/>
      <c r="K58" s="1143"/>
      <c r="L58" s="939"/>
      <c r="M58" s="939"/>
      <c r="N58" s="939"/>
      <c r="O58" s="939"/>
    </row>
    <row r="59" spans="1:15" s="691" customFormat="1">
      <c r="A59" s="692" t="s">
        <v>2771</v>
      </c>
      <c r="B59" s="261" t="e">
        <f t="shared" si="17"/>
        <v>#DIV/0!</v>
      </c>
      <c r="C59" s="199">
        <f t="shared" si="16"/>
        <v>0.28000000000000003</v>
      </c>
      <c r="D59" s="1162">
        <v>0.25</v>
      </c>
      <c r="E59" s="693"/>
      <c r="F59" s="1101" t="e">
        <f t="shared" si="15"/>
        <v>#DIV/0!</v>
      </c>
      <c r="G59" s="3338"/>
      <c r="H59" s="1102" t="str">
        <f>项目基本情况!B37</f>
        <v>五级</v>
      </c>
      <c r="I59" s="1106">
        <f>SUMIF(修正!A45:A56,H59,修正!D45:D56)</f>
        <v>0.28000000000000003</v>
      </c>
      <c r="J59" s="1110"/>
      <c r="K59" s="1142"/>
      <c r="L59" s="939"/>
      <c r="M59" s="939"/>
      <c r="N59" s="939"/>
      <c r="O59" s="939"/>
    </row>
    <row r="60" spans="1:15" s="691" customFormat="1">
      <c r="A60" s="692" t="s">
        <v>2772</v>
      </c>
      <c r="B60" s="261" t="e">
        <f t="shared" si="17"/>
        <v>#DIV/0!</v>
      </c>
      <c r="C60" s="199">
        <f t="shared" si="16"/>
        <v>0.25</v>
      </c>
      <c r="D60" s="1162">
        <v>0.25</v>
      </c>
      <c r="E60" s="693"/>
      <c r="F60" s="1101" t="e">
        <f t="shared" si="15"/>
        <v>#DIV/0!</v>
      </c>
      <c r="G60" s="3338"/>
      <c r="H60" s="1102" t="str">
        <f>项目基本情况!B37</f>
        <v>五级</v>
      </c>
      <c r="I60" s="1106">
        <f>SUMIF(修正!A45:A56,H60,修正!E45:E56)</f>
        <v>0.25</v>
      </c>
      <c r="J60" s="1110"/>
      <c r="K60" s="1143"/>
      <c r="L60" s="939"/>
      <c r="M60" s="939"/>
      <c r="N60" s="939"/>
      <c r="O60" s="939"/>
    </row>
    <row r="61" spans="1:15" s="691" customFormat="1">
      <c r="A61" s="692" t="s">
        <v>2773</v>
      </c>
      <c r="B61" s="261" t="e">
        <f t="shared" si="17"/>
        <v>#DIV/0!</v>
      </c>
      <c r="C61" s="199">
        <f t="shared" si="16"/>
        <v>0</v>
      </c>
      <c r="D61" s="1162">
        <v>0.25</v>
      </c>
      <c r="E61" s="260">
        <f>'数据-汇总表'!E11</f>
        <v>0</v>
      </c>
      <c r="F61" s="1101" t="e">
        <f t="shared" si="15"/>
        <v>#DIV/0!</v>
      </c>
      <c r="G61" s="2705" t="s">
        <v>2774</v>
      </c>
      <c r="H61" s="1102">
        <f>项目基本情况!C37</f>
        <v>0</v>
      </c>
      <c r="I61" s="1106">
        <f>SUMIF(修正!A45:A56,H61,修正!F45:F56)</f>
        <v>0</v>
      </c>
      <c r="J61" s="1110"/>
      <c r="K61" s="1142"/>
      <c r="L61" s="939"/>
      <c r="M61" s="939"/>
      <c r="N61" s="939"/>
      <c r="O61" s="939"/>
    </row>
    <row r="62" spans="1:15" s="691" customFormat="1">
      <c r="A62" s="692" t="s">
        <v>2775</v>
      </c>
      <c r="B62" s="261" t="e">
        <f t="shared" si="17"/>
        <v>#DIV/0!</v>
      </c>
      <c r="C62" s="199">
        <f t="shared" si="16"/>
        <v>0</v>
      </c>
      <c r="D62" s="1162">
        <v>0.25</v>
      </c>
      <c r="E62" s="260">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1" t="e">
        <f t="shared" si="17"/>
        <v>#DIV/0!</v>
      </c>
      <c r="C63" s="199">
        <f t="shared" si="16"/>
        <v>0</v>
      </c>
      <c r="D63" s="1162">
        <v>0.25</v>
      </c>
      <c r="E63" s="260">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#DIV/0!</v>
      </c>
      <c r="C64" s="199">
        <f t="shared" si="16"/>
        <v>0.2</v>
      </c>
      <c r="D64" s="1162">
        <v>0.25</v>
      </c>
      <c r="E64" s="260">
        <f>'数据-汇总表'!E14</f>
        <v>0</v>
      </c>
      <c r="F64" s="1101" t="e">
        <f t="shared" si="15"/>
        <v>#DIV/0!</v>
      </c>
      <c r="G64" s="2705" t="s">
        <v>2769</v>
      </c>
      <c r="H64" s="1102" t="str">
        <f>项目基本情况!B37</f>
        <v>五级</v>
      </c>
      <c r="I64" s="1106">
        <f>SUMIF(修正!A45:A56,H64,修正!H45:H56)</f>
        <v>0.2</v>
      </c>
      <c r="J64" s="1110"/>
      <c r="K64" s="1143"/>
      <c r="L64" s="939"/>
      <c r="M64" s="939"/>
      <c r="N64" s="939"/>
      <c r="O64" s="939"/>
    </row>
    <row r="65" spans="1:17" s="691" customFormat="1" ht="15" thickBot="1">
      <c r="A65" s="692" t="s">
        <v>2780</v>
      </c>
      <c r="B65" s="261" t="e">
        <f t="shared" si="17"/>
        <v>#DIV/0!</v>
      </c>
      <c r="C65" s="199">
        <f t="shared" si="16"/>
        <v>0</v>
      </c>
      <c r="D65" s="1162">
        <v>0.25</v>
      </c>
      <c r="E65" s="260">
        <f>'数据-汇总表'!E15</f>
        <v>0</v>
      </c>
      <c r="F65" s="1101" t="e">
        <f t="shared" si="15"/>
        <v>#DIV/0!</v>
      </c>
      <c r="G65" s="2706"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07" t="s">
        <v>2782</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2783</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2792</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39" t="s">
        <v>2797</v>
      </c>
      <c r="D6" s="3340"/>
      <c r="E6" s="3341" t="s">
        <v>2797</v>
      </c>
      <c r="F6" s="3342"/>
      <c r="G6" s="3339" t="s">
        <v>2797</v>
      </c>
      <c r="H6" s="3340"/>
      <c r="I6" s="3339" t="s">
        <v>2797</v>
      </c>
      <c r="J6" s="3340"/>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121</v>
      </c>
      <c r="G10" s="431"/>
      <c r="H10" s="135">
        <f>ROUND(100/'数据-取费表'!G16,0)</f>
        <v>121</v>
      </c>
      <c r="I10" s="431"/>
      <c r="J10" s="135">
        <f>ROUND(100/'数据-取费表'!G16,0)</f>
        <v>121</v>
      </c>
      <c r="K10" s="671"/>
      <c r="L10" s="1133"/>
      <c r="M10" s="1134"/>
      <c r="N10" s="1134"/>
      <c r="O10" s="1135"/>
      <c r="P10" s="3253"/>
      <c r="Q10" s="1793" t="str">
        <f t="shared" si="6"/>
        <v>土地使用年限（年）</v>
      </c>
      <c r="R10" s="768" t="s">
        <v>17</v>
      </c>
      <c r="S10" s="769">
        <f t="shared" si="0"/>
        <v>121</v>
      </c>
      <c r="T10" s="768" t="s">
        <v>17</v>
      </c>
      <c r="U10" s="769">
        <f t="shared" si="1"/>
        <v>121</v>
      </c>
      <c r="V10" s="768" t="s">
        <v>17</v>
      </c>
      <c r="W10" s="769">
        <f t="shared" si="2"/>
        <v>121</v>
      </c>
      <c r="X10" s="770"/>
      <c r="Y10" s="3095"/>
      <c r="Z10" s="55" t="str">
        <f t="shared" si="7"/>
        <v>土地使用年限（年）</v>
      </c>
      <c r="AA10" s="771">
        <f t="shared" si="3"/>
        <v>0.82644628099173556</v>
      </c>
      <c r="AB10" s="771">
        <f t="shared" si="4"/>
        <v>0.82644628099173556</v>
      </c>
      <c r="AC10" s="771">
        <f t="shared" si="5"/>
        <v>0.82644628099173556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57">
      <c r="A15" s="439" t="s">
        <v>2559</v>
      </c>
      <c r="B15" s="628"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5" t="s">
        <v>2560</v>
      </c>
      <c r="Q15" s="1808" t="str">
        <f t="shared" si="6"/>
        <v>产业集聚程度</v>
      </c>
      <c r="R15" s="772" t="s">
        <v>17</v>
      </c>
      <c r="S15" s="773">
        <f t="shared" si="0"/>
        <v>100</v>
      </c>
      <c r="T15" s="772" t="s">
        <v>17</v>
      </c>
      <c r="U15" s="773">
        <f t="shared" si="1"/>
        <v>100</v>
      </c>
      <c r="V15" s="772" t="s">
        <v>17</v>
      </c>
      <c r="W15" s="773">
        <f t="shared" si="2"/>
        <v>100</v>
      </c>
      <c r="X15" s="1811"/>
      <c r="Y15" s="3255" t="s">
        <v>2560</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56"/>
      <c r="Q16" s="1808"/>
      <c r="R16" s="772"/>
      <c r="S16" s="773"/>
      <c r="T16" s="772"/>
      <c r="U16" s="773"/>
      <c r="V16" s="772"/>
      <c r="W16" s="773"/>
      <c r="X16" s="1811"/>
      <c r="Y16" s="3256"/>
      <c r="Z16" s="1812"/>
      <c r="AA16" s="1809">
        <v>1</v>
      </c>
      <c r="AB16" s="1809">
        <v>1</v>
      </c>
      <c r="AC16" s="1809">
        <v>1</v>
      </c>
    </row>
    <row r="17" spans="1:29" ht="85.5">
      <c r="A17" s="427"/>
      <c r="B17" s="630"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56"/>
      <c r="Q18" s="1808"/>
      <c r="R18" s="772"/>
      <c r="S18" s="773"/>
      <c r="T18" s="772"/>
      <c r="U18" s="773"/>
      <c r="V18" s="772"/>
      <c r="W18" s="773"/>
      <c r="X18" s="1811"/>
      <c r="Y18" s="3256"/>
      <c r="Z18" s="1812"/>
      <c r="AA18" s="1809">
        <v>1</v>
      </c>
      <c r="AB18" s="1809">
        <v>1</v>
      </c>
      <c r="AC18" s="1809">
        <v>1</v>
      </c>
    </row>
    <row r="19" spans="1:29" ht="15">
      <c r="A19" s="427"/>
      <c r="B19" s="630"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6"/>
      <c r="Q19" s="1808" t="str">
        <f t="shared" ref="Q19:Q33" si="8">B19</f>
        <v>区域土地利用方向</v>
      </c>
      <c r="R19" s="772" t="s">
        <v>17</v>
      </c>
      <c r="S19" s="773">
        <f>F19</f>
        <v>100</v>
      </c>
      <c r="T19" s="772" t="s">
        <v>17</v>
      </c>
      <c r="U19" s="773">
        <f>H19</f>
        <v>100</v>
      </c>
      <c r="V19" s="772" t="s">
        <v>17</v>
      </c>
      <c r="W19" s="773">
        <f>J19</f>
        <v>100</v>
      </c>
      <c r="X19" s="1811"/>
      <c r="Y19" s="3256"/>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256"/>
      <c r="Q20" s="1808"/>
      <c r="R20" s="772"/>
      <c r="S20" s="773"/>
      <c r="T20" s="772"/>
      <c r="U20" s="773"/>
      <c r="V20" s="772"/>
      <c r="W20" s="773"/>
      <c r="X20" s="1811"/>
      <c r="Y20" s="3256"/>
      <c r="Z20" s="1812"/>
      <c r="AA20" s="1809"/>
      <c r="AB20" s="1809"/>
      <c r="AC20" s="1809"/>
    </row>
    <row r="21" spans="1:29" ht="71.25">
      <c r="A21" s="403"/>
      <c r="B21" s="630"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6"/>
      <c r="Q21" s="1808" t="str">
        <f t="shared" si="8"/>
        <v>环境状况</v>
      </c>
      <c r="R21" s="772" t="s">
        <v>17</v>
      </c>
      <c r="S21" s="773">
        <f>F21</f>
        <v>100</v>
      </c>
      <c r="T21" s="772" t="s">
        <v>17</v>
      </c>
      <c r="U21" s="773">
        <f>H21</f>
        <v>100</v>
      </c>
      <c r="V21" s="772" t="s">
        <v>17</v>
      </c>
      <c r="W21" s="773">
        <f>J21</f>
        <v>100</v>
      </c>
      <c r="X21" s="1811"/>
      <c r="Y21" s="3256"/>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56"/>
      <c r="Q22" s="1808"/>
      <c r="R22" s="772"/>
      <c r="S22" s="773"/>
      <c r="T22" s="772"/>
      <c r="U22" s="773"/>
      <c r="V22" s="772"/>
      <c r="W22" s="773"/>
      <c r="X22" s="1811"/>
      <c r="Y22" s="3256"/>
      <c r="Z22" s="1812"/>
      <c r="AA22" s="1809">
        <v>1</v>
      </c>
      <c r="AB22" s="1809">
        <v>1</v>
      </c>
      <c r="AC22" s="1809">
        <v>1</v>
      </c>
    </row>
    <row r="23" spans="1:29" s="116" customFormat="1" ht="42.75">
      <c r="A23" s="648"/>
      <c r="B23" s="632"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6"/>
      <c r="Q23" s="1793" t="str">
        <f t="shared" si="8"/>
        <v>公共配套设施</v>
      </c>
      <c r="R23" s="768" t="s">
        <v>17</v>
      </c>
      <c r="S23" s="769">
        <f>F23</f>
        <v>100</v>
      </c>
      <c r="T23" s="768" t="s">
        <v>17</v>
      </c>
      <c r="U23" s="769">
        <f>H23</f>
        <v>100</v>
      </c>
      <c r="V23" s="768" t="s">
        <v>17</v>
      </c>
      <c r="W23" s="769">
        <f>J23</f>
        <v>100</v>
      </c>
      <c r="X23" s="770"/>
      <c r="Y23" s="3256"/>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256"/>
      <c r="Q24" s="1793"/>
      <c r="R24" s="768"/>
      <c r="S24" s="769"/>
      <c r="T24" s="768"/>
      <c r="U24" s="769"/>
      <c r="V24" s="768"/>
      <c r="W24" s="769"/>
      <c r="X24" s="770"/>
      <c r="Y24" s="3256"/>
      <c r="Z24" s="55"/>
      <c r="AA24" s="771">
        <v>1</v>
      </c>
      <c r="AB24" s="771">
        <v>1</v>
      </c>
      <c r="AC24" s="771">
        <v>1</v>
      </c>
    </row>
    <row r="25" spans="1:29" s="116" customFormat="1" ht="28.5">
      <c r="A25" s="648"/>
      <c r="B25" s="632"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6"/>
      <c r="Q25" s="1793" t="str">
        <f t="shared" ref="Q25" si="9">B25</f>
        <v>基础设施水平</v>
      </c>
      <c r="R25" s="768" t="s">
        <v>17</v>
      </c>
      <c r="S25" s="769">
        <f>F25</f>
        <v>100</v>
      </c>
      <c r="T25" s="768" t="s">
        <v>17</v>
      </c>
      <c r="U25" s="769">
        <f>H25</f>
        <v>100</v>
      </c>
      <c r="V25" s="768" t="s">
        <v>17</v>
      </c>
      <c r="W25" s="769">
        <f>J25</f>
        <v>100</v>
      </c>
      <c r="X25" s="770"/>
      <c r="Y25" s="3256"/>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56"/>
      <c r="Q26" s="1793"/>
      <c r="R26" s="768"/>
      <c r="S26" s="769"/>
      <c r="T26" s="768"/>
      <c r="U26" s="769"/>
      <c r="V26" s="768"/>
      <c r="W26" s="769"/>
      <c r="X26" s="770"/>
      <c r="Y26" s="3256"/>
      <c r="Z26" s="55"/>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6"/>
      <c r="Z27" s="1812" t="str">
        <f t="shared" ref="Z27:Z40" si="13">Q27</f>
        <v>临街状况</v>
      </c>
      <c r="AA27" s="1809">
        <f t="shared" si="3"/>
        <v>1</v>
      </c>
      <c r="AB27" s="1809">
        <f t="shared" si="4"/>
        <v>1</v>
      </c>
      <c r="AC27" s="1809">
        <f t="shared" si="5"/>
        <v>1</v>
      </c>
    </row>
    <row r="28" spans="1:29" ht="27">
      <c r="A28" s="427"/>
      <c r="B28" s="632"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6"/>
      <c r="Q28" s="1808" t="str">
        <f t="shared" si="8"/>
        <v>毗邻道路的类型与等级</v>
      </c>
      <c r="R28" s="772" t="s">
        <v>17</v>
      </c>
      <c r="S28" s="773">
        <f t="shared" si="10"/>
        <v>100</v>
      </c>
      <c r="T28" s="772" t="s">
        <v>17</v>
      </c>
      <c r="U28" s="773">
        <f t="shared" si="11"/>
        <v>100</v>
      </c>
      <c r="V28" s="772" t="s">
        <v>17</v>
      </c>
      <c r="W28" s="773">
        <f t="shared" si="12"/>
        <v>100</v>
      </c>
      <c r="X28" s="1811"/>
      <c r="Y28" s="3256"/>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56"/>
      <c r="Q29" s="1808"/>
      <c r="R29" s="772"/>
      <c r="S29" s="773"/>
      <c r="T29" s="772"/>
      <c r="U29" s="773"/>
      <c r="V29" s="772"/>
      <c r="W29" s="773"/>
      <c r="X29" s="1811"/>
      <c r="Y29" s="3256"/>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6"/>
      <c r="Q30" s="1808" t="str">
        <f t="shared" si="8"/>
        <v>土地级别</v>
      </c>
      <c r="R30" s="772" t="s">
        <v>17</v>
      </c>
      <c r="S30" s="773">
        <f t="shared" si="10"/>
        <v>100</v>
      </c>
      <c r="T30" s="772" t="s">
        <v>17</v>
      </c>
      <c r="U30" s="773">
        <f t="shared" si="11"/>
        <v>100</v>
      </c>
      <c r="V30" s="772" t="s">
        <v>17</v>
      </c>
      <c r="W30" s="773">
        <f t="shared" si="12"/>
        <v>100</v>
      </c>
      <c r="X30" s="1811"/>
      <c r="Y30" s="3256"/>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6"/>
      <c r="Q31" s="1808">
        <f t="shared" si="8"/>
        <v>111</v>
      </c>
      <c r="R31" s="772" t="s">
        <v>17</v>
      </c>
      <c r="S31" s="773">
        <f t="shared" si="10"/>
        <v>100</v>
      </c>
      <c r="T31" s="772" t="s">
        <v>17</v>
      </c>
      <c r="U31" s="773">
        <f t="shared" si="11"/>
        <v>100</v>
      </c>
      <c r="V31" s="772" t="s">
        <v>17</v>
      </c>
      <c r="W31" s="773">
        <f t="shared" si="12"/>
        <v>100</v>
      </c>
      <c r="X31" s="1811"/>
      <c r="Y31" s="3256"/>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4" t="s">
        <v>2565</v>
      </c>
      <c r="Q32" s="1808">
        <f t="shared" si="8"/>
        <v>111</v>
      </c>
      <c r="R32" s="772" t="s">
        <v>17</v>
      </c>
      <c r="S32" s="773">
        <f t="shared" si="10"/>
        <v>100</v>
      </c>
      <c r="T32" s="772" t="s">
        <v>17</v>
      </c>
      <c r="U32" s="773">
        <f t="shared" si="11"/>
        <v>100</v>
      </c>
      <c r="V32" s="772" t="s">
        <v>17</v>
      </c>
      <c r="W32" s="773">
        <f t="shared" si="12"/>
        <v>100</v>
      </c>
      <c r="X32" s="1811"/>
      <c r="Y32" s="3260" t="s">
        <v>2565</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60"/>
      <c r="Q33" s="1808">
        <f t="shared" si="8"/>
        <v>111</v>
      </c>
      <c r="R33" s="775" t="s">
        <v>17</v>
      </c>
      <c r="S33" s="776">
        <f t="shared" si="10"/>
        <v>100</v>
      </c>
      <c r="T33" s="775" t="s">
        <v>17</v>
      </c>
      <c r="U33" s="776">
        <f t="shared" si="11"/>
        <v>100</v>
      </c>
      <c r="V33" s="775" t="s">
        <v>17</v>
      </c>
      <c r="W33" s="776">
        <f t="shared" si="12"/>
        <v>100</v>
      </c>
      <c r="X33" s="777"/>
      <c r="Y33" s="3260"/>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60"/>
      <c r="Q34" s="1808" t="str">
        <f>B34</f>
        <v>宗地面积</v>
      </c>
      <c r="R34" s="772" t="s">
        <v>17</v>
      </c>
      <c r="S34" s="773" t="e">
        <f t="shared" si="10"/>
        <v>#N/A</v>
      </c>
      <c r="T34" s="772" t="s">
        <v>17</v>
      </c>
      <c r="U34" s="773" t="e">
        <f t="shared" si="11"/>
        <v>#N/A</v>
      </c>
      <c r="V34" s="772" t="s">
        <v>17</v>
      </c>
      <c r="W34" s="773" t="e">
        <f t="shared" si="12"/>
        <v>#N/A</v>
      </c>
      <c r="X34" s="1811"/>
      <c r="Y34" s="3260"/>
      <c r="Z34" s="1812" t="str">
        <f t="shared" si="13"/>
        <v>宗地面积</v>
      </c>
      <c r="AA34" s="1809" t="e">
        <f t="shared" si="3"/>
        <v>#N/A</v>
      </c>
      <c r="AB34" s="1809" t="e">
        <f t="shared" si="4"/>
        <v>#N/A</v>
      </c>
      <c r="AC34" s="1809"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60"/>
      <c r="Q35" s="1808" t="str">
        <f t="shared" ref="Q35:Q40" si="14">B35</f>
        <v>宗地形状</v>
      </c>
      <c r="R35" s="772" t="s">
        <v>17</v>
      </c>
      <c r="S35" s="773">
        <f t="shared" si="10"/>
        <v>100</v>
      </c>
      <c r="T35" s="772" t="s">
        <v>17</v>
      </c>
      <c r="U35" s="773">
        <f t="shared" si="11"/>
        <v>100</v>
      </c>
      <c r="V35" s="772" t="s">
        <v>17</v>
      </c>
      <c r="W35" s="773">
        <f t="shared" si="12"/>
        <v>100</v>
      </c>
      <c r="X35" s="1811"/>
      <c r="Y35" s="3260"/>
      <c r="Z35" s="1812" t="str">
        <f t="shared" si="13"/>
        <v>宗地形状</v>
      </c>
      <c r="AA35" s="1809">
        <f t="shared" si="3"/>
        <v>1</v>
      </c>
      <c r="AB35" s="1809">
        <f t="shared" si="4"/>
        <v>1</v>
      </c>
      <c r="AC35" s="1809">
        <f t="shared" si="5"/>
        <v>1</v>
      </c>
    </row>
    <row r="36" spans="1:29" s="116" customFormat="1" ht="15">
      <c r="A36" s="472"/>
      <c r="B36" s="421" t="s">
        <v>2754</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60"/>
      <c r="Q36" s="1808" t="str">
        <f t="shared" si="14"/>
        <v>宗地开发程度</v>
      </c>
      <c r="R36" s="768" t="s">
        <v>17</v>
      </c>
      <c r="S36" s="769">
        <f t="shared" si="10"/>
        <v>100</v>
      </c>
      <c r="T36" s="768" t="s">
        <v>17</v>
      </c>
      <c r="U36" s="769">
        <f t="shared" si="11"/>
        <v>100</v>
      </c>
      <c r="V36" s="768" t="s">
        <v>17</v>
      </c>
      <c r="W36" s="769">
        <f t="shared" si="12"/>
        <v>100</v>
      </c>
      <c r="X36" s="770"/>
      <c r="Y36" s="3260"/>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60" t="s">
        <v>2565</v>
      </c>
      <c r="Q37" s="1808" t="str">
        <f t="shared" si="14"/>
        <v>工程地质条件</v>
      </c>
      <c r="R37" s="772" t="s">
        <v>17</v>
      </c>
      <c r="S37" s="773">
        <f t="shared" si="10"/>
        <v>100</v>
      </c>
      <c r="T37" s="772" t="s">
        <v>17</v>
      </c>
      <c r="U37" s="773">
        <f t="shared" si="11"/>
        <v>100</v>
      </c>
      <c r="V37" s="772" t="s">
        <v>17</v>
      </c>
      <c r="W37" s="773">
        <f t="shared" si="12"/>
        <v>100</v>
      </c>
      <c r="X37" s="1811"/>
      <c r="Y37" s="3260"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60"/>
      <c r="Q38" s="1808">
        <f t="shared" si="14"/>
        <v>111</v>
      </c>
      <c r="R38" s="772" t="s">
        <v>17</v>
      </c>
      <c r="S38" s="773">
        <f t="shared" si="10"/>
        <v>100</v>
      </c>
      <c r="T38" s="772" t="s">
        <v>17</v>
      </c>
      <c r="U38" s="773">
        <f t="shared" si="11"/>
        <v>100</v>
      </c>
      <c r="V38" s="772" t="s">
        <v>17</v>
      </c>
      <c r="W38" s="773">
        <f t="shared" si="12"/>
        <v>100</v>
      </c>
      <c r="X38" s="1811"/>
      <c r="Y38" s="3260"/>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60"/>
      <c r="Q39" s="1808">
        <f t="shared" si="14"/>
        <v>111</v>
      </c>
      <c r="R39" s="772" t="s">
        <v>17</v>
      </c>
      <c r="S39" s="773">
        <f t="shared" si="10"/>
        <v>100</v>
      </c>
      <c r="T39" s="772" t="s">
        <v>17</v>
      </c>
      <c r="U39" s="773">
        <f t="shared" si="11"/>
        <v>100</v>
      </c>
      <c r="V39" s="772" t="s">
        <v>17</v>
      </c>
      <c r="W39" s="773">
        <f t="shared" si="12"/>
        <v>100</v>
      </c>
      <c r="X39" s="1811"/>
      <c r="Y39" s="3260"/>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60"/>
      <c r="Q40" s="1808">
        <f t="shared" si="14"/>
        <v>111</v>
      </c>
      <c r="R40" s="775" t="s">
        <v>17</v>
      </c>
      <c r="S40" s="776">
        <f t="shared" si="10"/>
        <v>100</v>
      </c>
      <c r="T40" s="775" t="s">
        <v>17</v>
      </c>
      <c r="U40" s="776">
        <f t="shared" si="11"/>
        <v>100</v>
      </c>
      <c r="V40" s="775" t="s">
        <v>17</v>
      </c>
      <c r="W40" s="776">
        <f t="shared" si="12"/>
        <v>100</v>
      </c>
      <c r="X40" s="777"/>
      <c r="Y40" s="3260"/>
      <c r="Z40" s="778">
        <f t="shared" si="13"/>
        <v>111</v>
      </c>
      <c r="AA40" s="1809">
        <f t="shared" si="3"/>
        <v>1</v>
      </c>
      <c r="AB40" s="1809">
        <f t="shared" si="4"/>
        <v>1</v>
      </c>
      <c r="AC40" s="1809">
        <f t="shared" si="5"/>
        <v>1</v>
      </c>
    </row>
    <row r="41" spans="1:29" ht="15">
      <c r="A41" s="478" t="s">
        <v>2720</v>
      </c>
      <c r="B41" s="2700" t="s">
        <v>2800</v>
      </c>
      <c r="C41" s="681" t="s">
        <v>1</v>
      </c>
      <c r="D41" s="480"/>
      <c r="E41" s="481"/>
      <c r="F41" s="482"/>
      <c r="G41" s="483"/>
      <c r="H41" s="484"/>
      <c r="I41" s="481"/>
      <c r="J41" s="484"/>
      <c r="K41" s="781"/>
      <c r="L41" s="1141"/>
      <c r="M41" s="1129"/>
      <c r="N41" s="1129"/>
      <c r="O41" s="1142"/>
      <c r="P41" s="3253" t="str">
        <f>A41</f>
        <v>成交单价</v>
      </c>
      <c r="Q41" s="3253"/>
      <c r="R41" s="3248">
        <f>E41</f>
        <v>0</v>
      </c>
      <c r="S41" s="3248"/>
      <c r="T41" s="3248">
        <f>G41</f>
        <v>0</v>
      </c>
      <c r="U41" s="3248"/>
      <c r="V41" s="3248">
        <f>I41</f>
        <v>0</v>
      </c>
      <c r="W41" s="3248"/>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253" t="str">
        <f>A42</f>
        <v>比较价值（元/平方米）</v>
      </c>
      <c r="Q42" s="3253"/>
      <c r="R42" s="3335" t="e">
        <f>ROUND(PRODUCT(R41,AA7:AA40),0)</f>
        <v>#DIV/0!</v>
      </c>
      <c r="S42" s="3335"/>
      <c r="T42" s="3335" t="e">
        <f>ROUND(PRODUCT(T41,AB7:AB40),0)</f>
        <v>#DIV/0!</v>
      </c>
      <c r="U42" s="3335"/>
      <c r="V42" s="3335" t="e">
        <f>ROUND(PRODUCT(V41,AC7:AC40),0)</f>
        <v>#DIV/0!</v>
      </c>
      <c r="W42" s="3335"/>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250" t="str">
        <f>A43</f>
        <v>估价对象XX用房的比较价值（楼面单价，元/平方米）</v>
      </c>
      <c r="Q43" s="3251"/>
      <c r="R43" s="3336" t="e">
        <f>ROUND(AVERAGE(R42:V42),0)</f>
        <v>#DIV/0!</v>
      </c>
      <c r="S43" s="3336"/>
      <c r="T43" s="3336"/>
      <c r="U43" s="3336"/>
      <c r="V43" s="3336"/>
      <c r="W43" s="3336"/>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1" t="s">
        <v>2760</v>
      </c>
      <c r="D50" s="2702" t="s">
        <v>2761</v>
      </c>
      <c r="E50" s="685" t="s">
        <v>2762</v>
      </c>
      <c r="F50" s="686" t="s">
        <v>2763</v>
      </c>
      <c r="G50" s="3236" t="s">
        <v>2764</v>
      </c>
      <c r="H50" s="3337"/>
      <c r="I50" s="1812" t="s">
        <v>2801</v>
      </c>
      <c r="J50" s="1812">
        <f>项目基本情况!F35</f>
        <v>0</v>
      </c>
      <c r="K50" s="2704" t="s">
        <v>2766</v>
      </c>
      <c r="L50" s="1104"/>
      <c r="M50" s="1142"/>
      <c r="N50" s="1142"/>
      <c r="O50" s="1142"/>
    </row>
    <row r="51" spans="1:17" s="691" customFormat="1">
      <c r="A51" s="687" t="s">
        <v>2767</v>
      </c>
      <c r="B51" s="688" t="e">
        <f>C43</f>
        <v>#DIV/0!</v>
      </c>
      <c r="C51" s="689">
        <v>1</v>
      </c>
      <c r="D51" s="1161">
        <v>1</v>
      </c>
      <c r="E51" s="689">
        <f>'数据-汇总表'!E8+'数据-汇总表'!E9</f>
        <v>21933.11</v>
      </c>
      <c r="F51" s="690" t="e">
        <f t="shared" ref="F51:F60" si="15">ROUND(B51*E51/10000,0)</f>
        <v>#DIV/0!</v>
      </c>
      <c r="G51" s="3235"/>
      <c r="H51" s="3253"/>
      <c r="I51" s="940">
        <v>1</v>
      </c>
      <c r="J51" s="940">
        <v>1</v>
      </c>
      <c r="K51" s="1143"/>
      <c r="L51" s="939"/>
      <c r="M51" s="939"/>
      <c r="N51" s="939"/>
      <c r="O51" s="939"/>
    </row>
    <row r="52" spans="1:17" s="691" customFormat="1">
      <c r="A52" s="692" t="s">
        <v>2768</v>
      </c>
      <c r="B52" s="261" t="e">
        <f>ROUND($C$43*C52*D52,0)</f>
        <v>#DIV/0!</v>
      </c>
      <c r="C52" s="199">
        <f t="shared" ref="C52:C60" si="16">IF($C$50="北京市系数",I52,J52)</f>
        <v>0.7</v>
      </c>
      <c r="D52" s="1162">
        <v>0.25</v>
      </c>
      <c r="E52" s="693"/>
      <c r="F52" s="690" t="e">
        <f t="shared" si="15"/>
        <v>#DIV/0!</v>
      </c>
      <c r="G52" s="3338" t="s">
        <v>2769</v>
      </c>
      <c r="H52" s="1102" t="str">
        <f>项目基本情况!B37</f>
        <v>五级</v>
      </c>
      <c r="I52" s="940">
        <f>SUMIF(修正!A45:A56,H52,修正!B45:B56)</f>
        <v>0.7</v>
      </c>
      <c r="J52" s="941"/>
      <c r="K52" s="1142"/>
      <c r="L52" s="939"/>
      <c r="M52" s="939"/>
      <c r="N52" s="939"/>
      <c r="O52" s="939"/>
    </row>
    <row r="53" spans="1:17" s="691" customFormat="1">
      <c r="A53" s="692" t="s">
        <v>2770</v>
      </c>
      <c r="B53" s="261" t="e">
        <f t="shared" ref="B53:B60" si="17">ROUND($C$43*C53*D53,0)</f>
        <v>#DIV/0!</v>
      </c>
      <c r="C53" s="199">
        <f t="shared" si="16"/>
        <v>0.4</v>
      </c>
      <c r="D53" s="1162">
        <v>0.25</v>
      </c>
      <c r="E53" s="693"/>
      <c r="F53" s="690" t="e">
        <f t="shared" si="15"/>
        <v>#DIV/0!</v>
      </c>
      <c r="G53" s="3338"/>
      <c r="H53" s="1102" t="str">
        <f>项目基本情况!B37</f>
        <v>五级</v>
      </c>
      <c r="I53" s="940">
        <f>SUMIF(修正!A45:A56,H53,修正!C45:C56)</f>
        <v>0.4</v>
      </c>
      <c r="J53" s="941"/>
      <c r="K53" s="1143"/>
      <c r="L53" s="939"/>
      <c r="M53" s="939"/>
      <c r="N53" s="939"/>
      <c r="O53" s="939"/>
    </row>
    <row r="54" spans="1:17" s="691" customFormat="1">
      <c r="A54" s="692" t="s">
        <v>2771</v>
      </c>
      <c r="B54" s="261" t="e">
        <f t="shared" si="17"/>
        <v>#DIV/0!</v>
      </c>
      <c r="C54" s="199">
        <f t="shared" si="16"/>
        <v>0.28000000000000003</v>
      </c>
      <c r="D54" s="1162">
        <v>0.25</v>
      </c>
      <c r="E54" s="693"/>
      <c r="F54" s="690" t="e">
        <f t="shared" si="15"/>
        <v>#DIV/0!</v>
      </c>
      <c r="G54" s="3338"/>
      <c r="H54" s="1102" t="str">
        <f>项目基本情况!B37</f>
        <v>五级</v>
      </c>
      <c r="I54" s="940">
        <f>SUMIF(修正!A45:A56,H54,修正!D45:D56)</f>
        <v>0.28000000000000003</v>
      </c>
      <c r="J54" s="941"/>
      <c r="K54" s="1142"/>
      <c r="L54" s="939"/>
      <c r="M54" s="939"/>
      <c r="N54" s="939"/>
      <c r="O54" s="939"/>
    </row>
    <row r="55" spans="1:17" s="691" customFormat="1">
      <c r="A55" s="692" t="s">
        <v>2772</v>
      </c>
      <c r="B55" s="261" t="e">
        <f t="shared" si="17"/>
        <v>#DIV/0!</v>
      </c>
      <c r="C55" s="199">
        <f t="shared" si="16"/>
        <v>0.25</v>
      </c>
      <c r="D55" s="1162">
        <v>0.25</v>
      </c>
      <c r="E55" s="693"/>
      <c r="F55" s="690" t="e">
        <f t="shared" si="15"/>
        <v>#DIV/0!</v>
      </c>
      <c r="G55" s="3338"/>
      <c r="H55" s="1102" t="str">
        <f>项目基本情况!B37</f>
        <v>五级</v>
      </c>
      <c r="I55" s="940">
        <f>SUMIF(修正!A45:A56,H55,修正!E45:E56)</f>
        <v>0.25</v>
      </c>
      <c r="J55" s="941"/>
      <c r="K55" s="1143"/>
      <c r="L55" s="939"/>
      <c r="M55" s="939"/>
      <c r="N55" s="939"/>
      <c r="O55" s="939"/>
    </row>
    <row r="56" spans="1:17" s="691" customFormat="1">
      <c r="A56" s="692" t="s">
        <v>2773</v>
      </c>
      <c r="B56" s="261" t="e">
        <f t="shared" si="17"/>
        <v>#DIV/0!</v>
      </c>
      <c r="C56" s="199">
        <f t="shared" si="16"/>
        <v>0</v>
      </c>
      <c r="D56" s="1162">
        <v>0.25</v>
      </c>
      <c r="E56" s="260">
        <f>'数据-汇总表'!E11</f>
        <v>0</v>
      </c>
      <c r="F56" s="690" t="e">
        <f t="shared" si="15"/>
        <v>#DIV/0!</v>
      </c>
      <c r="G56" s="2705" t="s">
        <v>2774</v>
      </c>
      <c r="H56" s="1102">
        <f>项目基本情况!C37</f>
        <v>0</v>
      </c>
      <c r="I56" s="940">
        <f>SUMIF(修正!A45:A56,H56,修正!F45:F56)</f>
        <v>0</v>
      </c>
      <c r="J56" s="941"/>
      <c r="K56" s="1142"/>
      <c r="L56" s="939"/>
      <c r="M56" s="939"/>
      <c r="N56" s="939"/>
      <c r="O56" s="939"/>
    </row>
    <row r="57" spans="1:17" s="691" customFormat="1">
      <c r="A57" s="692" t="s">
        <v>2775</v>
      </c>
      <c r="B57" s="261" t="e">
        <f t="shared" si="17"/>
        <v>#DIV/0!</v>
      </c>
      <c r="C57" s="199">
        <f t="shared" si="16"/>
        <v>0</v>
      </c>
      <c r="D57" s="1162">
        <v>0.25</v>
      </c>
      <c r="E57" s="260">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0.2</v>
      </c>
      <c r="D59" s="1162">
        <v>0.25</v>
      </c>
      <c r="E59" s="260">
        <f>'数据-汇总表'!E14</f>
        <v>0</v>
      </c>
      <c r="F59" s="690" t="e">
        <f t="shared" si="15"/>
        <v>#DIV/0!</v>
      </c>
      <c r="G59" s="2705" t="s">
        <v>2769</v>
      </c>
      <c r="H59" s="1102" t="str">
        <f>项目基本情况!B37</f>
        <v>五级</v>
      </c>
      <c r="I59" s="940">
        <f>SUMIF(修正!A45:A56,H59,修正!H45:H56)</f>
        <v>0.2</v>
      </c>
      <c r="J59" s="941"/>
      <c r="K59" s="1143"/>
      <c r="L59" s="939"/>
      <c r="M59" s="939"/>
      <c r="N59" s="939"/>
      <c r="O59" s="939"/>
    </row>
    <row r="60" spans="1:17" s="691" customFormat="1" ht="15" thickBot="1">
      <c r="A60" s="692" t="s">
        <v>2780</v>
      </c>
      <c r="B60" s="261" t="e">
        <f t="shared" si="17"/>
        <v>#DIV/0!</v>
      </c>
      <c r="C60" s="199">
        <f t="shared" si="16"/>
        <v>0</v>
      </c>
      <c r="D60" s="1162">
        <v>0.25</v>
      </c>
      <c r="E60" s="260">
        <f>'数据-汇总表'!E15</f>
        <v>0</v>
      </c>
      <c r="F60" s="690" t="e">
        <f t="shared" si="15"/>
        <v>#DIV/0!</v>
      </c>
      <c r="G60" s="2706"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07" t="s">
        <v>2782</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2802</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43" t="s">
        <v>183</v>
      </c>
      <c r="B18" s="877" t="s">
        <v>560</v>
      </c>
      <c r="C18" s="878" t="s">
        <v>561</v>
      </c>
      <c r="D18" s="879"/>
      <c r="E18" s="877">
        <v>1</v>
      </c>
      <c r="F18" s="880" t="s">
        <v>562</v>
      </c>
      <c r="G18" s="881"/>
      <c r="H18" s="873"/>
      <c r="I18" s="873"/>
    </row>
    <row r="19" spans="1:9" s="882" customFormat="1" ht="19.5" customHeight="1">
      <c r="A19" s="3343"/>
      <c r="B19" s="3343" t="s">
        <v>563</v>
      </c>
      <c r="C19" s="878" t="s">
        <v>564</v>
      </c>
      <c r="D19" s="879"/>
      <c r="E19" s="877">
        <v>0.9</v>
      </c>
      <c r="F19" s="880" t="s">
        <v>565</v>
      </c>
      <c r="G19" s="881"/>
      <c r="H19" s="873"/>
      <c r="I19" s="873"/>
    </row>
    <row r="20" spans="1:9" s="882" customFormat="1" ht="19.5" customHeight="1">
      <c r="A20" s="3343"/>
      <c r="B20" s="3343"/>
      <c r="C20" s="878" t="s">
        <v>566</v>
      </c>
      <c r="D20" s="879"/>
      <c r="E20" s="877">
        <v>1.1000000000000001</v>
      </c>
      <c r="F20" s="880" t="s">
        <v>567</v>
      </c>
      <c r="G20" s="881"/>
      <c r="H20" s="873"/>
      <c r="I20" s="873"/>
    </row>
    <row r="21" spans="1:9" s="882" customFormat="1" ht="19.5" customHeight="1">
      <c r="A21" s="3343"/>
      <c r="B21" s="3343"/>
      <c r="C21" s="878" t="s">
        <v>568</v>
      </c>
      <c r="D21" s="879"/>
      <c r="E21" s="877">
        <v>0.8</v>
      </c>
      <c r="F21" s="880" t="s">
        <v>569</v>
      </c>
      <c r="G21" s="881"/>
      <c r="H21" s="873"/>
      <c r="I21" s="873"/>
    </row>
    <row r="22" spans="1:9" s="882" customFormat="1" ht="19.5" customHeight="1">
      <c r="A22" s="3343"/>
      <c r="B22" s="3343"/>
      <c r="C22" s="878" t="s">
        <v>570</v>
      </c>
      <c r="D22" s="879"/>
      <c r="E22" s="877">
        <v>0.5</v>
      </c>
      <c r="F22" s="880"/>
      <c r="G22" s="881"/>
      <c r="H22" s="873"/>
      <c r="I22" s="873"/>
    </row>
    <row r="23" spans="1:9" s="882" customFormat="1" ht="19.5" customHeight="1">
      <c r="A23" s="3343" t="s">
        <v>184</v>
      </c>
      <c r="B23" s="877" t="s">
        <v>560</v>
      </c>
      <c r="C23" s="878" t="s">
        <v>571</v>
      </c>
      <c r="D23" s="879"/>
      <c r="E23" s="877">
        <v>1</v>
      </c>
      <c r="F23" s="880" t="s">
        <v>572</v>
      </c>
      <c r="G23" s="881"/>
      <c r="H23" s="873"/>
      <c r="I23" s="873"/>
    </row>
    <row r="24" spans="1:9" s="882" customFormat="1" ht="19.5" customHeight="1">
      <c r="A24" s="3343"/>
      <c r="B24" s="3343" t="s">
        <v>563</v>
      </c>
      <c r="C24" s="878" t="s">
        <v>573</v>
      </c>
      <c r="D24" s="879"/>
      <c r="E24" s="877">
        <v>0.5</v>
      </c>
      <c r="F24" s="880"/>
      <c r="G24" s="881"/>
      <c r="H24" s="873"/>
      <c r="I24" s="873"/>
    </row>
    <row r="25" spans="1:9" s="882" customFormat="1" ht="19.5" customHeight="1">
      <c r="A25" s="3343"/>
      <c r="B25" s="3343"/>
      <c r="C25" s="878" t="s">
        <v>574</v>
      </c>
      <c r="D25" s="879"/>
      <c r="E25" s="877">
        <v>1.1000000000000001</v>
      </c>
      <c r="F25" s="880"/>
      <c r="G25" s="881"/>
      <c r="H25" s="873"/>
      <c r="I25" s="873"/>
    </row>
    <row r="26" spans="1:9" s="882" customFormat="1" ht="19.5" customHeight="1">
      <c r="A26" s="3343"/>
      <c r="B26" s="3343"/>
      <c r="C26" s="878" t="s">
        <v>575</v>
      </c>
      <c r="D26" s="879"/>
      <c r="E26" s="877">
        <v>1.1000000000000001</v>
      </c>
      <c r="F26" s="880"/>
      <c r="G26" s="881"/>
      <c r="H26" s="873"/>
      <c r="I26" s="873"/>
    </row>
    <row r="27" spans="1:9" s="882" customFormat="1" ht="19.5" customHeight="1">
      <c r="A27" s="3343"/>
      <c r="B27" s="3343"/>
      <c r="C27" s="878" t="s">
        <v>576</v>
      </c>
      <c r="D27" s="879"/>
      <c r="E27" s="877">
        <v>0.9</v>
      </c>
      <c r="F27" s="880" t="s">
        <v>577</v>
      </c>
      <c r="G27" s="881"/>
      <c r="H27" s="873"/>
      <c r="I27" s="873"/>
    </row>
    <row r="28" spans="1:9" s="882" customFormat="1" ht="19.5" customHeight="1">
      <c r="A28" s="3343"/>
      <c r="B28" s="3343"/>
      <c r="C28" s="878" t="s">
        <v>578</v>
      </c>
      <c r="D28" s="879"/>
      <c r="E28" s="877">
        <v>0.9</v>
      </c>
      <c r="F28" s="880" t="s">
        <v>579</v>
      </c>
      <c r="G28" s="881"/>
      <c r="H28" s="873"/>
      <c r="I28" s="873"/>
    </row>
    <row r="29" spans="1:9" s="882" customFormat="1" ht="19.5" customHeight="1">
      <c r="A29" s="3343"/>
      <c r="B29" s="3343"/>
      <c r="C29" s="878" t="s">
        <v>580</v>
      </c>
      <c r="D29" s="879"/>
      <c r="E29" s="877">
        <v>0.9</v>
      </c>
      <c r="F29" s="880" t="s">
        <v>581</v>
      </c>
      <c r="G29" s="881"/>
      <c r="H29" s="873"/>
      <c r="I29" s="873"/>
    </row>
    <row r="30" spans="1:9" s="882" customFormat="1" ht="19.5" customHeight="1">
      <c r="A30" s="3343"/>
      <c r="B30" s="3343"/>
      <c r="C30" s="878" t="s">
        <v>582</v>
      </c>
      <c r="D30" s="879"/>
      <c r="E30" s="877">
        <v>0.9</v>
      </c>
      <c r="F30" s="880" t="s">
        <v>583</v>
      </c>
      <c r="G30" s="881"/>
      <c r="H30" s="873"/>
      <c r="I30" s="873"/>
    </row>
    <row r="31" spans="1:9" s="882" customFormat="1" ht="19.5" customHeight="1">
      <c r="A31" s="3343"/>
      <c r="B31" s="3343"/>
      <c r="C31" s="878" t="s">
        <v>584</v>
      </c>
      <c r="D31" s="879"/>
      <c r="E31" s="877">
        <v>0.8</v>
      </c>
      <c r="F31" s="880" t="s">
        <v>585</v>
      </c>
      <c r="G31" s="881"/>
      <c r="H31" s="873"/>
      <c r="I31" s="873"/>
    </row>
    <row r="32" spans="1:9" s="882" customFormat="1" ht="19.5" customHeight="1">
      <c r="A32" s="3343"/>
      <c r="B32" s="3343"/>
      <c r="C32" s="878" t="s">
        <v>586</v>
      </c>
      <c r="D32" s="879"/>
      <c r="E32" s="877">
        <v>0.8</v>
      </c>
      <c r="F32" s="880" t="s">
        <v>587</v>
      </c>
      <c r="G32" s="881"/>
      <c r="H32" s="873"/>
      <c r="I32" s="873"/>
    </row>
    <row r="33" spans="1:9" s="882" customFormat="1" ht="19.5" customHeight="1">
      <c r="A33" s="3343" t="s">
        <v>185</v>
      </c>
      <c r="B33" s="877" t="s">
        <v>560</v>
      </c>
      <c r="C33" s="878" t="s">
        <v>588</v>
      </c>
      <c r="D33" s="879"/>
      <c r="E33" s="877">
        <v>1</v>
      </c>
      <c r="F33" s="880" t="s">
        <v>589</v>
      </c>
      <c r="G33" s="881"/>
      <c r="H33" s="873"/>
      <c r="I33" s="873"/>
    </row>
    <row r="34" spans="1:9" s="882" customFormat="1" ht="19.5" customHeight="1">
      <c r="A34" s="3343"/>
      <c r="B34" s="877" t="s">
        <v>563</v>
      </c>
      <c r="C34" s="878" t="s">
        <v>590</v>
      </c>
      <c r="D34" s="879"/>
      <c r="E34" s="877">
        <v>1.5</v>
      </c>
      <c r="F34" s="880" t="s">
        <v>591</v>
      </c>
      <c r="G34" s="881"/>
      <c r="H34" s="873"/>
      <c r="I34" s="873"/>
    </row>
    <row r="35" spans="1:9" s="882" customFormat="1" ht="19.5" customHeight="1">
      <c r="A35" s="3343" t="s">
        <v>186</v>
      </c>
      <c r="B35" s="877" t="s">
        <v>560</v>
      </c>
      <c r="C35" s="878" t="s">
        <v>592</v>
      </c>
      <c r="D35" s="879"/>
      <c r="E35" s="877">
        <v>1</v>
      </c>
      <c r="F35" s="880" t="s">
        <v>593</v>
      </c>
      <c r="G35" s="881"/>
      <c r="H35" s="873"/>
      <c r="I35" s="873"/>
    </row>
    <row r="36" spans="1:9" s="882" customFormat="1" ht="19.5" customHeight="1">
      <c r="A36" s="3343"/>
      <c r="B36" s="3343" t="s">
        <v>563</v>
      </c>
      <c r="C36" s="878" t="s">
        <v>594</v>
      </c>
      <c r="D36" s="879"/>
      <c r="E36" s="877">
        <v>1</v>
      </c>
      <c r="F36" s="880" t="s">
        <v>595</v>
      </c>
      <c r="G36" s="881"/>
      <c r="H36" s="873"/>
      <c r="I36" s="873"/>
    </row>
    <row r="37" spans="1:9" s="882" customFormat="1" ht="19.5" customHeight="1">
      <c r="A37" s="3343"/>
      <c r="B37" s="3343"/>
      <c r="C37" s="878" t="s">
        <v>596</v>
      </c>
      <c r="D37" s="879"/>
      <c r="E37" s="877">
        <v>1.5</v>
      </c>
      <c r="F37" s="880" t="s">
        <v>597</v>
      </c>
      <c r="G37" s="881"/>
      <c r="H37" s="873"/>
      <c r="I37" s="873"/>
    </row>
    <row r="38" spans="1:9" s="882" customFormat="1" ht="19.5" customHeight="1">
      <c r="A38" s="3343"/>
      <c r="B38" s="3343"/>
      <c r="C38" s="878" t="s">
        <v>598</v>
      </c>
      <c r="D38" s="879"/>
      <c r="E38" s="877">
        <v>1</v>
      </c>
      <c r="F38" s="880" t="s">
        <v>599</v>
      </c>
      <c r="G38" s="881"/>
      <c r="H38" s="873"/>
      <c r="I38" s="873"/>
    </row>
    <row r="39" spans="1:9" s="882" customFormat="1" ht="19.5" customHeight="1">
      <c r="A39" s="3343"/>
      <c r="B39" s="334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3" t="s">
        <v>614</v>
      </c>
      <c r="C61" s="813" t="s">
        <v>615</v>
      </c>
      <c r="D61" s="813" t="s">
        <v>616</v>
      </c>
      <c r="E61" s="890">
        <v>0.5</v>
      </c>
      <c r="F61" s="877">
        <v>80</v>
      </c>
    </row>
    <row r="62" spans="1:8" s="873" customFormat="1" ht="24">
      <c r="A62" s="877">
        <v>2</v>
      </c>
      <c r="B62" s="3343"/>
      <c r="C62" s="813" t="s">
        <v>617</v>
      </c>
      <c r="D62" s="813" t="s">
        <v>618</v>
      </c>
      <c r="E62" s="890">
        <v>0.5</v>
      </c>
      <c r="F62" s="877">
        <v>80</v>
      </c>
    </row>
    <row r="63" spans="1:8" s="873" customFormat="1" ht="36">
      <c r="A63" s="877">
        <v>3</v>
      </c>
      <c r="B63" s="3343"/>
      <c r="C63" s="813" t="s">
        <v>619</v>
      </c>
      <c r="D63" s="813" t="s">
        <v>620</v>
      </c>
      <c r="E63" s="890">
        <v>0.5</v>
      </c>
      <c r="F63" s="877">
        <v>80</v>
      </c>
    </row>
    <row r="64" spans="1:8" s="873" customFormat="1" ht="36">
      <c r="A64" s="877">
        <v>4</v>
      </c>
      <c r="B64" s="3343"/>
      <c r="C64" s="813" t="s">
        <v>621</v>
      </c>
      <c r="D64" s="813" t="s">
        <v>622</v>
      </c>
      <c r="E64" s="890">
        <v>0.4</v>
      </c>
      <c r="F64" s="877">
        <v>60</v>
      </c>
    </row>
    <row r="65" spans="1:6" s="873" customFormat="1" ht="36">
      <c r="A65" s="877">
        <v>5</v>
      </c>
      <c r="B65" s="3343"/>
      <c r="C65" s="813" t="s">
        <v>623</v>
      </c>
      <c r="D65" s="813" t="s">
        <v>624</v>
      </c>
      <c r="E65" s="890">
        <v>0.2</v>
      </c>
      <c r="F65" s="877">
        <v>30</v>
      </c>
    </row>
    <row r="66" spans="1:6" s="873" customFormat="1" ht="36">
      <c r="A66" s="877">
        <v>6</v>
      </c>
      <c r="B66" s="3343"/>
      <c r="C66" s="813" t="s">
        <v>625</v>
      </c>
      <c r="D66" s="813" t="s">
        <v>626</v>
      </c>
      <c r="E66" s="890">
        <v>0.3</v>
      </c>
      <c r="F66" s="877">
        <v>50</v>
      </c>
    </row>
    <row r="67" spans="1:6" s="873" customFormat="1" ht="36">
      <c r="A67" s="877">
        <v>7</v>
      </c>
      <c r="B67" s="3343"/>
      <c r="C67" s="813" t="s">
        <v>627</v>
      </c>
      <c r="D67" s="813" t="s">
        <v>628</v>
      </c>
      <c r="E67" s="890">
        <v>0.2</v>
      </c>
      <c r="F67" s="877">
        <v>30</v>
      </c>
    </row>
    <row r="68" spans="1:6" s="873" customFormat="1" ht="36">
      <c r="A68" s="877">
        <v>8</v>
      </c>
      <c r="B68" s="3343"/>
      <c r="C68" s="813" t="s">
        <v>629</v>
      </c>
      <c r="D68" s="813" t="s">
        <v>630</v>
      </c>
      <c r="E68" s="890">
        <v>0.2</v>
      </c>
      <c r="F68" s="877">
        <v>30</v>
      </c>
    </row>
    <row r="69" spans="1:6" s="873" customFormat="1" ht="36">
      <c r="A69" s="877">
        <v>9</v>
      </c>
      <c r="B69" s="3343"/>
      <c r="C69" s="813" t="s">
        <v>631</v>
      </c>
      <c r="D69" s="813" t="s">
        <v>632</v>
      </c>
      <c r="E69" s="890">
        <v>0.2</v>
      </c>
      <c r="F69" s="877">
        <v>30</v>
      </c>
    </row>
    <row r="70" spans="1:6" s="873" customFormat="1" ht="48">
      <c r="A70" s="877">
        <v>10</v>
      </c>
      <c r="B70" s="3343"/>
      <c r="C70" s="813" t="s">
        <v>633</v>
      </c>
      <c r="D70" s="813" t="s">
        <v>634</v>
      </c>
      <c r="E70" s="890">
        <v>0.2</v>
      </c>
      <c r="F70" s="877">
        <v>30</v>
      </c>
    </row>
    <row r="71" spans="1:6" s="873" customFormat="1" ht="48">
      <c r="A71" s="877">
        <v>11</v>
      </c>
      <c r="B71" s="3343"/>
      <c r="C71" s="813" t="s">
        <v>635</v>
      </c>
      <c r="D71" s="813" t="s">
        <v>636</v>
      </c>
      <c r="E71" s="890">
        <v>0.2</v>
      </c>
      <c r="F71" s="877">
        <v>30</v>
      </c>
    </row>
    <row r="72" spans="1:6" s="873" customFormat="1" ht="36">
      <c r="A72" s="877">
        <v>12</v>
      </c>
      <c r="B72" s="3343"/>
      <c r="C72" s="813" t="s">
        <v>637</v>
      </c>
      <c r="D72" s="813" t="s">
        <v>638</v>
      </c>
      <c r="E72" s="890">
        <v>0.5</v>
      </c>
      <c r="F72" s="877">
        <v>80</v>
      </c>
    </row>
    <row r="73" spans="1:6" s="873" customFormat="1" ht="24">
      <c r="A73" s="877">
        <v>13</v>
      </c>
      <c r="B73" s="3343"/>
      <c r="C73" s="813" t="s">
        <v>639</v>
      </c>
      <c r="D73" s="813" t="s">
        <v>640</v>
      </c>
      <c r="E73" s="890">
        <v>0.4</v>
      </c>
      <c r="F73" s="877">
        <v>60</v>
      </c>
    </row>
    <row r="74" spans="1:6" s="873" customFormat="1" ht="24">
      <c r="A74" s="877">
        <v>14</v>
      </c>
      <c r="B74" s="3343"/>
      <c r="C74" s="813" t="s">
        <v>641</v>
      </c>
      <c r="D74" s="813" t="s">
        <v>642</v>
      </c>
      <c r="E74" s="890">
        <v>0.2</v>
      </c>
      <c r="F74" s="877">
        <v>30</v>
      </c>
    </row>
    <row r="75" spans="1:6" s="873" customFormat="1" ht="24">
      <c r="A75" s="877">
        <v>15</v>
      </c>
      <c r="B75" s="3343"/>
      <c r="C75" s="813" t="s">
        <v>643</v>
      </c>
      <c r="D75" s="813" t="s">
        <v>644</v>
      </c>
      <c r="E75" s="890">
        <v>0.2</v>
      </c>
      <c r="F75" s="877">
        <v>30</v>
      </c>
    </row>
    <row r="76" spans="1:6" s="873" customFormat="1" ht="24">
      <c r="A76" s="877">
        <v>16</v>
      </c>
      <c r="B76" s="3343" t="s">
        <v>645</v>
      </c>
      <c r="C76" s="813" t="s">
        <v>646</v>
      </c>
      <c r="D76" s="813" t="s">
        <v>647</v>
      </c>
      <c r="E76" s="890">
        <v>0.5</v>
      </c>
      <c r="F76" s="877">
        <v>80</v>
      </c>
    </row>
    <row r="77" spans="1:6" s="873" customFormat="1" ht="24">
      <c r="A77" s="877">
        <v>17</v>
      </c>
      <c r="B77" s="3343"/>
      <c r="C77" s="813" t="s">
        <v>648</v>
      </c>
      <c r="D77" s="813" t="s">
        <v>649</v>
      </c>
      <c r="E77" s="890">
        <v>0.5</v>
      </c>
      <c r="F77" s="877">
        <v>80</v>
      </c>
    </row>
    <row r="78" spans="1:6" s="873" customFormat="1" ht="24">
      <c r="A78" s="877">
        <v>18</v>
      </c>
      <c r="B78" s="3343"/>
      <c r="C78" s="813" t="s">
        <v>650</v>
      </c>
      <c r="D78" s="813" t="s">
        <v>651</v>
      </c>
      <c r="E78" s="890">
        <v>0.2</v>
      </c>
      <c r="F78" s="877">
        <v>30</v>
      </c>
    </row>
    <row r="79" spans="1:6" s="873" customFormat="1" ht="24">
      <c r="A79" s="877">
        <v>19</v>
      </c>
      <c r="B79" s="3343"/>
      <c r="C79" s="813" t="s">
        <v>652</v>
      </c>
      <c r="D79" s="813" t="s">
        <v>653</v>
      </c>
      <c r="E79" s="890">
        <v>0.5</v>
      </c>
      <c r="F79" s="877">
        <v>80</v>
      </c>
    </row>
    <row r="80" spans="1:6" s="873" customFormat="1" ht="36">
      <c r="A80" s="877">
        <v>20</v>
      </c>
      <c r="B80" s="3343"/>
      <c r="C80" s="813" t="s">
        <v>654</v>
      </c>
      <c r="D80" s="813" t="s">
        <v>655</v>
      </c>
      <c r="E80" s="890">
        <v>0.2</v>
      </c>
      <c r="F80" s="877">
        <v>30</v>
      </c>
    </row>
    <row r="81" spans="1:6" s="873" customFormat="1" ht="36">
      <c r="A81" s="877">
        <v>21</v>
      </c>
      <c r="B81" s="3343"/>
      <c r="C81" s="813" t="s">
        <v>656</v>
      </c>
      <c r="D81" s="813" t="s">
        <v>657</v>
      </c>
      <c r="E81" s="890">
        <v>0.2</v>
      </c>
      <c r="F81" s="877">
        <v>30</v>
      </c>
    </row>
    <row r="82" spans="1:6" s="873" customFormat="1" ht="48">
      <c r="A82" s="877">
        <v>22</v>
      </c>
      <c r="B82" s="3343"/>
      <c r="C82" s="813" t="s">
        <v>658</v>
      </c>
      <c r="D82" s="813" t="s">
        <v>659</v>
      </c>
      <c r="E82" s="890">
        <v>0.2</v>
      </c>
      <c r="F82" s="877">
        <v>30</v>
      </c>
    </row>
    <row r="83" spans="1:6" s="873" customFormat="1" ht="48">
      <c r="A83" s="877">
        <v>23</v>
      </c>
      <c r="B83" s="3343"/>
      <c r="C83" s="813" t="s">
        <v>660</v>
      </c>
      <c r="D83" s="813" t="s">
        <v>661</v>
      </c>
      <c r="E83" s="890">
        <v>0.2</v>
      </c>
      <c r="F83" s="877">
        <v>30</v>
      </c>
    </row>
    <row r="84" spans="1:6" s="873" customFormat="1" ht="36">
      <c r="A84" s="877">
        <v>24</v>
      </c>
      <c r="B84" s="3343"/>
      <c r="C84" s="813" t="s">
        <v>662</v>
      </c>
      <c r="D84" s="813" t="s">
        <v>663</v>
      </c>
      <c r="E84" s="890">
        <v>0.2</v>
      </c>
      <c r="F84" s="877">
        <v>30</v>
      </c>
    </row>
    <row r="85" spans="1:6" s="873" customFormat="1" ht="36">
      <c r="A85" s="877">
        <v>25</v>
      </c>
      <c r="B85" s="3343"/>
      <c r="C85" s="813" t="s">
        <v>664</v>
      </c>
      <c r="D85" s="813" t="s">
        <v>665</v>
      </c>
      <c r="E85" s="890">
        <v>0.5</v>
      </c>
      <c r="F85" s="877">
        <v>80</v>
      </c>
    </row>
    <row r="86" spans="1:6" s="873" customFormat="1" ht="36">
      <c r="A86" s="877">
        <v>26</v>
      </c>
      <c r="B86" s="3343"/>
      <c r="C86" s="813" t="s">
        <v>666</v>
      </c>
      <c r="D86" s="813" t="s">
        <v>667</v>
      </c>
      <c r="E86" s="890">
        <v>0.2</v>
      </c>
      <c r="F86" s="877">
        <v>30</v>
      </c>
    </row>
    <row r="87" spans="1:6" s="873" customFormat="1" ht="36">
      <c r="A87" s="877">
        <v>27</v>
      </c>
      <c r="B87" s="3343"/>
      <c r="C87" s="813" t="s">
        <v>668</v>
      </c>
      <c r="D87" s="813" t="s">
        <v>669</v>
      </c>
      <c r="E87" s="890">
        <v>0.2</v>
      </c>
      <c r="F87" s="877">
        <v>30</v>
      </c>
    </row>
    <row r="88" spans="1:6" s="873" customFormat="1" ht="36">
      <c r="A88" s="877">
        <v>28</v>
      </c>
      <c r="B88" s="3343"/>
      <c r="C88" s="813" t="s">
        <v>670</v>
      </c>
      <c r="D88" s="813" t="s">
        <v>671</v>
      </c>
      <c r="E88" s="890">
        <v>0.2</v>
      </c>
      <c r="F88" s="877">
        <v>30</v>
      </c>
    </row>
    <row r="89" spans="1:6" s="873" customFormat="1" ht="24">
      <c r="A89" s="877">
        <v>29</v>
      </c>
      <c r="B89" s="3343"/>
      <c r="C89" s="813" t="s">
        <v>672</v>
      </c>
      <c r="D89" s="813" t="s">
        <v>673</v>
      </c>
      <c r="E89" s="890">
        <v>0.2</v>
      </c>
      <c r="F89" s="877">
        <v>30</v>
      </c>
    </row>
    <row r="90" spans="1:6" s="873" customFormat="1" ht="24">
      <c r="A90" s="877">
        <v>30</v>
      </c>
      <c r="B90" s="3343"/>
      <c r="C90" s="813" t="s">
        <v>674</v>
      </c>
      <c r="D90" s="813" t="s">
        <v>675</v>
      </c>
      <c r="E90" s="890">
        <v>0.2</v>
      </c>
      <c r="F90" s="877">
        <v>30</v>
      </c>
    </row>
    <row r="91" spans="1:6" s="873" customFormat="1" ht="36">
      <c r="A91" s="877">
        <v>31</v>
      </c>
      <c r="B91" s="3343"/>
      <c r="C91" s="813" t="s">
        <v>676</v>
      </c>
      <c r="D91" s="813" t="s">
        <v>677</v>
      </c>
      <c r="E91" s="890">
        <v>0.2</v>
      </c>
      <c r="F91" s="877">
        <v>30</v>
      </c>
    </row>
    <row r="92" spans="1:6" s="873" customFormat="1" ht="24">
      <c r="A92" s="877">
        <v>32</v>
      </c>
      <c r="B92" s="3343" t="s">
        <v>678</v>
      </c>
      <c r="C92" s="877" t="s">
        <v>679</v>
      </c>
      <c r="D92" s="813" t="s">
        <v>680</v>
      </c>
      <c r="E92" s="890">
        <v>0.2</v>
      </c>
      <c r="F92" s="877">
        <v>30</v>
      </c>
    </row>
    <row r="93" spans="1:6" s="873" customFormat="1" ht="36">
      <c r="A93" s="877">
        <v>33</v>
      </c>
      <c r="B93" s="3343"/>
      <c r="C93" s="877" t="s">
        <v>681</v>
      </c>
      <c r="D93" s="813" t="s">
        <v>682</v>
      </c>
      <c r="E93" s="890">
        <v>0.2</v>
      </c>
      <c r="F93" s="877">
        <v>30</v>
      </c>
    </row>
    <row r="94" spans="1:6" s="873" customFormat="1" ht="48">
      <c r="A94" s="877">
        <v>34</v>
      </c>
      <c r="B94" s="3343"/>
      <c r="C94" s="877" t="s">
        <v>683</v>
      </c>
      <c r="D94" s="813" t="s">
        <v>684</v>
      </c>
      <c r="E94" s="890">
        <v>0.2</v>
      </c>
      <c r="F94" s="877">
        <v>30</v>
      </c>
    </row>
    <row r="95" spans="1:6" s="873" customFormat="1" ht="36">
      <c r="A95" s="877">
        <v>35</v>
      </c>
      <c r="B95" s="3343"/>
      <c r="C95" s="877" t="s">
        <v>685</v>
      </c>
      <c r="D95" s="813" t="s">
        <v>686</v>
      </c>
      <c r="E95" s="890">
        <v>0.2</v>
      </c>
      <c r="F95" s="877">
        <v>30</v>
      </c>
    </row>
    <row r="96" spans="1:6" s="873" customFormat="1" ht="48">
      <c r="A96" s="877">
        <v>36</v>
      </c>
      <c r="B96" s="3343"/>
      <c r="C96" s="813" t="s">
        <v>687</v>
      </c>
      <c r="D96" s="813" t="s">
        <v>688</v>
      </c>
      <c r="E96" s="890">
        <v>0.2</v>
      </c>
      <c r="F96" s="877">
        <v>30</v>
      </c>
    </row>
    <row r="97" spans="1:6" s="873" customFormat="1" ht="36">
      <c r="A97" s="877">
        <v>37</v>
      </c>
      <c r="B97" s="3343"/>
      <c r="C97" s="877" t="s">
        <v>689</v>
      </c>
      <c r="D97" s="813" t="s">
        <v>690</v>
      </c>
      <c r="E97" s="890">
        <v>0.2</v>
      </c>
      <c r="F97" s="877">
        <v>30</v>
      </c>
    </row>
    <row r="98" spans="1:6" s="873" customFormat="1" ht="36">
      <c r="A98" s="877">
        <v>38</v>
      </c>
      <c r="B98" s="3343"/>
      <c r="C98" s="877" t="s">
        <v>691</v>
      </c>
      <c r="D98" s="813" t="s">
        <v>692</v>
      </c>
      <c r="E98" s="890">
        <v>0.2</v>
      </c>
      <c r="F98" s="877">
        <v>30</v>
      </c>
    </row>
    <row r="99" spans="1:6" s="873" customFormat="1" ht="36">
      <c r="A99" s="877">
        <v>39</v>
      </c>
      <c r="B99" s="3343" t="s">
        <v>693</v>
      </c>
      <c r="C99" s="877" t="s">
        <v>694</v>
      </c>
      <c r="D99" s="813" t="s">
        <v>695</v>
      </c>
      <c r="E99" s="890">
        <v>0.3</v>
      </c>
      <c r="F99" s="877">
        <v>50</v>
      </c>
    </row>
    <row r="100" spans="1:6" s="873" customFormat="1" ht="24">
      <c r="A100" s="877">
        <v>40</v>
      </c>
      <c r="B100" s="3343"/>
      <c r="C100" s="877" t="s">
        <v>696</v>
      </c>
      <c r="D100" s="813" t="s">
        <v>697</v>
      </c>
      <c r="E100" s="890">
        <v>0.2</v>
      </c>
      <c r="F100" s="877">
        <v>30</v>
      </c>
    </row>
    <row r="101" spans="1:6" s="873" customFormat="1" ht="36">
      <c r="A101" s="877">
        <v>41</v>
      </c>
      <c r="B101" s="334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3" t="s">
        <v>708</v>
      </c>
      <c r="C105" s="877" t="s">
        <v>709</v>
      </c>
      <c r="D105" s="813" t="s">
        <v>710</v>
      </c>
      <c r="E105" s="890">
        <v>0.2</v>
      </c>
      <c r="F105" s="877">
        <v>30</v>
      </c>
    </row>
    <row r="106" spans="1:6" s="873" customFormat="1" ht="36">
      <c r="A106" s="877">
        <v>46</v>
      </c>
      <c r="B106" s="3343"/>
      <c r="C106" s="877" t="s">
        <v>711</v>
      </c>
      <c r="D106" s="813" t="s">
        <v>712</v>
      </c>
      <c r="E106" s="890">
        <v>0.2</v>
      </c>
      <c r="F106" s="877">
        <v>30</v>
      </c>
    </row>
    <row r="107" spans="1:6" s="873" customFormat="1" ht="36">
      <c r="A107" s="877">
        <v>47</v>
      </c>
      <c r="B107" s="3343" t="s">
        <v>713</v>
      </c>
      <c r="C107" s="877" t="s">
        <v>714</v>
      </c>
      <c r="D107" s="813" t="s">
        <v>715</v>
      </c>
      <c r="E107" s="890">
        <v>0.3</v>
      </c>
      <c r="F107" s="877">
        <v>50</v>
      </c>
    </row>
    <row r="108" spans="1:6" s="873" customFormat="1" ht="36">
      <c r="A108" s="877">
        <v>48</v>
      </c>
      <c r="B108" s="334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3" t="s">
        <v>724</v>
      </c>
      <c r="C111" s="877" t="s">
        <v>725</v>
      </c>
      <c r="D111" s="813" t="s">
        <v>726</v>
      </c>
      <c r="E111" s="890">
        <v>0.2</v>
      </c>
      <c r="F111" s="877">
        <v>30</v>
      </c>
    </row>
    <row r="112" spans="1:6" s="873" customFormat="1" ht="24">
      <c r="A112" s="877">
        <v>52</v>
      </c>
      <c r="B112" s="3343"/>
      <c r="C112" s="877" t="s">
        <v>727</v>
      </c>
      <c r="D112" s="813" t="s">
        <v>728</v>
      </c>
      <c r="E112" s="890">
        <v>0.2</v>
      </c>
      <c r="F112" s="877">
        <v>30</v>
      </c>
    </row>
    <row r="113" spans="1:6" s="873" customFormat="1" ht="24">
      <c r="A113" s="877">
        <v>53</v>
      </c>
      <c r="B113" s="334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3" t="s">
        <v>737</v>
      </c>
      <c r="C116" s="877" t="s">
        <v>738</v>
      </c>
      <c r="D116" s="813" t="s">
        <v>739</v>
      </c>
      <c r="E116" s="890">
        <v>0.2</v>
      </c>
      <c r="F116" s="877">
        <v>30</v>
      </c>
    </row>
    <row r="117" spans="1:6" ht="36">
      <c r="A117" s="877">
        <v>57</v>
      </c>
      <c r="B117" s="334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1.0901000000000001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2">
        <f ca="1">SUMIF(INDIRECT("'"&amp;A6&amp;"'"&amp;"!C:C"),"建筑面积",INDIRECT("'"&amp;A6&amp;"'"&amp;"!D:D"))</f>
        <v>0</v>
      </c>
    </row>
    <row r="7" spans="1:5" ht="15.75">
      <c r="A7" s="2911"/>
      <c r="B7" s="2907" t="e">
        <f ca="1">SUMIF(INDIRECT("'"&amp;A7&amp;"'"&amp;"!A:A"),"总价",INDIRECT("'"&amp;A7&amp;"'"&amp;"!B:B"))</f>
        <v>#REF!</v>
      </c>
      <c r="C7" s="2906" t="s">
        <v>2997</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2" t="e">
        <f t="shared" ca="1" si="0"/>
        <v>#REF!</v>
      </c>
    </row>
    <row r="9" spans="1:5" ht="15.75">
      <c r="A9" s="2911"/>
      <c r="B9" s="2907" t="e">
        <f t="shared" ca="1" si="1"/>
        <v>#REF!</v>
      </c>
      <c r="C9" s="2906" t="s">
        <v>2997</v>
      </c>
      <c r="D9" s="2908"/>
      <c r="E9" s="2572" t="e">
        <f t="shared" ca="1" si="0"/>
        <v>#REF!</v>
      </c>
    </row>
    <row r="10" spans="1:5" ht="15.75">
      <c r="A10" s="2911"/>
      <c r="B10" s="2907" t="e">
        <f t="shared" ca="1" si="1"/>
        <v>#REF!</v>
      </c>
      <c r="C10" s="2906" t="s">
        <v>2997</v>
      </c>
      <c r="D10" s="2908"/>
      <c r="E10" s="2572" t="e">
        <f t="shared" ca="1" si="0"/>
        <v>#REF!</v>
      </c>
    </row>
    <row r="11" spans="1:5" ht="15.75">
      <c r="A11" s="2911"/>
      <c r="B11" s="2907" t="e">
        <f t="shared" ca="1" si="1"/>
        <v>#REF!</v>
      </c>
      <c r="C11" s="2906" t="s">
        <v>2997</v>
      </c>
      <c r="D11" s="2908"/>
      <c r="E11" s="2572" t="e">
        <f t="shared" ca="1" si="0"/>
        <v>#REF!</v>
      </c>
    </row>
    <row r="12" spans="1:5" ht="15.75">
      <c r="A12" s="2911"/>
      <c r="B12" s="2907" t="e">
        <f t="shared" ca="1" si="1"/>
        <v>#REF!</v>
      </c>
      <c r="C12" s="2906" t="s">
        <v>2997</v>
      </c>
      <c r="D12" s="2908"/>
      <c r="E12" s="2572" t="e">
        <f t="shared" ca="1" si="0"/>
        <v>#REF!</v>
      </c>
    </row>
    <row r="13" spans="1:5" ht="15.75">
      <c r="A13" s="2911"/>
      <c r="B13" s="2907" t="e">
        <f t="shared" ca="1" si="1"/>
        <v>#REF!</v>
      </c>
      <c r="C13" s="2906" t="s">
        <v>2997</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9" t="s">
        <v>1150</v>
      </c>
      <c r="C1" s="3349"/>
      <c r="D1" s="3349"/>
      <c r="E1" s="3349"/>
      <c r="F1" s="3349"/>
      <c r="G1" s="3345" t="s">
        <v>1151</v>
      </c>
      <c r="H1" s="3345"/>
      <c r="I1" s="3345"/>
      <c r="J1" s="3345"/>
      <c r="K1" s="3345"/>
      <c r="L1" s="3345"/>
      <c r="N1" s="3345" t="s">
        <v>1152</v>
      </c>
      <c r="O1" s="3345"/>
      <c r="P1" s="3345"/>
      <c r="Q1" s="3345"/>
      <c r="R1" s="1444"/>
      <c r="S1" s="3345" t="s">
        <v>1153</v>
      </c>
      <c r="T1" s="3345"/>
      <c r="U1" s="3345"/>
      <c r="V1" s="3345"/>
      <c r="X1" s="3344" t="s">
        <v>1154</v>
      </c>
      <c r="Y1" s="3345"/>
      <c r="Z1" s="3345"/>
      <c r="AA1" s="3345"/>
      <c r="AB1" s="3345"/>
      <c r="AD1" s="3344" t="s">
        <v>1155</v>
      </c>
      <c r="AE1" s="3345"/>
      <c r="AF1" s="3345"/>
      <c r="AG1" s="3345"/>
      <c r="AH1" s="334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3036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3031</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50">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47"/>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47"/>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48"/>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46">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47"/>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47"/>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48"/>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46">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47"/>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47"/>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48"/>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51">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52"/>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52"/>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53"/>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46">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47"/>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47"/>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48"/>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46">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47">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47">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48">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46">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47">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47">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48">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46">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47">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47">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48">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46">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47">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47">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48">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46">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47">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47">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48">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46">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47">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47">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48">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46">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47">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47">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48">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46">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47">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47">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48">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46">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47">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47">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48">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46">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47">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47">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48">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9"/>
      <c r="B4" s="3033" t="s">
        <v>1630</v>
      </c>
      <c r="C4" s="3033"/>
      <c r="D4" s="3033"/>
      <c r="E4" s="1959"/>
    </row>
    <row r="5" spans="1:5" ht="16.5" thickTop="1">
      <c r="A5" s="1957"/>
      <c r="B5" s="3031" t="s">
        <v>1622</v>
      </c>
      <c r="C5" s="1960" t="s">
        <v>1623</v>
      </c>
      <c r="D5" s="1038">
        <f ca="1">结果表!H101</f>
        <v>63832</v>
      </c>
      <c r="E5" s="1957"/>
    </row>
    <row r="6" spans="1:5" ht="15.75">
      <c r="A6" s="1957"/>
      <c r="B6" s="3031"/>
      <c r="C6" s="1960" t="s">
        <v>1624</v>
      </c>
      <c r="D6" s="1038" t="str">
        <f ca="1">NUMBERSTRING(INT(D5*10000),2)&amp;"元整"</f>
        <v>陆亿叁仟捌佰叁拾贰万元整</v>
      </c>
      <c r="E6" s="1957"/>
    </row>
    <row r="7" spans="1:5" ht="15.75">
      <c r="A7" s="1957"/>
      <c r="B7" s="3036"/>
      <c r="C7" s="1961" t="s">
        <v>1625</v>
      </c>
      <c r="D7" s="1039">
        <f ca="1">结果表!H102</f>
        <v>29103</v>
      </c>
      <c r="E7" s="1957"/>
    </row>
    <row r="8" spans="1:5" ht="15.75">
      <c r="A8" s="1957"/>
      <c r="B8" s="3037" t="str">
        <f>结果表!E103</f>
        <v>2.估价师知悉的法定优先受偿款</v>
      </c>
      <c r="C8" s="1962" t="s">
        <v>1626</v>
      </c>
      <c r="D8" s="1039">
        <f>结果表!H103</f>
        <v>0</v>
      </c>
      <c r="E8" s="1957"/>
    </row>
    <row r="9" spans="1:5" ht="15.75">
      <c r="A9" s="1957"/>
      <c r="B9" s="303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30" t="str">
        <f>结果表!E107</f>
        <v>3.房地产抵押价值</v>
      </c>
      <c r="C13" s="1965" t="s">
        <v>1623</v>
      </c>
      <c r="D13" s="1041">
        <f ca="1">结果表!H107</f>
        <v>63832</v>
      </c>
      <c r="E13" s="1957"/>
    </row>
    <row r="14" spans="1:5" ht="15.75">
      <c r="A14" s="1957"/>
      <c r="B14" s="3031"/>
      <c r="C14" s="1960" t="s">
        <v>1624</v>
      </c>
      <c r="D14" s="1038" t="str">
        <f ca="1">NUMBERSTRING(INT(D13*10000),2)&amp;"元整"</f>
        <v>陆亿叁仟捌佰叁拾贰万元整</v>
      </c>
      <c r="E14" s="1957"/>
    </row>
    <row r="15" spans="1:5" ht="15">
      <c r="A15" s="1957"/>
      <c r="B15" s="3036"/>
      <c r="C15" s="1961" t="s">
        <v>1634</v>
      </c>
      <c r="D15" s="1050">
        <f ca="1">结果表!H108</f>
        <v>29103</v>
      </c>
      <c r="E15" s="1957"/>
    </row>
    <row r="16" spans="1:5" ht="15">
      <c r="A16" s="1957"/>
      <c r="B16" s="3037" t="str">
        <f>结果表!E109</f>
        <v>——</v>
      </c>
      <c r="C16" s="1965" t="s">
        <v>1635</v>
      </c>
      <c r="D16" s="1966" t="str">
        <f>结果表!H109</f>
        <v>——</v>
      </c>
      <c r="E16" s="1957"/>
    </row>
    <row r="17" spans="1:5" ht="15.75">
      <c r="A17" s="1957"/>
      <c r="B17" s="3038"/>
      <c r="C17" s="1960" t="s">
        <v>1636</v>
      </c>
      <c r="D17" s="1038" t="e">
        <f>NUMBERSTRING(INT(D16*10000),2)&amp;"元整"</f>
        <v>#VALUE!</v>
      </c>
      <c r="E17" s="1957"/>
    </row>
    <row r="18" spans="1:5" ht="15">
      <c r="A18" s="1957"/>
      <c r="B18" s="3039"/>
      <c r="C18" s="1961" t="s">
        <v>1625</v>
      </c>
      <c r="D18" s="1050" t="str">
        <f>结果表!H110</f>
        <v>——</v>
      </c>
      <c r="E18" s="1957"/>
    </row>
    <row r="19" spans="1:5" ht="15.75">
      <c r="A19" s="1957"/>
      <c r="B19" s="3030" t="str">
        <f>结果表!E111</f>
        <v>——</v>
      </c>
      <c r="C19" s="1965" t="s">
        <v>1623</v>
      </c>
      <c r="D19" s="1039" t="str">
        <f>结果表!H111</f>
        <v>——</v>
      </c>
      <c r="E19" s="1957"/>
    </row>
    <row r="20" spans="1:5" ht="15.75">
      <c r="A20" s="1957"/>
      <c r="B20" s="3031"/>
      <c r="C20" s="1960" t="s">
        <v>1636</v>
      </c>
      <c r="D20" s="1038" t="e">
        <f>NUMBERSTRING(INT(D19*10000),2)&amp;"元整"</f>
        <v>#VALUE!</v>
      </c>
      <c r="E20" s="1957"/>
    </row>
    <row r="21" spans="1:5" ht="15.75" thickBot="1">
      <c r="A21" s="1957"/>
      <c r="B21" s="303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37404</v>
      </c>
      <c r="C2" s="2" t="s">
        <v>133</v>
      </c>
      <c r="D2" s="242"/>
      <c r="E2" s="242"/>
      <c r="F2" s="242"/>
      <c r="G2" s="242"/>
    </row>
    <row r="3" spans="1:7" s="243" customFormat="1" ht="18" customHeight="1" thickBot="1">
      <c r="A3" s="246" t="s">
        <v>85</v>
      </c>
      <c r="B3" s="247">
        <f ca="1">ROUND(B2*10000/'数据-汇总表'!E3,0)</f>
        <v>17054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4294</v>
      </c>
      <c r="D27" s="278">
        <f>C29</f>
        <v>4.0000000000000001E-3</v>
      </c>
      <c r="E27" s="279" t="s">
        <v>126</v>
      </c>
      <c r="F27" s="289">
        <f>'数据-取费表'!Q16</f>
        <v>0.2</v>
      </c>
      <c r="G27" s="290" t="s">
        <v>1069</v>
      </c>
    </row>
    <row r="28" spans="1:7" s="257" customFormat="1" ht="13.5" customHeight="1">
      <c r="A28" s="949" t="s">
        <v>794</v>
      </c>
      <c r="B28" s="291" t="s">
        <v>1062</v>
      </c>
      <c r="C28" s="292">
        <f>ROUND((C5+C19+C20)*F27*'数据-取费表'!B21/'数据-取费表'!B20,0)</f>
        <v>4294</v>
      </c>
      <c r="D28" s="278"/>
      <c r="E28" s="279"/>
      <c r="F28" s="289"/>
      <c r="G28" s="290"/>
    </row>
    <row r="29" spans="1:7" s="257" customFormat="1" ht="13.5" customHeight="1">
      <c r="A29" s="949" t="s">
        <v>792</v>
      </c>
      <c r="B29" s="291" t="s">
        <v>1063</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30196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215" t="s">
        <v>121</v>
      </c>
    </row>
    <row r="43" spans="1:7" ht="13.5" customHeight="1">
      <c r="A43" s="949" t="s">
        <v>792</v>
      </c>
      <c r="B43" s="258" t="s">
        <v>1064</v>
      </c>
      <c r="C43" s="281">
        <f ca="1">ROUND(IF('数据-取费表'!B22&lt;=1,C39*F22*'数据-取费表'!B21/2,C39*(POWER((1+F22),'数据-取费表'!B21/2)-1)),0)</f>
        <v>6</v>
      </c>
      <c r="D43" s="281"/>
      <c r="E43" s="281"/>
      <c r="F43" s="282"/>
      <c r="G43" s="3216"/>
    </row>
    <row r="44" spans="1:7" ht="13.5" customHeight="1">
      <c r="A44" s="949" t="s">
        <v>793</v>
      </c>
      <c r="B44" s="258" t="s">
        <v>1066</v>
      </c>
      <c r="C44" s="281">
        <f ca="1">ROUND(IF('数据-取费表'!B22&lt;=1,C40*F22*'数据-取费表'!B21/2,C40*(POWER((1+F22),'数据-取费表'!B21/2)-1)),4)</f>
        <v>1E-3</v>
      </c>
      <c r="D44" s="281"/>
      <c r="E44" s="281"/>
      <c r="F44" s="282"/>
      <c r="G44" s="3217"/>
    </row>
    <row r="45" spans="1:7" s="257" customFormat="1" ht="13.5" customHeight="1">
      <c r="A45" s="946" t="s">
        <v>786</v>
      </c>
      <c r="B45" s="287" t="s">
        <v>112</v>
      </c>
      <c r="C45" s="288">
        <f>C46</f>
        <v>1305</v>
      </c>
      <c r="D45" s="278">
        <f>C47</f>
        <v>4.0000000000000001E-3</v>
      </c>
      <c r="E45" s="279" t="s">
        <v>129</v>
      </c>
      <c r="F45" s="289"/>
      <c r="G45" s="290" t="s">
        <v>1072</v>
      </c>
    </row>
    <row r="46" spans="1:7" s="257" customFormat="1" ht="13.5" customHeight="1">
      <c r="A46" s="949" t="s">
        <v>794</v>
      </c>
      <c r="B46" s="291" t="s">
        <v>1065</v>
      </c>
      <c r="C46" s="292">
        <f>ROUND((C33+C39)*F27,0)</f>
        <v>1305</v>
      </c>
      <c r="D46" s="306"/>
      <c r="E46" s="279"/>
      <c r="F46" s="289"/>
      <c r="G46" s="290"/>
    </row>
    <row r="47" spans="1:7" s="257" customFormat="1" ht="13.5" customHeight="1">
      <c r="A47" s="949" t="s">
        <v>792</v>
      </c>
      <c r="B47" s="291" t="s">
        <v>1067</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8833</v>
      </c>
      <c r="D49" s="275"/>
      <c r="E49" s="275"/>
      <c r="F49" s="307"/>
      <c r="G49" s="277" t="s">
        <v>1073</v>
      </c>
    </row>
    <row r="50" spans="1:7" s="301" customFormat="1" ht="24">
      <c r="A50" s="946" t="s">
        <v>789</v>
      </c>
      <c r="B50" s="253" t="s">
        <v>124</v>
      </c>
      <c r="C50" s="275"/>
      <c r="D50" s="275"/>
      <c r="E50" s="275"/>
      <c r="F50" s="307">
        <f>IF('数据-取费表'!B24=0,'数据-取费表'!N16,1)</f>
        <v>0.81599999999999995</v>
      </c>
      <c r="G50" s="290" t="s">
        <v>125</v>
      </c>
    </row>
    <row r="51" spans="1:7" ht="16.5" customHeight="1">
      <c r="A51" s="946" t="s">
        <v>790</v>
      </c>
      <c r="B51" s="253" t="s">
        <v>132</v>
      </c>
      <c r="C51" s="275">
        <f ca="1">ROUND(C49*F50,0)</f>
        <v>7208</v>
      </c>
      <c r="D51" s="275"/>
      <c r="E51" s="275"/>
      <c r="F51" s="307"/>
      <c r="G51" s="277" t="s">
        <v>64</v>
      </c>
    </row>
    <row r="52" spans="1:7" s="251" customFormat="1" ht="16.5" thickBot="1">
      <c r="A52" s="308" t="s">
        <v>65</v>
      </c>
      <c r="B52" s="309"/>
      <c r="C52" s="310">
        <f ca="1">C31+C51</f>
        <v>37404</v>
      </c>
      <c r="D52" s="309"/>
      <c r="E52" s="309"/>
      <c r="F52" s="309"/>
      <c r="G52" s="311"/>
    </row>
    <row r="55" spans="1:7" ht="15">
      <c r="B55" s="313" t="s">
        <v>66</v>
      </c>
      <c r="C55" s="314"/>
    </row>
    <row r="56" spans="1:7">
      <c r="B56" s="316" t="s">
        <v>67</v>
      </c>
      <c r="C56" s="317">
        <f ca="1">ROUND(C51/C52,3)</f>
        <v>0.193</v>
      </c>
    </row>
    <row r="57" spans="1:7">
      <c r="B57" s="316" t="s">
        <v>68</v>
      </c>
      <c r="C57" s="318">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4" t="s">
        <v>156</v>
      </c>
      <c r="B1" s="3354"/>
      <c r="C1" s="3354"/>
      <c r="D1" s="3354"/>
      <c r="E1" s="3354"/>
      <c r="F1" s="335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5" t="s">
        <v>169</v>
      </c>
      <c r="B2" s="3355"/>
      <c r="C2" s="3355"/>
      <c r="D2" s="3355"/>
      <c r="E2" s="3355"/>
      <c r="F2" s="335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4" t="s">
        <v>871</v>
      </c>
      <c r="B1" s="335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3188</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14128</v>
      </c>
      <c r="C2" s="1843" t="s">
        <v>1516</v>
      </c>
      <c r="D2" s="1843"/>
      <c r="E2" s="1844"/>
      <c r="F2" s="1845"/>
      <c r="G2" s="1846"/>
      <c r="H2" s="1838"/>
      <c r="I2" s="1838"/>
      <c r="J2" s="1838"/>
      <c r="K2" s="1839"/>
      <c r="L2" s="1838"/>
      <c r="M2" s="1838"/>
    </row>
    <row r="3" spans="1:37" ht="18" customHeight="1" thickBot="1">
      <c r="A3" s="1847" t="s">
        <v>1517</v>
      </c>
      <c r="B3" s="1848">
        <f ca="1">IF(ISERROR(B2*10000/F43),0,ROUND(B2*10000/F43,0))</f>
        <v>25194</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931</v>
      </c>
      <c r="D5" s="1820" t="s">
        <v>1402</v>
      </c>
      <c r="E5" s="1291"/>
      <c r="F5" s="1292"/>
      <c r="G5" s="1849"/>
      <c r="H5" s="343">
        <v>1</v>
      </c>
      <c r="I5" s="344" t="s">
        <v>1401</v>
      </c>
      <c r="J5" s="1290">
        <f ca="1">J6+J10+J12</f>
        <v>1166</v>
      </c>
      <c r="K5" s="1820" t="s">
        <v>1402</v>
      </c>
      <c r="L5" s="1291"/>
      <c r="M5" s="1292"/>
    </row>
    <row r="6" spans="1:37" ht="18" customHeight="1">
      <c r="A6" s="1289" t="s">
        <v>1035</v>
      </c>
      <c r="B6" s="3291" t="s">
        <v>1403</v>
      </c>
      <c r="C6" s="1294">
        <f ca="1">ROUND(F6*F8*F7*(1-F9)/10000,0)</f>
        <v>931</v>
      </c>
      <c r="D6" s="163" t="s">
        <v>3029</v>
      </c>
      <c r="E6" s="346" t="s">
        <v>1405</v>
      </c>
      <c r="F6" s="347">
        <f ca="1">INDIRECT("'数据-取费表'!u"&amp;$G$1)</f>
        <v>4.55</v>
      </c>
      <c r="G6" s="1849"/>
      <c r="H6" s="1289" t="s">
        <v>1035</v>
      </c>
      <c r="I6" s="3291" t="s">
        <v>1403</v>
      </c>
      <c r="J6" s="345">
        <f ca="1">ROUND(M6*M8*M7*(1-M9)/10000,0)</f>
        <v>1165</v>
      </c>
      <c r="K6" s="163" t="s">
        <v>3028</v>
      </c>
      <c r="L6" s="346" t="s">
        <v>1405</v>
      </c>
      <c r="M6" s="347">
        <f ca="1">INDIRECT("'数据-取费表'!z"&amp;$G$1)</f>
        <v>5.99</v>
      </c>
    </row>
    <row r="7" spans="1:37" ht="18" customHeight="1">
      <c r="A7" s="1293"/>
      <c r="B7" s="3292"/>
      <c r="C7" s="1295"/>
      <c r="D7" s="351"/>
      <c r="E7" s="2945" t="s">
        <v>1406</v>
      </c>
      <c r="F7" s="347">
        <f ca="1">IF(INDIRECT("'数据-取费表'!ah"&amp;$G$1)="",INDIRECT("'数据-取费表'!k"&amp;$G$1),INDIRECT("'数据-取费表'!ah"&amp;$G$1))</f>
        <v>5607.7300000000005</v>
      </c>
      <c r="G7" s="1849"/>
      <c r="H7" s="348"/>
      <c r="I7" s="3292"/>
      <c r="J7" s="350"/>
      <c r="K7" s="351"/>
      <c r="L7" s="346" t="s">
        <v>1406</v>
      </c>
      <c r="M7" s="347">
        <f ca="1">F7</f>
        <v>5607.7300000000005</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1</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1831</v>
      </c>
      <c r="D13" s="1329" t="s">
        <v>1415</v>
      </c>
      <c r="E13" s="1329" t="s">
        <v>1416</v>
      </c>
      <c r="F13" s="1330">
        <f ca="1">INDIRECT("'数据-取费表'!y"&amp;$G$1)</f>
        <v>0.81</v>
      </c>
      <c r="G13" s="1849"/>
      <c r="H13" s="1327">
        <v>2</v>
      </c>
      <c r="I13" s="1328" t="s">
        <v>1414</v>
      </c>
      <c r="J13" s="1288">
        <f ca="1">ROUND(J14*J15,0)</f>
        <v>1650</v>
      </c>
      <c r="K13" s="1335" t="s">
        <v>1415</v>
      </c>
      <c r="L13" s="1850"/>
      <c r="M13" s="1851"/>
    </row>
    <row r="14" spans="1:37" ht="18" customHeight="1">
      <c r="A14" s="1199" t="s">
        <v>1034</v>
      </c>
      <c r="B14" s="346" t="s">
        <v>1417</v>
      </c>
      <c r="C14" s="362">
        <f ca="1">INDIRECT("'数据-取费表'!m"&amp;$G$1)+INDIRECT("'数据-取费表'!t"&amp;$G$1)</f>
        <v>1458</v>
      </c>
      <c r="D14" s="2939" t="s">
        <v>1418</v>
      </c>
      <c r="E14" s="2937"/>
      <c r="F14" s="363"/>
      <c r="G14" s="1849"/>
      <c r="H14" s="1199" t="s">
        <v>1035</v>
      </c>
      <c r="I14" s="346" t="s">
        <v>1419</v>
      </c>
      <c r="J14" s="24">
        <f ca="1">C29</f>
        <v>2260</v>
      </c>
      <c r="K14" s="2944"/>
      <c r="L14" s="977"/>
      <c r="M14" s="978"/>
    </row>
    <row r="15" spans="1:37" s="1856" customFormat="1" ht="18" customHeight="1" thickBot="1">
      <c r="A15" s="1199" t="s">
        <v>1036</v>
      </c>
      <c r="B15" s="346" t="s">
        <v>1420</v>
      </c>
      <c r="C15" s="24">
        <f ca="1">ROUND(C14*F15,0)</f>
        <v>44</v>
      </c>
      <c r="D15" s="364" t="s">
        <v>1421</v>
      </c>
      <c r="E15" s="364" t="s">
        <v>1422</v>
      </c>
      <c r="F15" s="365">
        <f>'数据-取费表'!B33</f>
        <v>0.03</v>
      </c>
      <c r="G15" s="1852"/>
      <c r="H15" s="1337" t="s">
        <v>1039</v>
      </c>
      <c r="I15" s="1338" t="s">
        <v>1416</v>
      </c>
      <c r="J15" s="1347">
        <f ca="1">INDIRECT("'数据-取费表'!ad"&amp;$G$1)</f>
        <v>0.73</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263</v>
      </c>
      <c r="K16" s="1335" t="s">
        <v>1425</v>
      </c>
      <c r="L16" s="2940"/>
      <c r="M16" s="1292"/>
    </row>
    <row r="17" spans="1:37" s="1856" customFormat="1" ht="18" customHeight="1">
      <c r="A17" s="1199" t="s">
        <v>1390</v>
      </c>
      <c r="B17" s="346" t="s">
        <v>1426</v>
      </c>
      <c r="C17" s="24">
        <f ca="1">ROUND(F17*(F43+INDIRECT("'数据-取费表'!S"&amp;$G$1))/10000,0)</f>
        <v>112</v>
      </c>
      <c r="D17" s="346" t="s">
        <v>1427</v>
      </c>
      <c r="E17" s="346" t="s">
        <v>1428</v>
      </c>
      <c r="F17" s="26">
        <f>'数据-取费表'!B35</f>
        <v>200</v>
      </c>
      <c r="G17" s="1852"/>
      <c r="H17" s="1199" t="s">
        <v>1035</v>
      </c>
      <c r="I17" s="346" t="s">
        <v>1429</v>
      </c>
      <c r="J17" s="24">
        <f ca="1">ROUND(IF(项目基本情况!B11="自然人",J5*M17,J18+J19+J20),1)</f>
        <v>203</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22</v>
      </c>
      <c r="D18" s="346" t="s">
        <v>1421</v>
      </c>
      <c r="E18" s="346" t="s">
        <v>1422</v>
      </c>
      <c r="F18" s="366">
        <f>'数据-取费表'!B36</f>
        <v>1.4999999999999999E-2</v>
      </c>
      <c r="G18" s="1852"/>
      <c r="H18" s="1199" t="s">
        <v>1034</v>
      </c>
      <c r="I18" s="346" t="s">
        <v>1433</v>
      </c>
      <c r="J18" s="24">
        <f ca="1">ROUND(J5*M18/(1+'数据-取费表'!C42),2)</f>
        <v>62.19</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1636</v>
      </c>
      <c r="D19" s="139" t="s">
        <v>1436</v>
      </c>
      <c r="E19" s="2943"/>
      <c r="F19" s="26"/>
      <c r="G19" s="1849"/>
      <c r="H19" s="1199" t="s">
        <v>1036</v>
      </c>
      <c r="I19" s="346" t="s">
        <v>1437</v>
      </c>
      <c r="J19" s="24">
        <f ca="1">IF(K19="按租金收入计税",ROUND(J5*M19,2),ROUND(C29*M19*0.7,2))</f>
        <v>139.91999999999999</v>
      </c>
      <c r="K19" s="1826" t="s">
        <v>3184</v>
      </c>
      <c r="L19" s="346" t="s">
        <v>1422</v>
      </c>
      <c r="M19" s="366">
        <f>IF(K19="按租金收入计税",'数据-取费表'!B51,'数据-取费表'!B50)</f>
        <v>0.12</v>
      </c>
    </row>
    <row r="20" spans="1:37" s="1856" customFormat="1" ht="18" customHeight="1">
      <c r="A20" s="1199" t="s">
        <v>1039</v>
      </c>
      <c r="B20" s="346" t="s">
        <v>1439</v>
      </c>
      <c r="C20" s="24">
        <f ca="1">ROUND(C19*F20,0)</f>
        <v>33</v>
      </c>
      <c r="D20" s="368" t="s">
        <v>1440</v>
      </c>
      <c r="E20" s="346" t="s">
        <v>1422</v>
      </c>
      <c r="F20" s="366">
        <f>'数据-取费表'!B37</f>
        <v>0.02</v>
      </c>
      <c r="G20" s="1852"/>
      <c r="H20" s="1199" t="s">
        <v>1389</v>
      </c>
      <c r="I20" s="163" t="s">
        <v>1441</v>
      </c>
      <c r="J20" s="25">
        <f ca="1">ROUND(M20*M21/10000,2)</f>
        <v>0.87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33.9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2.5</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23.3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903</v>
      </c>
      <c r="K25" s="1343" t="s">
        <v>1464</v>
      </c>
      <c r="L25" s="1344"/>
      <c r="M25" s="1345"/>
    </row>
    <row r="26" spans="1:37">
      <c r="A26" s="1199" t="s">
        <v>1034</v>
      </c>
      <c r="B26" s="346" t="s">
        <v>1465</v>
      </c>
      <c r="C26" s="24">
        <f ca="1">ROUND((C19+C20)*F26,0)</f>
        <v>334</v>
      </c>
      <c r="D26" s="368" t="s">
        <v>1466</v>
      </c>
      <c r="E26" s="357" t="s">
        <v>1467</v>
      </c>
      <c r="F26" s="356">
        <f ca="1">INDIRECT("'数据-取费表'!q"&amp;$G$1)</f>
        <v>0.2</v>
      </c>
      <c r="G26" s="1849"/>
      <c r="H26" s="343" t="s">
        <v>1032</v>
      </c>
      <c r="I26" s="344" t="s">
        <v>1468</v>
      </c>
      <c r="J26" s="345">
        <f ca="1">IF(J5&lt;&gt;0,ROUND(J25*(1-((1+M28)/(1+M26))^M27)/(M26-M28),0),0)</f>
        <v>14495</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20.23</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2260</v>
      </c>
      <c r="D29" s="1340"/>
      <c r="E29" s="1338"/>
      <c r="F29" s="1341"/>
      <c r="G29" s="1852"/>
      <c r="H29" s="379" t="s">
        <v>1033</v>
      </c>
      <c r="I29" s="380" t="s">
        <v>1479</v>
      </c>
      <c r="J29" s="381">
        <f ca="1">ROUND(J26/(1+F40)^F41,0)</f>
        <v>10978</v>
      </c>
      <c r="K29" s="382" t="s">
        <v>1480</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217</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162.19999999999999</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49.65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111.72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0.87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2915.2</v>
      </c>
      <c r="G35" s="1849"/>
      <c r="H35" s="743"/>
      <c r="I35" s="1858"/>
      <c r="J35" s="1859"/>
      <c r="K35" s="1860"/>
      <c r="L35" s="1857"/>
      <c r="M35" s="1857"/>
    </row>
    <row r="36" spans="1:18" ht="18" customHeight="1">
      <c r="A36" s="1350" t="s">
        <v>1039</v>
      </c>
      <c r="B36" s="346" t="s">
        <v>1449</v>
      </c>
      <c r="C36" s="24">
        <f ca="1">ROUND(C29*F36,1)</f>
        <v>33.9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2.7</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18.600000000000001</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714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3150</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5617</v>
      </c>
      <c r="D43" s="382" t="s">
        <v>1488</v>
      </c>
      <c r="E43" s="383" t="s">
        <v>1489</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391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14128</v>
      </c>
      <c r="R47" s="1884" t="s">
        <v>1529</v>
      </c>
    </row>
    <row r="48" spans="1:18" s="1840" customFormat="1" ht="28.5" thickBot="1">
      <c r="A48" s="1358" t="s">
        <v>1135</v>
      </c>
      <c r="B48" s="344" t="s">
        <v>1401</v>
      </c>
      <c r="C48" s="2942">
        <f ca="1">C49+C53+C55</f>
        <v>975</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974</v>
      </c>
      <c r="D49" s="1274" t="s">
        <v>3028</v>
      </c>
      <c r="E49" s="1828" t="s">
        <v>1491</v>
      </c>
      <c r="F49" s="3018">
        <f>抵押物清单!F81</f>
        <v>5.01</v>
      </c>
      <c r="G49" s="1889"/>
      <c r="H49" s="791"/>
      <c r="I49" s="1885" t="s">
        <v>1534</v>
      </c>
      <c r="J49" s="1890">
        <v>2008</v>
      </c>
      <c r="K49" s="1887" t="s">
        <v>1535</v>
      </c>
      <c r="L49" s="1891"/>
      <c r="O49" s="1892" t="s">
        <v>1042</v>
      </c>
      <c r="P49" s="1883" t="s">
        <v>1536</v>
      </c>
      <c r="Q49" s="1884">
        <f ca="1">C29</f>
        <v>2260</v>
      </c>
      <c r="R49" s="1884" t="s">
        <v>1529</v>
      </c>
    </row>
    <row r="50" spans="1:18" s="1840" customFormat="1" ht="13.5" thickBot="1">
      <c r="A50" s="1193"/>
      <c r="B50" s="1196"/>
      <c r="C50" s="1366"/>
      <c r="D50" s="1170"/>
      <c r="E50" s="1275" t="s">
        <v>1406</v>
      </c>
      <c r="F50" s="1276">
        <f ca="1">F7</f>
        <v>5607.7300000000005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7936</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1</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14128</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1831</v>
      </c>
      <c r="D56" s="1912"/>
      <c r="E56" s="1913"/>
      <c r="F56" s="1905"/>
      <c r="I56" s="1914" t="s">
        <v>1554</v>
      </c>
      <c r="J56" s="1915" t="s">
        <v>3162</v>
      </c>
      <c r="K56" s="1885" t="s">
        <v>1555</v>
      </c>
      <c r="L56" s="1888" t="str">
        <f ca="1">IF(L48&lt;J51,"——",L48-J53)</f>
        <v>——</v>
      </c>
      <c r="O56" s="1882" t="s">
        <v>1040</v>
      </c>
      <c r="P56" s="1883" t="s">
        <v>1528</v>
      </c>
      <c r="Q56" s="1884">
        <f ca="1">C40+J29</f>
        <v>14128</v>
      </c>
      <c r="R56" s="1884" t="s">
        <v>1529</v>
      </c>
    </row>
    <row r="57" spans="1:18" s="1840" customFormat="1" ht="24.75" thickBot="1">
      <c r="A57" s="1916"/>
      <c r="B57" s="1167" t="s">
        <v>1478</v>
      </c>
      <c r="C57" s="281">
        <f ca="1">C29</f>
        <v>2260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226</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169.9</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52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117</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0.87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14128</v>
      </c>
      <c r="R62" s="1884" t="s">
        <v>1047</v>
      </c>
    </row>
    <row r="63" spans="1:18" s="1840" customFormat="1" ht="13.5" thickBot="1">
      <c r="A63" s="371"/>
      <c r="B63" s="1173"/>
      <c r="C63" s="29"/>
      <c r="D63" s="1183"/>
      <c r="E63" s="1167" t="s">
        <v>1447</v>
      </c>
      <c r="F63" s="347">
        <f t="shared" ca="1" si="0"/>
        <v>2915.2</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33.9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v>
      </c>
      <c r="D65" s="1181" t="s">
        <v>1454</v>
      </c>
      <c r="E65" s="1167" t="s">
        <v>1422</v>
      </c>
      <c r="F65" s="375">
        <f t="shared" ca="1" si="0"/>
        <v>1.5E-3</v>
      </c>
      <c r="I65" s="1927" t="s">
        <v>1579</v>
      </c>
      <c r="J65" s="1928">
        <v>40</v>
      </c>
      <c r="K65" s="1928">
        <v>30</v>
      </c>
      <c r="L65" s="1928">
        <v>50</v>
      </c>
      <c r="M65" s="1930">
        <v>0.02</v>
      </c>
      <c r="O65" s="1882" t="s">
        <v>1040</v>
      </c>
      <c r="P65" s="1883" t="s">
        <v>1528</v>
      </c>
      <c r="Q65" s="1884">
        <f ca="1">C40+J29</f>
        <v>14128</v>
      </c>
      <c r="R65" s="1884" t="s">
        <v>1529</v>
      </c>
    </row>
    <row r="66" spans="1:18" s="1840" customFormat="1" ht="16.5" thickBot="1">
      <c r="A66" s="1199" t="s">
        <v>1504</v>
      </c>
      <c r="B66" s="1167" t="s">
        <v>1439</v>
      </c>
      <c r="C66" s="24">
        <f ca="1">ROUND(C48*F66,1)</f>
        <v>19.5</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749</v>
      </c>
      <c r="D67" s="1180" t="s">
        <v>1464</v>
      </c>
      <c r="E67" s="1185"/>
      <c r="F67" s="1186"/>
      <c r="O67" s="1892" t="s">
        <v>1042</v>
      </c>
      <c r="P67" s="1883" t="s">
        <v>1562</v>
      </c>
      <c r="Q67" s="1931">
        <f ca="1">L51</f>
        <v>7936</v>
      </c>
      <c r="R67" s="1884" t="s">
        <v>1582</v>
      </c>
    </row>
    <row r="68" spans="1:18" s="1840" customFormat="1" ht="16.5" thickBot="1">
      <c r="A68" s="1164" t="s">
        <v>1032</v>
      </c>
      <c r="B68" s="1165" t="s">
        <v>1485</v>
      </c>
      <c r="C68" s="345">
        <f ca="1">ROUND(C67*(1-((1+F70)/(1+F68))^F69)/(F68-F70),0)</f>
        <v>3541</v>
      </c>
      <c r="D68" s="1182" t="s">
        <v>1469</v>
      </c>
      <c r="E68" s="1167" t="s">
        <v>1470</v>
      </c>
      <c r="F68" s="356">
        <f ca="1">F40</f>
        <v>5.5E-2</v>
      </c>
      <c r="O68" s="1892" t="s">
        <v>1043</v>
      </c>
      <c r="P68" s="1932" t="s">
        <v>1583</v>
      </c>
      <c r="Q68" s="1884">
        <f ca="1">ROUND(Q69-Q70*Q71,0)</f>
        <v>558</v>
      </c>
      <c r="R68" s="1884" t="s">
        <v>1051</v>
      </c>
    </row>
    <row r="69" spans="1:18" s="1840" customFormat="1" ht="13.5" thickBot="1">
      <c r="A69" s="1168"/>
      <c r="B69" s="1169"/>
      <c r="C69" s="350"/>
      <c r="D69" s="1187" t="s">
        <v>1473</v>
      </c>
      <c r="E69" s="1167" t="s">
        <v>1474</v>
      </c>
      <c r="F69" s="378">
        <f ca="1">F41</f>
        <v>5.19</v>
      </c>
      <c r="O69" s="1892" t="s">
        <v>1048</v>
      </c>
      <c r="P69" s="1932" t="s">
        <v>1584</v>
      </c>
      <c r="Q69" s="1884">
        <f ca="1">C39</f>
        <v>714</v>
      </c>
      <c r="R69" s="1884" t="s">
        <v>1529</v>
      </c>
    </row>
    <row r="70" spans="1:18" s="1840" customFormat="1" ht="13.5" thickBot="1">
      <c r="A70" s="1171"/>
      <c r="B70" s="1172"/>
      <c r="C70" s="354"/>
      <c r="D70" s="1183"/>
      <c r="E70" s="1167" t="s">
        <v>1477</v>
      </c>
      <c r="F70" s="1273">
        <v>3.5000000000000003E-2</v>
      </c>
      <c r="O70" s="1892" t="s">
        <v>1049</v>
      </c>
      <c r="P70" s="1932" t="s">
        <v>1585</v>
      </c>
      <c r="Q70" s="1884">
        <f ca="1">C13</f>
        <v>1831</v>
      </c>
      <c r="R70" s="1884" t="s">
        <v>1529</v>
      </c>
    </row>
    <row r="71" spans="1:18" s="1840" customFormat="1" ht="13.5" thickBot="1">
      <c r="A71" s="1188" t="s">
        <v>1033</v>
      </c>
      <c r="B71" s="1189" t="s">
        <v>1487</v>
      </c>
      <c r="C71" s="381">
        <f ca="1">ROUND(C68*10000/F71,0)</f>
        <v>6314</v>
      </c>
      <c r="D71" s="1190" t="s">
        <v>1488</v>
      </c>
      <c r="E71" s="1191" t="s">
        <v>1489</v>
      </c>
      <c r="F71" s="384">
        <f ca="1">F43</f>
        <v>5607.7300000000005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156</v>
      </c>
      <c r="D75" s="1840"/>
      <c r="E75" s="1840"/>
      <c r="F75" s="1840"/>
      <c r="K75" s="1866"/>
      <c r="L75" s="1840"/>
      <c r="O75" s="1882" t="s">
        <v>1046</v>
      </c>
      <c r="P75" s="1883" t="s">
        <v>1549</v>
      </c>
      <c r="Q75" s="1884">
        <f ca="1">Q65+Q66</f>
        <v>14128</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0.78200000000000003</v>
      </c>
    </row>
    <row r="80" spans="1:18">
      <c r="B80" s="385" t="s">
        <v>1511</v>
      </c>
      <c r="C80" s="317">
        <f ca="1">ROUND(C75/C39,3)</f>
        <v>0.218</v>
      </c>
    </row>
    <row r="81" spans="2:3">
      <c r="B81" s="313" t="s">
        <v>1512</v>
      </c>
      <c r="C81" s="281"/>
    </row>
    <row r="82" spans="2:3">
      <c r="B82" s="316" t="s">
        <v>1513</v>
      </c>
      <c r="C82" s="318">
        <f ca="1">1-C83</f>
        <v>0.41900000000000004</v>
      </c>
    </row>
    <row r="83" spans="2:3">
      <c r="B83" s="316" t="s">
        <v>1514</v>
      </c>
      <c r="C83" s="317">
        <f ca="1">ROUND(C13/C40,3)</f>
        <v>0.58099999999999996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3189</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27152</v>
      </c>
      <c r="C2" s="1843" t="s">
        <v>1516</v>
      </c>
      <c r="D2" s="1843"/>
      <c r="E2" s="1844"/>
      <c r="F2" s="1845"/>
      <c r="G2" s="1846"/>
      <c r="H2" s="1838"/>
      <c r="I2" s="1838"/>
      <c r="J2" s="1838"/>
      <c r="K2" s="1839"/>
      <c r="L2" s="1838"/>
      <c r="M2" s="1838"/>
    </row>
    <row r="3" spans="1:37" ht="18" customHeight="1" thickBot="1">
      <c r="A3" s="1847" t="s">
        <v>1517</v>
      </c>
      <c r="B3" s="1848">
        <f ca="1">IF(ISERROR(B2*10000/F43),0,ROUND(B2*10000/F43,0))</f>
        <v>18665</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1242</v>
      </c>
      <c r="D5" s="1820" t="s">
        <v>1402</v>
      </c>
      <c r="E5" s="1291"/>
      <c r="F5" s="1292"/>
      <c r="G5" s="1849"/>
      <c r="H5" s="343">
        <v>1</v>
      </c>
      <c r="I5" s="344" t="s">
        <v>1401</v>
      </c>
      <c r="J5" s="1290">
        <f ca="1">J6+J10+J12</f>
        <v>3278</v>
      </c>
      <c r="K5" s="1820" t="s">
        <v>1402</v>
      </c>
      <c r="L5" s="1291"/>
      <c r="M5" s="1292"/>
    </row>
    <row r="6" spans="1:37" ht="18" customHeight="1">
      <c r="A6" s="1289" t="s">
        <v>1035</v>
      </c>
      <c r="B6" s="3291" t="s">
        <v>1403</v>
      </c>
      <c r="C6" s="1294">
        <f ca="1">ROUND(F6*F8*F7*(1-F9)/10000,0)</f>
        <v>1242</v>
      </c>
      <c r="D6" s="163" t="s">
        <v>3029</v>
      </c>
      <c r="E6" s="346" t="s">
        <v>1405</v>
      </c>
      <c r="F6" s="347">
        <f ca="1">INDIRECT("'数据-取费表'!u"&amp;$G$1)</f>
        <v>2.34</v>
      </c>
      <c r="G6" s="1849"/>
      <c r="H6" s="1289" t="s">
        <v>1035</v>
      </c>
      <c r="I6" s="3291" t="s">
        <v>1403</v>
      </c>
      <c r="J6" s="345">
        <f ca="1">ROUND(M6*M8*M7*(1-M9)/10000,0)</f>
        <v>3274</v>
      </c>
      <c r="K6" s="163" t="s">
        <v>3028</v>
      </c>
      <c r="L6" s="346" t="s">
        <v>1405</v>
      </c>
      <c r="M6" s="347">
        <f ca="1">INDIRECT("'数据-取费表'!z"&amp;$G$1)</f>
        <v>6.49</v>
      </c>
    </row>
    <row r="7" spans="1:37" ht="18" customHeight="1">
      <c r="A7" s="1293"/>
      <c r="B7" s="3292"/>
      <c r="C7" s="1295"/>
      <c r="D7" s="351"/>
      <c r="E7" s="2945" t="s">
        <v>1406</v>
      </c>
      <c r="F7" s="347">
        <f ca="1">IF(INDIRECT("'数据-取费表'!ah"&amp;$G$1)="",INDIRECT("'数据-取费表'!k"&amp;$G$1),INDIRECT("'数据-取费表'!ah"&amp;$G$1))</f>
        <v>14547.060000000001</v>
      </c>
      <c r="G7" s="1849"/>
      <c r="H7" s="348"/>
      <c r="I7" s="3292"/>
      <c r="J7" s="350"/>
      <c r="K7" s="351"/>
      <c r="L7" s="346" t="s">
        <v>1406</v>
      </c>
      <c r="M7" s="347">
        <f ca="1">F7</f>
        <v>14547.060000000001</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4</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4804</v>
      </c>
      <c r="D13" s="1329" t="s">
        <v>1415</v>
      </c>
      <c r="E13" s="1329" t="s">
        <v>1416</v>
      </c>
      <c r="F13" s="1330">
        <f ca="1">INDIRECT("'数据-取费表'!y"&amp;$G$1)</f>
        <v>0.82</v>
      </c>
      <c r="G13" s="1849"/>
      <c r="H13" s="1327">
        <v>2</v>
      </c>
      <c r="I13" s="1328" t="s">
        <v>1414</v>
      </c>
      <c r="J13" s="1288">
        <f ca="1">ROUND(J14*J15,0)</f>
        <v>3908</v>
      </c>
      <c r="K13" s="1335" t="s">
        <v>1415</v>
      </c>
      <c r="L13" s="1850"/>
      <c r="M13" s="1851"/>
    </row>
    <row r="14" spans="1:37" ht="18" customHeight="1">
      <c r="A14" s="1199" t="s">
        <v>1034</v>
      </c>
      <c r="B14" s="346" t="s">
        <v>1417</v>
      </c>
      <c r="C14" s="362">
        <f ca="1">INDIRECT("'数据-取费表'!m"&amp;$G$1)+INDIRECT("'数据-取费表'!t"&amp;$G$1)</f>
        <v>3782</v>
      </c>
      <c r="D14" s="2939" t="s">
        <v>1418</v>
      </c>
      <c r="E14" s="2937"/>
      <c r="F14" s="363"/>
      <c r="G14" s="1849"/>
      <c r="H14" s="1199" t="s">
        <v>1035</v>
      </c>
      <c r="I14" s="346" t="s">
        <v>1419</v>
      </c>
      <c r="J14" s="24">
        <f ca="1">C29</f>
        <v>5859</v>
      </c>
      <c r="K14" s="2944"/>
      <c r="L14" s="977"/>
      <c r="M14" s="978"/>
    </row>
    <row r="15" spans="1:37" s="1856" customFormat="1" ht="18" customHeight="1" thickBot="1">
      <c r="A15" s="1199" t="s">
        <v>1036</v>
      </c>
      <c r="B15" s="346" t="s">
        <v>1420</v>
      </c>
      <c r="C15" s="24">
        <f ca="1">ROUND(C14*F15,0)</f>
        <v>113</v>
      </c>
      <c r="D15" s="364" t="s">
        <v>1421</v>
      </c>
      <c r="E15" s="364" t="s">
        <v>1422</v>
      </c>
      <c r="F15" s="365">
        <f>'数据-取费表'!B33</f>
        <v>0.03</v>
      </c>
      <c r="G15" s="1852"/>
      <c r="H15" s="1337" t="s">
        <v>1039</v>
      </c>
      <c r="I15" s="1338" t="s">
        <v>1416</v>
      </c>
      <c r="J15" s="1347">
        <f ca="1">INDIRECT("'数据-取费表'!ad"&amp;$G$1)</f>
        <v>0.66700000000000004</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730</v>
      </c>
      <c r="K16" s="1335" t="s">
        <v>1425</v>
      </c>
      <c r="L16" s="2940"/>
      <c r="M16" s="1292"/>
    </row>
    <row r="17" spans="1:37" s="1856" customFormat="1" ht="18" customHeight="1">
      <c r="A17" s="1199" t="s">
        <v>1390</v>
      </c>
      <c r="B17" s="346" t="s">
        <v>1426</v>
      </c>
      <c r="C17" s="24">
        <f ca="1">ROUND(F17*(F43+INDIRECT("'数据-取费表'!S"&amp;$G$1))/10000,0)</f>
        <v>291</v>
      </c>
      <c r="D17" s="346" t="s">
        <v>1427</v>
      </c>
      <c r="E17" s="346" t="s">
        <v>1428</v>
      </c>
      <c r="F17" s="26">
        <f>'数据-取费表'!B35</f>
        <v>200</v>
      </c>
      <c r="G17" s="1852"/>
      <c r="H17" s="1199" t="s">
        <v>1035</v>
      </c>
      <c r="I17" s="346" t="s">
        <v>1429</v>
      </c>
      <c r="J17" s="24">
        <f ca="1">ROUND(IF(项目基本情况!B11="自然人",J5*M17,J18+J19+J20),1)</f>
        <v>570.5</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57</v>
      </c>
      <c r="D18" s="346" t="s">
        <v>1421</v>
      </c>
      <c r="E18" s="346" t="s">
        <v>1422</v>
      </c>
      <c r="F18" s="366">
        <f>'数据-取费表'!B36</f>
        <v>1.4999999999999999E-2</v>
      </c>
      <c r="G18" s="1852"/>
      <c r="H18" s="1199" t="s">
        <v>1034</v>
      </c>
      <c r="I18" s="346" t="s">
        <v>1433</v>
      </c>
      <c r="J18" s="24">
        <f ca="1">ROUND(J5*M18/(1+'数据-取费表'!C42),2)</f>
        <v>174.83</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4243</v>
      </c>
      <c r="D19" s="139" t="s">
        <v>1436</v>
      </c>
      <c r="E19" s="2943"/>
      <c r="F19" s="26"/>
      <c r="G19" s="1849"/>
      <c r="H19" s="1199" t="s">
        <v>1036</v>
      </c>
      <c r="I19" s="346" t="s">
        <v>1437</v>
      </c>
      <c r="J19" s="24">
        <f ca="1">IF(K19="按租金收入计税",ROUND(J5*M19,2),ROUND(C29*M19*0.7,2))</f>
        <v>393.36</v>
      </c>
      <c r="K19" s="1826" t="s">
        <v>3184</v>
      </c>
      <c r="L19" s="346" t="s">
        <v>1422</v>
      </c>
      <c r="M19" s="366">
        <f>IF(K19="按租金收入计税",'数据-取费表'!B51,'数据-取费表'!B50)</f>
        <v>0.12</v>
      </c>
    </row>
    <row r="20" spans="1:37" s="1856" customFormat="1" ht="18" customHeight="1">
      <c r="A20" s="1199" t="s">
        <v>1039</v>
      </c>
      <c r="B20" s="346" t="s">
        <v>1439</v>
      </c>
      <c r="C20" s="24">
        <f ca="1">ROUND(C19*F20,0)</f>
        <v>85</v>
      </c>
      <c r="D20" s="368" t="s">
        <v>1440</v>
      </c>
      <c r="E20" s="346" t="s">
        <v>1422</v>
      </c>
      <c r="F20" s="366">
        <f>'数据-取费表'!B37</f>
        <v>0.02</v>
      </c>
      <c r="G20" s="1852"/>
      <c r="H20" s="1199" t="s">
        <v>1389</v>
      </c>
      <c r="I20" s="163" t="s">
        <v>1441</v>
      </c>
      <c r="J20" s="25">
        <f ca="1">ROUND(M20*M21/10000,2)</f>
        <v>2.27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87.9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5.9</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65.599999999999994</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2548</v>
      </c>
      <c r="K25" s="1343" t="s">
        <v>1464</v>
      </c>
      <c r="L25" s="1344"/>
      <c r="M25" s="1345"/>
    </row>
    <row r="26" spans="1:37">
      <c r="A26" s="1199" t="s">
        <v>1034</v>
      </c>
      <c r="B26" s="346" t="s">
        <v>1465</v>
      </c>
      <c r="C26" s="24">
        <f ca="1">ROUND((C19+C20)*F26,0)</f>
        <v>866</v>
      </c>
      <c r="D26" s="368" t="s">
        <v>1466</v>
      </c>
      <c r="E26" s="357" t="s">
        <v>1467</v>
      </c>
      <c r="F26" s="356">
        <f ca="1">INDIRECT("'数据-取费表'!q"&amp;$G$1)</f>
        <v>0.2</v>
      </c>
      <c r="G26" s="1849"/>
      <c r="H26" s="343" t="s">
        <v>1032</v>
      </c>
      <c r="I26" s="344" t="s">
        <v>1468</v>
      </c>
      <c r="J26" s="345">
        <f ca="1">IF(J5&lt;&gt;0,ROUND(J25*(1-((1+M28)/(1+M26))^M27)/(M26-M28),0),0)</f>
        <v>33982</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16.21</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5859</v>
      </c>
      <c r="D29" s="1340"/>
      <c r="E29" s="1338"/>
      <c r="F29" s="1341"/>
      <c r="G29" s="1852"/>
      <c r="H29" s="379" t="s">
        <v>1033</v>
      </c>
      <c r="I29" s="380" t="s">
        <v>1479</v>
      </c>
      <c r="J29" s="381">
        <f ca="1">ROUND(J26/(1+F40)^F41,0)</f>
        <v>20754</v>
      </c>
      <c r="K29" s="382" t="s">
        <v>1480</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338</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217.6</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66.239999999999995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149.04</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2.27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7562.35</v>
      </c>
      <c r="G35" s="1849"/>
      <c r="H35" s="743"/>
      <c r="I35" s="1858"/>
      <c r="J35" s="1859"/>
      <c r="K35" s="1860"/>
      <c r="L35" s="1857"/>
      <c r="M35" s="1857"/>
    </row>
    <row r="36" spans="1:18" ht="18" customHeight="1">
      <c r="A36" s="1350" t="s">
        <v>1039</v>
      </c>
      <c r="B36" s="346" t="s">
        <v>1449</v>
      </c>
      <c r="C36" s="24">
        <f ca="1">ROUND(C29*F36,1)</f>
        <v>87.9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7.2</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24.8</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904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6398</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4398</v>
      </c>
      <c r="D43" s="382" t="s">
        <v>1488</v>
      </c>
      <c r="E43" s="383" t="s">
        <v>1489</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8389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27152</v>
      </c>
      <c r="R47" s="1884" t="s">
        <v>1529</v>
      </c>
    </row>
    <row r="48" spans="1:18" s="1840" customFormat="1" ht="28.5" thickBot="1">
      <c r="A48" s="1358" t="s">
        <v>1135</v>
      </c>
      <c r="B48" s="344" t="s">
        <v>1401</v>
      </c>
      <c r="C48" s="2942">
        <f ca="1">C49+C53+C55</f>
        <v>2389</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2386</v>
      </c>
      <c r="D49" s="1274" t="s">
        <v>3028</v>
      </c>
      <c r="E49" s="1828" t="s">
        <v>1491</v>
      </c>
      <c r="F49" s="3018">
        <f>抵押物清单!F82</f>
        <v>4.7300000000000004</v>
      </c>
      <c r="G49" s="1889"/>
      <c r="H49" s="791"/>
      <c r="I49" s="1885" t="s">
        <v>1534</v>
      </c>
      <c r="J49" s="1890">
        <v>2008</v>
      </c>
      <c r="K49" s="1887" t="s">
        <v>1535</v>
      </c>
      <c r="L49" s="1891"/>
      <c r="O49" s="1892" t="s">
        <v>1042</v>
      </c>
      <c r="P49" s="1883" t="s">
        <v>1536</v>
      </c>
      <c r="Q49" s="1884">
        <f ca="1">C29</f>
        <v>5859</v>
      </c>
      <c r="R49" s="1884" t="s">
        <v>1529</v>
      </c>
    </row>
    <row r="50" spans="1:18" s="1840" customFormat="1" ht="13.5" thickBot="1">
      <c r="A50" s="1193"/>
      <c r="B50" s="1196"/>
      <c r="C50" s="1366"/>
      <c r="D50" s="1170"/>
      <c r="E50" s="1275" t="s">
        <v>1406</v>
      </c>
      <c r="F50" s="1276">
        <f ca="1">F7</f>
        <v>14547.060000000001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7045</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3</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27152</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4804</v>
      </c>
      <c r="D56" s="1912"/>
      <c r="E56" s="1913"/>
      <c r="F56" s="1905"/>
      <c r="I56" s="1914" t="s">
        <v>1554</v>
      </c>
      <c r="J56" s="1915" t="s">
        <v>3162</v>
      </c>
      <c r="K56" s="1885" t="s">
        <v>1555</v>
      </c>
      <c r="L56" s="1888" t="str">
        <f ca="1">IF(L48&lt;J51,"——",L48-J53)</f>
        <v>——</v>
      </c>
      <c r="O56" s="1882" t="s">
        <v>1040</v>
      </c>
      <c r="P56" s="1883" t="s">
        <v>1528</v>
      </c>
      <c r="Q56" s="1884">
        <f ca="1">C40+J29</f>
        <v>27152</v>
      </c>
      <c r="R56" s="1884" t="s">
        <v>1529</v>
      </c>
    </row>
    <row r="57" spans="1:18" s="1840" customFormat="1" ht="24.75" thickBot="1">
      <c r="A57" s="1916"/>
      <c r="B57" s="1167" t="s">
        <v>1478</v>
      </c>
      <c r="C57" s="281">
        <f ca="1">C29</f>
        <v>5859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559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416.4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127.41</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286.68</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2.27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27152</v>
      </c>
      <c r="R62" s="1884" t="s">
        <v>1047</v>
      </c>
    </row>
    <row r="63" spans="1:18" s="1840" customFormat="1" ht="13.5" thickBot="1">
      <c r="A63" s="371"/>
      <c r="B63" s="1173"/>
      <c r="C63" s="29"/>
      <c r="D63" s="1183"/>
      <c r="E63" s="1167" t="s">
        <v>1447</v>
      </c>
      <c r="F63" s="347">
        <f t="shared" ca="1" si="0"/>
        <v>7562.35</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87.9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7.2</v>
      </c>
      <c r="D65" s="1181" t="s">
        <v>1454</v>
      </c>
      <c r="E65" s="1167" t="s">
        <v>1422</v>
      </c>
      <c r="F65" s="375">
        <f t="shared" ca="1" si="0"/>
        <v>1.5E-3</v>
      </c>
      <c r="I65" s="1927" t="s">
        <v>1579</v>
      </c>
      <c r="J65" s="1928">
        <v>40</v>
      </c>
      <c r="K65" s="1928">
        <v>30</v>
      </c>
      <c r="L65" s="1928">
        <v>50</v>
      </c>
      <c r="M65" s="1930">
        <v>0.02</v>
      </c>
      <c r="O65" s="1882" t="s">
        <v>1040</v>
      </c>
      <c r="P65" s="1883" t="s">
        <v>1528</v>
      </c>
      <c r="Q65" s="1884">
        <f ca="1">C40+J29</f>
        <v>27152</v>
      </c>
      <c r="R65" s="1884" t="s">
        <v>1529</v>
      </c>
    </row>
    <row r="66" spans="1:18" s="1840" customFormat="1" ht="16.5" thickBot="1">
      <c r="A66" s="1199" t="s">
        <v>1504</v>
      </c>
      <c r="B66" s="1167" t="s">
        <v>1439</v>
      </c>
      <c r="C66" s="24">
        <f ca="1">ROUND(C48*F66,1)</f>
        <v>47.8</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1830</v>
      </c>
      <c r="D67" s="1180" t="s">
        <v>1464</v>
      </c>
      <c r="E67" s="1185"/>
      <c r="F67" s="1186"/>
      <c r="O67" s="1892" t="s">
        <v>1042</v>
      </c>
      <c r="P67" s="1883" t="s">
        <v>1562</v>
      </c>
      <c r="Q67" s="1931">
        <f ca="1">L51</f>
        <v>7045</v>
      </c>
      <c r="R67" s="1884" t="s">
        <v>1582</v>
      </c>
    </row>
    <row r="68" spans="1:18" s="1840" customFormat="1" ht="16.5" thickBot="1">
      <c r="A68" s="1164" t="s">
        <v>1032</v>
      </c>
      <c r="B68" s="1165" t="s">
        <v>1485</v>
      </c>
      <c r="C68" s="345">
        <f ca="1">ROUND(C67*(1-((1+F70)/(1+F68))^F69)/(F68-F70),0)</f>
        <v>14787</v>
      </c>
      <c r="D68" s="1182" t="s">
        <v>1469</v>
      </c>
      <c r="E68" s="1167" t="s">
        <v>1470</v>
      </c>
      <c r="F68" s="356">
        <f ca="1">F40</f>
        <v>5.5E-2</v>
      </c>
      <c r="O68" s="1892" t="s">
        <v>1043</v>
      </c>
      <c r="P68" s="1932" t="s">
        <v>1583</v>
      </c>
      <c r="Q68" s="1884">
        <f ca="1">ROUND(Q69-Q70*Q71,0)</f>
        <v>496</v>
      </c>
      <c r="R68" s="1884" t="s">
        <v>1051</v>
      </c>
    </row>
    <row r="69" spans="1:18" s="1840" customFormat="1" ht="13.5" thickBot="1">
      <c r="A69" s="1168"/>
      <c r="B69" s="1169"/>
      <c r="C69" s="350"/>
      <c r="D69" s="1187" t="s">
        <v>1473</v>
      </c>
      <c r="E69" s="1167" t="s">
        <v>1474</v>
      </c>
      <c r="F69" s="378">
        <f ca="1">F41</f>
        <v>9.2100000000000009</v>
      </c>
      <c r="O69" s="1892" t="s">
        <v>1048</v>
      </c>
      <c r="P69" s="1932" t="s">
        <v>1584</v>
      </c>
      <c r="Q69" s="1884">
        <f ca="1">C39</f>
        <v>904</v>
      </c>
      <c r="R69" s="1884" t="s">
        <v>1529</v>
      </c>
    </row>
    <row r="70" spans="1:18" s="1840" customFormat="1" ht="13.5" thickBot="1">
      <c r="A70" s="1171"/>
      <c r="B70" s="1172"/>
      <c r="C70" s="354"/>
      <c r="D70" s="1183"/>
      <c r="E70" s="1167" t="s">
        <v>1477</v>
      </c>
      <c r="F70" s="1273">
        <v>3.5000000000000003E-2</v>
      </c>
      <c r="O70" s="1892" t="s">
        <v>1049</v>
      </c>
      <c r="P70" s="1932" t="s">
        <v>1585</v>
      </c>
      <c r="Q70" s="1884">
        <f ca="1">C13</f>
        <v>4804</v>
      </c>
      <c r="R70" s="1884" t="s">
        <v>1529</v>
      </c>
    </row>
    <row r="71" spans="1:18" s="1840" customFormat="1" ht="13.5" thickBot="1">
      <c r="A71" s="1188" t="s">
        <v>1033</v>
      </c>
      <c r="B71" s="1189" t="s">
        <v>1487</v>
      </c>
      <c r="C71" s="381">
        <f ca="1">ROUND(C68*10000/F71,0)</f>
        <v>10165</v>
      </c>
      <c r="D71" s="1190" t="s">
        <v>1488</v>
      </c>
      <c r="E71" s="1191" t="s">
        <v>1489</v>
      </c>
      <c r="F71" s="384">
        <f ca="1">F43</f>
        <v>14547.060000000001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408</v>
      </c>
      <c r="D75" s="1840"/>
      <c r="E75" s="1840"/>
      <c r="F75" s="1840"/>
      <c r="K75" s="1866"/>
      <c r="L75" s="1840"/>
      <c r="O75" s="1882" t="s">
        <v>1046</v>
      </c>
      <c r="P75" s="1883" t="s">
        <v>1549</v>
      </c>
      <c r="Q75" s="1884">
        <f ca="1">Q65+Q66</f>
        <v>27152</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0.54899999999999993</v>
      </c>
    </row>
    <row r="80" spans="1:18">
      <c r="B80" s="385" t="s">
        <v>1511</v>
      </c>
      <c r="C80" s="317">
        <f ca="1">ROUND(C75/C39,3)</f>
        <v>0.45100000000000001</v>
      </c>
    </row>
    <row r="81" spans="2:3">
      <c r="B81" s="313" t="s">
        <v>1512</v>
      </c>
      <c r="C81" s="281"/>
    </row>
    <row r="82" spans="2:3">
      <c r="B82" s="316" t="s">
        <v>1513</v>
      </c>
      <c r="C82" s="318">
        <f ca="1">1-C83</f>
        <v>0.249</v>
      </c>
    </row>
    <row r="83" spans="2:3">
      <c r="B83" s="316" t="s">
        <v>1514</v>
      </c>
      <c r="C83" s="317">
        <f ca="1">ROUND(C13/C40,3)</f>
        <v>0.751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55" zoomScaleNormal="100" workbookViewId="0">
      <selection sqref="A1:B74"/>
    </sheetView>
  </sheetViews>
  <sheetFormatPr defaultRowHeight="13.5"/>
  <cols>
    <col min="1" max="1" width="5" style="1633" bestFit="1" customWidth="1"/>
    <col min="2" max="2" width="13.125" style="2960"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1" width="13.125" style="1633"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11" s="2949" customFormat="1">
      <c r="A1" s="2946" t="s">
        <v>3044</v>
      </c>
      <c r="B1" s="2947" t="s">
        <v>3045</v>
      </c>
      <c r="C1" s="2948" t="s">
        <v>3046</v>
      </c>
      <c r="D1" s="2948" t="s">
        <v>3047</v>
      </c>
      <c r="E1" s="2948" t="s">
        <v>3048</v>
      </c>
      <c r="F1" s="3011" t="s">
        <v>3049</v>
      </c>
      <c r="G1" s="2947" t="s">
        <v>3050</v>
      </c>
      <c r="H1" s="2948" t="s">
        <v>3051</v>
      </c>
      <c r="K1" s="2949" t="s">
        <v>3284</v>
      </c>
    </row>
    <row r="2" spans="1:11">
      <c r="A2" s="3359">
        <v>1</v>
      </c>
      <c r="B2" s="3365" t="s">
        <v>3252</v>
      </c>
      <c r="C2" s="2969">
        <v>101</v>
      </c>
      <c r="D2" s="2970">
        <v>2026.01</v>
      </c>
      <c r="E2" s="3371">
        <f>SUM(D2:D4)</f>
        <v>2532.4700000000003</v>
      </c>
      <c r="F2" s="3373">
        <v>816.99</v>
      </c>
      <c r="G2" s="3365" t="s">
        <v>3052</v>
      </c>
      <c r="H2" s="3365" t="s">
        <v>3053</v>
      </c>
      <c r="K2" s="3374">
        <v>2008</v>
      </c>
    </row>
    <row r="3" spans="1:11">
      <c r="A3" s="3359"/>
      <c r="B3" s="3365"/>
      <c r="C3" s="2963">
        <v>102</v>
      </c>
      <c r="D3" s="2964">
        <v>226.83</v>
      </c>
      <c r="E3" s="3372"/>
      <c r="F3" s="3373"/>
      <c r="G3" s="3365"/>
      <c r="H3" s="3365"/>
      <c r="K3" s="3374"/>
    </row>
    <row r="4" spans="1:11">
      <c r="A4" s="3359"/>
      <c r="B4" s="3365"/>
      <c r="C4" s="2969">
        <v>104</v>
      </c>
      <c r="D4" s="2970">
        <v>279.63</v>
      </c>
      <c r="E4" s="3372"/>
      <c r="F4" s="3373"/>
      <c r="G4" s="3365"/>
      <c r="H4" s="3365"/>
      <c r="K4" s="3374"/>
    </row>
    <row r="5" spans="1:11">
      <c r="A5" s="3359">
        <v>2</v>
      </c>
      <c r="B5" s="3365" t="s">
        <v>3054</v>
      </c>
      <c r="C5" s="2961" t="s">
        <v>3055</v>
      </c>
      <c r="D5" s="2962">
        <v>117.66</v>
      </c>
      <c r="E5" s="3367">
        <f>SUM(D5:D8)</f>
        <v>1079.4000000000001</v>
      </c>
      <c r="F5" s="3368">
        <v>839.62</v>
      </c>
      <c r="G5" s="3367" t="s">
        <v>3056</v>
      </c>
      <c r="H5" s="3367" t="s">
        <v>3057</v>
      </c>
      <c r="K5" s="3374">
        <v>2006</v>
      </c>
    </row>
    <row r="6" spans="1:11">
      <c r="A6" s="3359"/>
      <c r="B6" s="3365"/>
      <c r="C6" s="2961" t="s">
        <v>3058</v>
      </c>
      <c r="D6" s="2962">
        <v>114.45</v>
      </c>
      <c r="E6" s="3367"/>
      <c r="F6" s="3368"/>
      <c r="G6" s="3367"/>
      <c r="H6" s="3367"/>
      <c r="K6" s="3374"/>
    </row>
    <row r="7" spans="1:11">
      <c r="A7" s="3359"/>
      <c r="B7" s="3365"/>
      <c r="C7" s="2961" t="s">
        <v>3059</v>
      </c>
      <c r="D7" s="2962">
        <v>111.27</v>
      </c>
      <c r="E7" s="3367"/>
      <c r="F7" s="3368"/>
      <c r="G7" s="3367"/>
      <c r="H7" s="3367"/>
      <c r="K7" s="3374"/>
    </row>
    <row r="8" spans="1:11">
      <c r="A8" s="3359"/>
      <c r="B8" s="3365"/>
      <c r="C8" s="2961" t="s">
        <v>3060</v>
      </c>
      <c r="D8" s="2962">
        <v>736.02</v>
      </c>
      <c r="E8" s="3367"/>
      <c r="F8" s="3368"/>
      <c r="G8" s="3367"/>
      <c r="H8" s="3367"/>
      <c r="K8" s="3374"/>
    </row>
    <row r="9" spans="1:11">
      <c r="A9" s="3359">
        <v>3</v>
      </c>
      <c r="B9" s="3365" t="s">
        <v>3061</v>
      </c>
      <c r="C9" s="2950" t="s">
        <v>3062</v>
      </c>
      <c r="D9" s="2951">
        <v>114.42</v>
      </c>
      <c r="E9" s="3367">
        <f>SUM(D9:D12)</f>
        <v>911.72</v>
      </c>
      <c r="F9" s="3368">
        <v>709.18</v>
      </c>
      <c r="G9" s="3367" t="s">
        <v>3063</v>
      </c>
      <c r="H9" s="3367"/>
      <c r="I9" s="2974" t="s">
        <v>3143</v>
      </c>
      <c r="K9" s="3374"/>
    </row>
    <row r="10" spans="1:11">
      <c r="A10" s="3359"/>
      <c r="B10" s="3365"/>
      <c r="C10" s="2967" t="s">
        <v>3064</v>
      </c>
      <c r="D10" s="2968">
        <v>121.74</v>
      </c>
      <c r="E10" s="3367"/>
      <c r="F10" s="3368"/>
      <c r="G10" s="3367"/>
      <c r="H10" s="3367"/>
      <c r="K10" s="3374"/>
    </row>
    <row r="11" spans="1:11">
      <c r="A11" s="3359"/>
      <c r="B11" s="3365"/>
      <c r="C11" s="2967" t="s">
        <v>3058</v>
      </c>
      <c r="D11" s="2968">
        <v>154.80000000000001</v>
      </c>
      <c r="E11" s="3367"/>
      <c r="F11" s="3368"/>
      <c r="G11" s="3367"/>
      <c r="H11" s="3367"/>
      <c r="K11" s="3374"/>
    </row>
    <row r="12" spans="1:11">
      <c r="A12" s="3359"/>
      <c r="B12" s="3365"/>
      <c r="C12" s="2967" t="s">
        <v>3065</v>
      </c>
      <c r="D12" s="2968">
        <v>520.76</v>
      </c>
      <c r="E12" s="3367"/>
      <c r="F12" s="3368"/>
      <c r="G12" s="3367"/>
      <c r="H12" s="3367"/>
      <c r="K12" s="3374"/>
    </row>
    <row r="13" spans="1:11">
      <c r="A13" s="3359">
        <v>4</v>
      </c>
      <c r="B13" s="3365" t="s">
        <v>3066</v>
      </c>
      <c r="C13" s="2967">
        <v>101</v>
      </c>
      <c r="D13" s="2968">
        <v>781.2</v>
      </c>
      <c r="E13" s="3367">
        <f>SUM(D13:D18)</f>
        <v>5361.93</v>
      </c>
      <c r="F13" s="3368">
        <v>3275.33</v>
      </c>
      <c r="G13" s="3367" t="s">
        <v>3067</v>
      </c>
      <c r="H13" s="3367"/>
      <c r="K13" s="3374">
        <v>2007</v>
      </c>
    </row>
    <row r="14" spans="1:11">
      <c r="A14" s="3359"/>
      <c r="B14" s="3365"/>
      <c r="C14" s="2967" t="s">
        <v>3068</v>
      </c>
      <c r="D14" s="2968">
        <v>982.47</v>
      </c>
      <c r="E14" s="3367"/>
      <c r="F14" s="3368"/>
      <c r="G14" s="3367"/>
      <c r="H14" s="3367"/>
      <c r="K14" s="3374"/>
    </row>
    <row r="15" spans="1:11">
      <c r="A15" s="3359"/>
      <c r="B15" s="3365"/>
      <c r="C15" s="2967" t="s">
        <v>3069</v>
      </c>
      <c r="D15" s="2968">
        <v>798.98</v>
      </c>
      <c r="E15" s="3367"/>
      <c r="F15" s="3368"/>
      <c r="G15" s="3367"/>
      <c r="H15" s="3367"/>
      <c r="K15" s="3374"/>
    </row>
    <row r="16" spans="1:11" s="2952" customFormat="1">
      <c r="A16" s="3359"/>
      <c r="B16" s="3365"/>
      <c r="C16" s="2967">
        <v>202</v>
      </c>
      <c r="D16" s="2968">
        <v>999.63</v>
      </c>
      <c r="E16" s="3367"/>
      <c r="F16" s="3368"/>
      <c r="G16" s="3367"/>
      <c r="H16" s="3367"/>
      <c r="K16" s="3374"/>
    </row>
    <row r="17" spans="1:11" s="2952" customFormat="1">
      <c r="A17" s="3359"/>
      <c r="B17" s="3365"/>
      <c r="C17" s="2967" t="s">
        <v>3070</v>
      </c>
      <c r="D17" s="2968">
        <v>800.02</v>
      </c>
      <c r="E17" s="3367"/>
      <c r="F17" s="3368"/>
      <c r="G17" s="3367"/>
      <c r="H17" s="3367"/>
      <c r="K17" s="3374"/>
    </row>
    <row r="18" spans="1:11" s="2952" customFormat="1">
      <c r="A18" s="3359"/>
      <c r="B18" s="3365"/>
      <c r="C18" s="2967">
        <v>302</v>
      </c>
      <c r="D18" s="2968">
        <v>999.63</v>
      </c>
      <c r="E18" s="3367"/>
      <c r="F18" s="3368"/>
      <c r="G18" s="3367"/>
      <c r="H18" s="3367"/>
      <c r="K18" s="3374"/>
    </row>
    <row r="19" spans="1:11">
      <c r="A19" s="3359">
        <v>5</v>
      </c>
      <c r="B19" s="3365" t="s">
        <v>3071</v>
      </c>
      <c r="C19" s="2961" t="s">
        <v>3072</v>
      </c>
      <c r="D19" s="3367">
        <v>3750.59</v>
      </c>
      <c r="E19" s="3367">
        <f>SUM(D19:D21)</f>
        <v>3750.59</v>
      </c>
      <c r="F19" s="3368">
        <v>2136.88</v>
      </c>
      <c r="G19" s="3365" t="s">
        <v>3073</v>
      </c>
      <c r="H19" s="3365" t="s">
        <v>3074</v>
      </c>
      <c r="I19" s="2975">
        <f>ROUND(2004.11/4282.41*E19,2)</f>
        <v>1755.23</v>
      </c>
      <c r="K19" s="3374">
        <v>2005</v>
      </c>
    </row>
    <row r="20" spans="1:11">
      <c r="A20" s="3359"/>
      <c r="B20" s="3365"/>
      <c r="C20" s="2967" t="s">
        <v>3075</v>
      </c>
      <c r="D20" s="3367"/>
      <c r="E20" s="3367"/>
      <c r="F20" s="3368"/>
      <c r="G20" s="3365"/>
      <c r="H20" s="3365"/>
      <c r="I20" s="2975">
        <f>ROUND(1194/4282.41*E19,2)</f>
        <v>1045.72</v>
      </c>
      <c r="K20" s="3374"/>
    </row>
    <row r="21" spans="1:11">
      <c r="A21" s="3359"/>
      <c r="B21" s="3365"/>
      <c r="C21" s="2950" t="s">
        <v>3076</v>
      </c>
      <c r="D21" s="3367"/>
      <c r="E21" s="3367"/>
      <c r="F21" s="3368"/>
      <c r="G21" s="3365"/>
      <c r="H21" s="3365"/>
      <c r="I21" s="2975">
        <f>E19-I19-I20</f>
        <v>949.6400000000001</v>
      </c>
      <c r="K21" s="3374"/>
    </row>
    <row r="22" spans="1:11">
      <c r="A22" s="3359">
        <v>6</v>
      </c>
      <c r="B22" s="3366" t="s">
        <v>3077</v>
      </c>
      <c r="C22" s="2971">
        <v>-201</v>
      </c>
      <c r="D22" s="2968">
        <v>472.01</v>
      </c>
      <c r="E22" s="3367">
        <f>SUM(D22:D30)</f>
        <v>2388.5</v>
      </c>
      <c r="F22" s="3368">
        <v>876.86</v>
      </c>
      <c r="G22" s="3365" t="s">
        <v>3078</v>
      </c>
      <c r="H22" s="3365" t="s">
        <v>3079</v>
      </c>
      <c r="K22" s="3374">
        <v>2008</v>
      </c>
    </row>
    <row r="23" spans="1:11">
      <c r="A23" s="3359"/>
      <c r="B23" s="3366"/>
      <c r="C23" s="2971">
        <v>-202</v>
      </c>
      <c r="D23" s="2968">
        <v>317.08999999999997</v>
      </c>
      <c r="E23" s="3367"/>
      <c r="F23" s="3368"/>
      <c r="G23" s="3365"/>
      <c r="H23" s="3365"/>
      <c r="K23" s="3374"/>
    </row>
    <row r="24" spans="1:11">
      <c r="A24" s="3359"/>
      <c r="B24" s="3366"/>
      <c r="C24" s="2971">
        <v>-203</v>
      </c>
      <c r="D24" s="2968">
        <v>465.26</v>
      </c>
      <c r="E24" s="3367"/>
      <c r="F24" s="3368"/>
      <c r="G24" s="3365"/>
      <c r="H24" s="3365"/>
      <c r="K24" s="3374"/>
    </row>
    <row r="25" spans="1:11">
      <c r="A25" s="3359"/>
      <c r="B25" s="3366"/>
      <c r="C25" s="2971">
        <v>-101</v>
      </c>
      <c r="D25" s="2968">
        <v>387.84</v>
      </c>
      <c r="E25" s="3367"/>
      <c r="F25" s="3368"/>
      <c r="G25" s="3365"/>
      <c r="H25" s="3365"/>
      <c r="K25" s="3374"/>
    </row>
    <row r="26" spans="1:11">
      <c r="A26" s="3359"/>
      <c r="B26" s="3366"/>
      <c r="C26" s="2971">
        <v>-102</v>
      </c>
      <c r="D26" s="2968">
        <v>73.2</v>
      </c>
      <c r="E26" s="3367"/>
      <c r="F26" s="3368"/>
      <c r="G26" s="3365"/>
      <c r="H26" s="3365"/>
      <c r="K26" s="3374"/>
    </row>
    <row r="27" spans="1:11">
      <c r="A27" s="3359"/>
      <c r="B27" s="3366"/>
      <c r="C27" s="2971">
        <v>-103</v>
      </c>
      <c r="D27" s="2968">
        <v>74.73</v>
      </c>
      <c r="E27" s="3367"/>
      <c r="F27" s="3368"/>
      <c r="G27" s="3365"/>
      <c r="H27" s="3365"/>
      <c r="K27" s="3374"/>
    </row>
    <row r="28" spans="1:11">
      <c r="A28" s="3359"/>
      <c r="B28" s="3366"/>
      <c r="C28" s="2971">
        <v>101</v>
      </c>
      <c r="D28" s="2968">
        <v>98.42</v>
      </c>
      <c r="E28" s="3367"/>
      <c r="F28" s="3368"/>
      <c r="G28" s="3365"/>
      <c r="H28" s="3365"/>
      <c r="K28" s="3374"/>
    </row>
    <row r="29" spans="1:11">
      <c r="A29" s="3359"/>
      <c r="B29" s="3366"/>
      <c r="C29" s="2971">
        <v>201</v>
      </c>
      <c r="D29" s="2968">
        <v>410.51</v>
      </c>
      <c r="E29" s="3367"/>
      <c r="F29" s="3368"/>
      <c r="G29" s="3365"/>
      <c r="H29" s="3365"/>
      <c r="K29" s="3374"/>
    </row>
    <row r="30" spans="1:11">
      <c r="A30" s="3359"/>
      <c r="B30" s="3366"/>
      <c r="C30" s="2971">
        <v>202</v>
      </c>
      <c r="D30" s="2968">
        <v>89.44</v>
      </c>
      <c r="E30" s="3367"/>
      <c r="F30" s="3368"/>
      <c r="G30" s="3365"/>
      <c r="H30" s="3365"/>
      <c r="K30" s="3374"/>
    </row>
    <row r="31" spans="1:11">
      <c r="A31" s="3359">
        <v>7</v>
      </c>
      <c r="B31" s="3366" t="s">
        <v>3080</v>
      </c>
      <c r="C31" s="2967" t="s">
        <v>3081</v>
      </c>
      <c r="D31" s="2968">
        <v>632.94000000000005</v>
      </c>
      <c r="E31" s="3367">
        <f>SUM(D31:D33)</f>
        <v>1898.8200000000002</v>
      </c>
      <c r="F31" s="3368">
        <v>1031.45</v>
      </c>
      <c r="G31" s="3367" t="s">
        <v>3082</v>
      </c>
      <c r="H31" s="3367" t="s">
        <v>3083</v>
      </c>
      <c r="K31" s="3374"/>
    </row>
    <row r="32" spans="1:11">
      <c r="A32" s="3359"/>
      <c r="B32" s="3366"/>
      <c r="C32" s="2967" t="s">
        <v>3084</v>
      </c>
      <c r="D32" s="2968">
        <v>632.94000000000005</v>
      </c>
      <c r="E32" s="3367"/>
      <c r="F32" s="3368"/>
      <c r="G32" s="3367"/>
      <c r="H32" s="3367"/>
      <c r="K32" s="3374"/>
    </row>
    <row r="33" spans="1:11">
      <c r="A33" s="3359"/>
      <c r="B33" s="3366"/>
      <c r="C33" s="2967" t="s">
        <v>3085</v>
      </c>
      <c r="D33" s="2968">
        <v>632.94000000000005</v>
      </c>
      <c r="E33" s="3367"/>
      <c r="F33" s="3368"/>
      <c r="G33" s="3367"/>
      <c r="H33" s="3367"/>
      <c r="K33" s="3374"/>
    </row>
    <row r="34" spans="1:11">
      <c r="A34" s="3359">
        <v>8</v>
      </c>
      <c r="B34" s="3365" t="s">
        <v>3086</v>
      </c>
      <c r="C34" s="2967">
        <v>101</v>
      </c>
      <c r="D34" s="2968">
        <v>35.61</v>
      </c>
      <c r="E34" s="3361">
        <f>SUM(D34:D36)</f>
        <v>1276.8800000000001</v>
      </c>
      <c r="F34" s="3363">
        <v>1328.66</v>
      </c>
      <c r="G34" s="3365" t="s">
        <v>3087</v>
      </c>
      <c r="H34" s="3365" t="s">
        <v>3088</v>
      </c>
      <c r="K34" s="3374">
        <v>2007</v>
      </c>
    </row>
    <row r="35" spans="1:11">
      <c r="A35" s="3359"/>
      <c r="B35" s="3365"/>
      <c r="C35" s="2967" t="s">
        <v>3089</v>
      </c>
      <c r="D35" s="2968">
        <v>621.9</v>
      </c>
      <c r="E35" s="3361"/>
      <c r="F35" s="3363"/>
      <c r="G35" s="3365"/>
      <c r="H35" s="3365"/>
      <c r="K35" s="3374"/>
    </row>
    <row r="36" spans="1:11">
      <c r="A36" s="3359"/>
      <c r="B36" s="3365"/>
      <c r="C36" s="2967" t="s">
        <v>3090</v>
      </c>
      <c r="D36" s="2968">
        <v>619.37</v>
      </c>
      <c r="E36" s="3361"/>
      <c r="F36" s="3363"/>
      <c r="G36" s="3365"/>
      <c r="H36" s="3365"/>
      <c r="K36" s="3374"/>
    </row>
    <row r="37" spans="1:11" ht="24">
      <c r="A37" s="2953">
        <v>9</v>
      </c>
      <c r="B37" s="2954" t="s">
        <v>3091</v>
      </c>
      <c r="C37" s="2967" t="s">
        <v>3092</v>
      </c>
      <c r="D37" s="2968">
        <v>449.13</v>
      </c>
      <c r="E37" s="2955">
        <f>SUM(D37)</f>
        <v>449.13</v>
      </c>
      <c r="F37" s="3363"/>
      <c r="G37" s="2954" t="s">
        <v>3093</v>
      </c>
      <c r="H37" s="3365"/>
      <c r="K37" s="1633">
        <v>2006</v>
      </c>
    </row>
    <row r="38" spans="1:11">
      <c r="A38" s="3359">
        <v>10</v>
      </c>
      <c r="B38" s="3365" t="s">
        <v>3094</v>
      </c>
      <c r="C38" s="2965" t="s">
        <v>3095</v>
      </c>
      <c r="D38" s="2962">
        <v>144.41999999999999</v>
      </c>
      <c r="E38" s="3361">
        <f>SUM(D38:D41)</f>
        <v>470.37</v>
      </c>
      <c r="F38" s="3363">
        <v>147.53</v>
      </c>
      <c r="G38" s="3365" t="s">
        <v>3096</v>
      </c>
      <c r="H38" s="3365" t="s">
        <v>3097</v>
      </c>
      <c r="K38" s="3374">
        <v>2007</v>
      </c>
    </row>
    <row r="39" spans="1:11">
      <c r="A39" s="3359"/>
      <c r="B39" s="3365"/>
      <c r="C39" s="2965" t="s">
        <v>3098</v>
      </c>
      <c r="D39" s="2962">
        <v>113.4</v>
      </c>
      <c r="E39" s="3361"/>
      <c r="F39" s="3363"/>
      <c r="G39" s="3365"/>
      <c r="H39" s="3365"/>
      <c r="K39" s="3374"/>
    </row>
    <row r="40" spans="1:11">
      <c r="A40" s="3359"/>
      <c r="B40" s="3365"/>
      <c r="C40" s="2965" t="s">
        <v>3099</v>
      </c>
      <c r="D40" s="2962">
        <v>69.45</v>
      </c>
      <c r="E40" s="3361"/>
      <c r="F40" s="3363"/>
      <c r="G40" s="3365"/>
      <c r="H40" s="3365"/>
      <c r="K40" s="3374"/>
    </row>
    <row r="41" spans="1:11">
      <c r="A41" s="3359"/>
      <c r="B41" s="3365"/>
      <c r="C41" s="2965" t="s">
        <v>3100</v>
      </c>
      <c r="D41" s="2962">
        <v>143.1</v>
      </c>
      <c r="E41" s="3361"/>
      <c r="F41" s="3363"/>
      <c r="G41" s="3365"/>
      <c r="H41" s="3365"/>
      <c r="K41" s="3374"/>
    </row>
    <row r="42" spans="1:11">
      <c r="A42" s="3359">
        <v>11</v>
      </c>
      <c r="B42" s="3365" t="s">
        <v>3101</v>
      </c>
      <c r="C42" s="2972" t="s">
        <v>3102</v>
      </c>
      <c r="D42" s="2968">
        <v>425.29</v>
      </c>
      <c r="E42" s="3361">
        <f>SUM(D42:D50)</f>
        <v>1328.78</v>
      </c>
      <c r="F42" s="3363">
        <v>401.65</v>
      </c>
      <c r="G42" s="3365" t="s">
        <v>3103</v>
      </c>
      <c r="H42" s="3365" t="s">
        <v>3104</v>
      </c>
      <c r="K42" s="3374"/>
    </row>
    <row r="43" spans="1:11">
      <c r="A43" s="3359"/>
      <c r="B43" s="3365"/>
      <c r="C43" s="2972" t="s">
        <v>3105</v>
      </c>
      <c r="D43" s="2968">
        <v>158.84</v>
      </c>
      <c r="E43" s="3361"/>
      <c r="F43" s="3363"/>
      <c r="G43" s="3365"/>
      <c r="H43" s="3365"/>
      <c r="K43" s="3374"/>
    </row>
    <row r="44" spans="1:11">
      <c r="A44" s="3359"/>
      <c r="B44" s="3365"/>
      <c r="C44" s="2972" t="s">
        <v>3106</v>
      </c>
      <c r="D44" s="2968">
        <v>123.44</v>
      </c>
      <c r="E44" s="3361"/>
      <c r="F44" s="3363"/>
      <c r="G44" s="3365"/>
      <c r="H44" s="3365"/>
      <c r="K44" s="3374"/>
    </row>
    <row r="45" spans="1:11">
      <c r="A45" s="3359"/>
      <c r="B45" s="3365"/>
      <c r="C45" s="2972" t="s">
        <v>3107</v>
      </c>
      <c r="D45" s="2968">
        <v>118.41</v>
      </c>
      <c r="E45" s="3361"/>
      <c r="F45" s="3363"/>
      <c r="G45" s="3365"/>
      <c r="H45" s="3365"/>
      <c r="K45" s="3374"/>
    </row>
    <row r="46" spans="1:11">
      <c r="A46" s="3359"/>
      <c r="B46" s="3365"/>
      <c r="C46" s="2972" t="s">
        <v>3108</v>
      </c>
      <c r="D46" s="2968">
        <v>84.47</v>
      </c>
      <c r="E46" s="3361"/>
      <c r="F46" s="3363"/>
      <c r="G46" s="3365"/>
      <c r="H46" s="3365"/>
      <c r="K46" s="3374"/>
    </row>
    <row r="47" spans="1:11">
      <c r="A47" s="3359"/>
      <c r="B47" s="3365"/>
      <c r="C47" s="2972" t="s">
        <v>3109</v>
      </c>
      <c r="D47" s="2968">
        <v>84.46</v>
      </c>
      <c r="E47" s="3361"/>
      <c r="F47" s="3363"/>
      <c r="G47" s="3365"/>
      <c r="H47" s="3365"/>
      <c r="K47" s="3374"/>
    </row>
    <row r="48" spans="1:11">
      <c r="A48" s="3359"/>
      <c r="B48" s="3365"/>
      <c r="C48" s="2972" t="s">
        <v>3110</v>
      </c>
      <c r="D48" s="2968">
        <v>118.41</v>
      </c>
      <c r="E48" s="3361"/>
      <c r="F48" s="3363"/>
      <c r="G48" s="3365"/>
      <c r="H48" s="3365"/>
      <c r="K48" s="3374"/>
    </row>
    <row r="49" spans="1:11">
      <c r="A49" s="3359"/>
      <c r="B49" s="3365"/>
      <c r="C49" s="2972" t="s">
        <v>3111</v>
      </c>
      <c r="D49" s="2968">
        <v>118.41</v>
      </c>
      <c r="E49" s="3361"/>
      <c r="F49" s="3363"/>
      <c r="G49" s="3365"/>
      <c r="H49" s="3365"/>
      <c r="K49" s="3374"/>
    </row>
    <row r="50" spans="1:11">
      <c r="A50" s="3359"/>
      <c r="B50" s="3365"/>
      <c r="C50" s="2968" t="s">
        <v>3112</v>
      </c>
      <c r="D50" s="2968">
        <v>97.05</v>
      </c>
      <c r="E50" s="3361"/>
      <c r="F50" s="3363"/>
      <c r="G50" s="3365"/>
      <c r="H50" s="3365"/>
      <c r="K50" s="3374"/>
    </row>
    <row r="51" spans="1:11">
      <c r="A51" s="3359">
        <v>12</v>
      </c>
      <c r="B51" s="3360" t="s">
        <v>3113</v>
      </c>
      <c r="C51" s="2966" t="s">
        <v>3081</v>
      </c>
      <c r="D51" s="2962">
        <v>241.67</v>
      </c>
      <c r="E51" s="3361">
        <f>SUM(D51:D56)</f>
        <v>1305.8300000000002</v>
      </c>
      <c r="F51" s="3363">
        <v>913.1</v>
      </c>
      <c r="G51" s="3360" t="s">
        <v>3114</v>
      </c>
      <c r="H51" s="3364" t="s">
        <v>3083</v>
      </c>
      <c r="K51" s="3374">
        <v>2008</v>
      </c>
    </row>
    <row r="52" spans="1:11">
      <c r="A52" s="3359"/>
      <c r="B52" s="3360"/>
      <c r="C52" s="2966" t="s">
        <v>3115</v>
      </c>
      <c r="D52" s="2962">
        <v>376.85</v>
      </c>
      <c r="E52" s="3361"/>
      <c r="F52" s="3363"/>
      <c r="G52" s="3360"/>
      <c r="H52" s="3364"/>
      <c r="K52" s="3374"/>
    </row>
    <row r="53" spans="1:11">
      <c r="A53" s="3359"/>
      <c r="B53" s="3360"/>
      <c r="C53" s="2966" t="s">
        <v>3116</v>
      </c>
      <c r="D53" s="2962">
        <v>120.1</v>
      </c>
      <c r="E53" s="3361"/>
      <c r="F53" s="3363"/>
      <c r="G53" s="3360"/>
      <c r="H53" s="3364"/>
      <c r="K53" s="3374"/>
    </row>
    <row r="54" spans="1:11">
      <c r="A54" s="3359"/>
      <c r="B54" s="3360"/>
      <c r="C54" s="2966" t="s">
        <v>3117</v>
      </c>
      <c r="D54" s="2962">
        <v>393.76</v>
      </c>
      <c r="E54" s="3361"/>
      <c r="F54" s="3363"/>
      <c r="G54" s="3360"/>
      <c r="H54" s="3364"/>
      <c r="K54" s="3374"/>
    </row>
    <row r="55" spans="1:11">
      <c r="A55" s="3359"/>
      <c r="B55" s="3360"/>
      <c r="C55" s="2956" t="s">
        <v>3118</v>
      </c>
      <c r="D55" s="2951">
        <v>73.94</v>
      </c>
      <c r="E55" s="3361"/>
      <c r="F55" s="3363"/>
      <c r="G55" s="3360"/>
      <c r="H55" s="3364"/>
      <c r="I55" s="2974" t="s">
        <v>3144</v>
      </c>
      <c r="K55" s="3374"/>
    </row>
    <row r="56" spans="1:11">
      <c r="A56" s="3359"/>
      <c r="B56" s="3360"/>
      <c r="C56" s="2966" t="s">
        <v>3119</v>
      </c>
      <c r="D56" s="2962">
        <v>99.51</v>
      </c>
      <c r="E56" s="3361"/>
      <c r="F56" s="3363"/>
      <c r="G56" s="3360"/>
      <c r="H56" s="3364"/>
      <c r="K56" s="3374"/>
    </row>
    <row r="57" spans="1:11">
      <c r="A57" s="3359">
        <v>13</v>
      </c>
      <c r="B57" s="3360" t="s">
        <v>3120</v>
      </c>
      <c r="C57" s="2966" t="s">
        <v>3081</v>
      </c>
      <c r="D57" s="2962">
        <v>101.76</v>
      </c>
      <c r="E57" s="3361">
        <f>SUM(D57:D58)</f>
        <v>477.87</v>
      </c>
      <c r="F57" s="3363"/>
      <c r="G57" s="3360" t="s">
        <v>3121</v>
      </c>
      <c r="H57" s="3364"/>
      <c r="K57" s="3374"/>
    </row>
    <row r="58" spans="1:11">
      <c r="A58" s="3359"/>
      <c r="B58" s="3360"/>
      <c r="C58" s="2966" t="s">
        <v>3115</v>
      </c>
      <c r="D58" s="2962">
        <v>376.11</v>
      </c>
      <c r="E58" s="3362"/>
      <c r="F58" s="3363"/>
      <c r="G58" s="3360"/>
      <c r="H58" s="3364"/>
      <c r="K58" s="3374"/>
    </row>
    <row r="59" spans="1:11">
      <c r="A59" s="3359">
        <v>14</v>
      </c>
      <c r="B59" s="3360" t="s">
        <v>3122</v>
      </c>
      <c r="C59" s="2957" t="s">
        <v>3123</v>
      </c>
      <c r="D59" s="2958">
        <v>54.64</v>
      </c>
      <c r="E59" s="3361">
        <f>SUM(D59:D61)</f>
        <v>204.33</v>
      </c>
      <c r="F59" s="3363"/>
      <c r="G59" s="3364" t="s">
        <v>3124</v>
      </c>
      <c r="H59" s="3364"/>
      <c r="I59" s="3369" t="s">
        <v>3145</v>
      </c>
      <c r="K59" s="3374"/>
    </row>
    <row r="60" spans="1:11">
      <c r="A60" s="3359"/>
      <c r="B60" s="3360"/>
      <c r="C60" s="2957" t="s">
        <v>3125</v>
      </c>
      <c r="D60" s="2958">
        <v>65.930000000000007</v>
      </c>
      <c r="E60" s="3362"/>
      <c r="F60" s="3363"/>
      <c r="G60" s="3364"/>
      <c r="H60" s="3364"/>
      <c r="I60" s="3370"/>
      <c r="K60" s="3374"/>
    </row>
    <row r="61" spans="1:11">
      <c r="A61" s="3359"/>
      <c r="B61" s="3360"/>
      <c r="C61" s="2957" t="s">
        <v>3126</v>
      </c>
      <c r="D61" s="2958">
        <v>83.76</v>
      </c>
      <c r="E61" s="3362"/>
      <c r="F61" s="3363"/>
      <c r="G61" s="3364"/>
      <c r="H61" s="3364"/>
      <c r="I61" s="3370"/>
      <c r="K61" s="3374"/>
    </row>
    <row r="62" spans="1:11">
      <c r="A62" s="3359">
        <v>15</v>
      </c>
      <c r="B62" s="3360" t="s">
        <v>3127</v>
      </c>
      <c r="C62" s="2966" t="s">
        <v>3128</v>
      </c>
      <c r="D62" s="2962">
        <v>145.76</v>
      </c>
      <c r="E62" s="3361">
        <f>SUM(D62:D71)</f>
        <v>1028.96</v>
      </c>
      <c r="F62" s="3363"/>
      <c r="G62" s="3364" t="s">
        <v>3129</v>
      </c>
      <c r="H62" s="3364"/>
      <c r="K62" s="3374"/>
    </row>
    <row r="63" spans="1:11">
      <c r="A63" s="3359"/>
      <c r="B63" s="3360"/>
      <c r="C63" s="2966" t="s">
        <v>3130</v>
      </c>
      <c r="D63" s="2962">
        <v>111.17</v>
      </c>
      <c r="E63" s="3362"/>
      <c r="F63" s="3363"/>
      <c r="G63" s="3364"/>
      <c r="H63" s="3364"/>
      <c r="K63" s="3374"/>
    </row>
    <row r="64" spans="1:11">
      <c r="A64" s="3359"/>
      <c r="B64" s="3360"/>
      <c r="C64" s="2966" t="s">
        <v>3131</v>
      </c>
      <c r="D64" s="2962">
        <v>92.56</v>
      </c>
      <c r="E64" s="3362"/>
      <c r="F64" s="3363"/>
      <c r="G64" s="3364"/>
      <c r="H64" s="3364"/>
      <c r="K64" s="3374"/>
    </row>
    <row r="65" spans="1:11">
      <c r="A65" s="3359"/>
      <c r="B65" s="3360"/>
      <c r="C65" s="2966" t="s">
        <v>3132</v>
      </c>
      <c r="D65" s="2962">
        <v>243.48</v>
      </c>
      <c r="E65" s="3362"/>
      <c r="F65" s="3363"/>
      <c r="G65" s="3364"/>
      <c r="H65" s="3364"/>
      <c r="K65" s="3374"/>
    </row>
    <row r="66" spans="1:11">
      <c r="A66" s="3359"/>
      <c r="B66" s="3360"/>
      <c r="C66" s="2956" t="s">
        <v>3133</v>
      </c>
      <c r="D66" s="2951">
        <v>74.36</v>
      </c>
      <c r="E66" s="3362"/>
      <c r="F66" s="3363"/>
      <c r="G66" s="3364"/>
      <c r="H66" s="3364"/>
      <c r="I66" s="3369" t="s">
        <v>3145</v>
      </c>
      <c r="K66" s="3374"/>
    </row>
    <row r="67" spans="1:11">
      <c r="A67" s="3359"/>
      <c r="B67" s="3360"/>
      <c r="C67" s="2956" t="s">
        <v>3134</v>
      </c>
      <c r="D67" s="2951">
        <v>104.41</v>
      </c>
      <c r="E67" s="3362"/>
      <c r="F67" s="3363"/>
      <c r="G67" s="3364"/>
      <c r="H67" s="3364"/>
      <c r="I67" s="3370"/>
      <c r="K67" s="3374"/>
    </row>
    <row r="68" spans="1:11">
      <c r="A68" s="3359"/>
      <c r="B68" s="3360"/>
      <c r="C68" s="2956" t="s">
        <v>3135</v>
      </c>
      <c r="D68" s="2951">
        <v>63.88</v>
      </c>
      <c r="E68" s="3362"/>
      <c r="F68" s="3363"/>
      <c r="G68" s="3364"/>
      <c r="H68" s="3364"/>
      <c r="I68" s="3370"/>
      <c r="K68" s="3374"/>
    </row>
    <row r="69" spans="1:11">
      <c r="A69" s="3359"/>
      <c r="B69" s="3360"/>
      <c r="C69" s="2956" t="s">
        <v>3136</v>
      </c>
      <c r="D69" s="2951">
        <v>55.17</v>
      </c>
      <c r="E69" s="3362"/>
      <c r="F69" s="3363"/>
      <c r="G69" s="3364"/>
      <c r="H69" s="3364"/>
      <c r="I69" s="3370"/>
      <c r="K69" s="3374"/>
    </row>
    <row r="70" spans="1:11">
      <c r="A70" s="3359"/>
      <c r="B70" s="3360"/>
      <c r="C70" s="2956" t="s">
        <v>3137</v>
      </c>
      <c r="D70" s="2951">
        <v>82.96</v>
      </c>
      <c r="E70" s="3362"/>
      <c r="F70" s="3363"/>
      <c r="G70" s="3364"/>
      <c r="H70" s="3364"/>
      <c r="I70" s="3370"/>
      <c r="K70" s="3374"/>
    </row>
    <row r="71" spans="1:11">
      <c r="A71" s="3359"/>
      <c r="B71" s="3360"/>
      <c r="C71" s="2956" t="s">
        <v>3138</v>
      </c>
      <c r="D71" s="2951">
        <v>55.21</v>
      </c>
      <c r="E71" s="3362"/>
      <c r="F71" s="3363"/>
      <c r="G71" s="3364"/>
      <c r="H71" s="3364"/>
      <c r="I71" s="3370"/>
      <c r="K71" s="3374"/>
    </row>
    <row r="72" spans="1:11">
      <c r="A72" s="3359">
        <v>16</v>
      </c>
      <c r="B72" s="3360" t="s">
        <v>3139</v>
      </c>
      <c r="C72" s="2973" t="s">
        <v>3081</v>
      </c>
      <c r="D72" s="2968">
        <v>260.75</v>
      </c>
      <c r="E72" s="3361">
        <f>SUM(D72:D74)</f>
        <v>1301.79</v>
      </c>
      <c r="F72" s="3363">
        <v>918.03</v>
      </c>
      <c r="G72" s="3360" t="s">
        <v>3140</v>
      </c>
      <c r="H72" s="3360" t="s">
        <v>3141</v>
      </c>
      <c r="K72" s="3374">
        <v>2011</v>
      </c>
    </row>
    <row r="73" spans="1:11">
      <c r="A73" s="3359"/>
      <c r="B73" s="3360"/>
      <c r="C73" s="2973" t="s">
        <v>3084</v>
      </c>
      <c r="D73" s="2968">
        <v>419.33</v>
      </c>
      <c r="E73" s="3362"/>
      <c r="F73" s="3363"/>
      <c r="G73" s="3360"/>
      <c r="H73" s="3360"/>
      <c r="K73" s="3374"/>
    </row>
    <row r="74" spans="1:11">
      <c r="A74" s="3359"/>
      <c r="B74" s="3360"/>
      <c r="C74" s="2973" t="s">
        <v>3085</v>
      </c>
      <c r="D74" s="2968">
        <v>621.71</v>
      </c>
      <c r="E74" s="3362"/>
      <c r="F74" s="3363"/>
      <c r="G74" s="3360"/>
      <c r="H74" s="3360"/>
      <c r="K74" s="3374"/>
    </row>
    <row r="75" spans="1:11">
      <c r="A75" s="3358" t="s">
        <v>3142</v>
      </c>
      <c r="B75" s="3358"/>
      <c r="C75" s="3358"/>
      <c r="D75" s="2959">
        <f>SUM(D2:D74)</f>
        <v>25767.369999999981</v>
      </c>
      <c r="E75" s="2959">
        <f>SUM(E2:E74)</f>
        <v>25767.370000000003</v>
      </c>
      <c r="F75" s="3012">
        <f>SUM(F2:F74)</f>
        <v>13395.280000000002</v>
      </c>
      <c r="G75" s="2953"/>
      <c r="H75" s="2953"/>
    </row>
    <row r="76" spans="1:11">
      <c r="A76" s="3002"/>
      <c r="B76" s="3002"/>
      <c r="C76" s="3002"/>
      <c r="D76" s="3003"/>
      <c r="E76" s="3003"/>
      <c r="F76" s="3013"/>
      <c r="G76" s="3004"/>
      <c r="H76" s="3004"/>
    </row>
    <row r="77" spans="1:11">
      <c r="C77" s="3005"/>
      <c r="D77" s="3005"/>
      <c r="E77" s="3005"/>
      <c r="F77" s="3014"/>
      <c r="G77" s="3006" t="s">
        <v>3244</v>
      </c>
      <c r="H77" s="3006" t="s">
        <v>3245</v>
      </c>
      <c r="I77" s="3006" t="s">
        <v>3246</v>
      </c>
      <c r="J77" s="3006" t="s">
        <v>3248</v>
      </c>
      <c r="K77" s="3006" t="s">
        <v>3247</v>
      </c>
    </row>
    <row r="78" spans="1:11">
      <c r="C78" s="3005"/>
      <c r="D78" s="3005"/>
      <c r="E78" s="3005"/>
      <c r="F78" s="3006" t="s">
        <v>3249</v>
      </c>
      <c r="G78" s="3006">
        <v>1</v>
      </c>
      <c r="H78" s="3006">
        <v>0.7</v>
      </c>
      <c r="I78" s="3006">
        <v>0.65</v>
      </c>
      <c r="J78" s="3006">
        <v>0.6</v>
      </c>
      <c r="K78" s="3005">
        <v>0.55000000000000004</v>
      </c>
    </row>
    <row r="79" spans="1:11">
      <c r="C79" s="3005"/>
      <c r="D79" s="3005"/>
      <c r="E79" s="3006" t="s">
        <v>3251</v>
      </c>
      <c r="F79" s="3006" t="s">
        <v>3250</v>
      </c>
      <c r="G79" s="3006">
        <v>6</v>
      </c>
      <c r="H79" s="3006">
        <f>G79*H78</f>
        <v>4.1999999999999993</v>
      </c>
      <c r="I79" s="3006">
        <f>G79*I78</f>
        <v>3.9000000000000004</v>
      </c>
      <c r="J79" s="3006">
        <f>G79*J78</f>
        <v>3.5999999999999996</v>
      </c>
      <c r="K79" s="3005">
        <f>G79*K78</f>
        <v>3.3000000000000003</v>
      </c>
    </row>
    <row r="80" spans="1:11">
      <c r="C80" s="3005"/>
      <c r="D80" s="3006" t="s">
        <v>3149</v>
      </c>
      <c r="E80" s="3007">
        <f>D9+D55+D59+D60+D61+D66+D67+D68+D69+D70+D71+I21</f>
        <v>1778.3200000000002</v>
      </c>
      <c r="F80" s="3015">
        <f>ROUND((G80*G79+H80*H79)/E80,2)</f>
        <v>5.04</v>
      </c>
      <c r="G80" s="3007">
        <f>D9+D55+D59+D60+D61+D66+D67+D68+D69+D70+D71</f>
        <v>828.68000000000006</v>
      </c>
      <c r="H80" s="3007">
        <f>I21</f>
        <v>949.6400000000001</v>
      </c>
      <c r="I80" s="3005"/>
      <c r="J80" s="3005"/>
      <c r="K80" s="3005"/>
    </row>
    <row r="81" spans="3:11">
      <c r="C81" s="3008"/>
      <c r="D81" s="3006" t="s">
        <v>3146</v>
      </c>
      <c r="E81" s="3007">
        <f>E5+I19+E38+D51+D52+D53+D54+D56+D57+D58+D62+D63+D64+D65</f>
        <v>5607.7300000000005</v>
      </c>
      <c r="F81" s="3015">
        <f>ROUND((G81*G79+H81*H79+J81*J79)/E81,2)</f>
        <v>5.01</v>
      </c>
      <c r="G81" s="3007">
        <f>D5+D6+D7+E38+D51+D52+D53+D54+D56+E57+D62+D63+D64+D65</f>
        <v>3116.4799999999996</v>
      </c>
      <c r="H81" s="3007">
        <f>D8</f>
        <v>736.02</v>
      </c>
      <c r="I81" s="3005"/>
      <c r="J81" s="3007">
        <f>I19</f>
        <v>1755.23</v>
      </c>
      <c r="K81" s="3005"/>
    </row>
    <row r="82" spans="3:11">
      <c r="C82" s="3009"/>
      <c r="D82" s="3006" t="s">
        <v>3147</v>
      </c>
      <c r="E82" s="3007">
        <f>D10+D11+D12+E13+I20+E22+E31+E34+E37+E42</f>
        <v>14547.060000000001</v>
      </c>
      <c r="F82" s="3015">
        <f>ROUND((G82*G79+H82*H79+I82*I79+J82*J79+K82*K79)/E82,2)</f>
        <v>4.7300000000000004</v>
      </c>
      <c r="G82" s="3007">
        <f>D10+D11+D13+D14+I20+D28+D31+D34+D37+E42</f>
        <v>5630.81</v>
      </c>
      <c r="H82" s="3007">
        <f>D12+D15+D16+D29+D30+D32+D35</f>
        <v>4074.1600000000003</v>
      </c>
      <c r="I82" s="3007">
        <f>D17+D18+D33+D36</f>
        <v>3051.96</v>
      </c>
      <c r="J82" s="3007">
        <f>D25+D26+D27</f>
        <v>535.77</v>
      </c>
      <c r="K82" s="3007">
        <f>D22+D23+D24</f>
        <v>1254.3599999999999</v>
      </c>
    </row>
    <row r="83" spans="3:11">
      <c r="C83" s="3005"/>
      <c r="D83" s="3010" t="s">
        <v>3253</v>
      </c>
      <c r="E83" s="3007">
        <f>E2</f>
        <v>2532.4700000000003</v>
      </c>
      <c r="F83" s="3015">
        <f>G79</f>
        <v>6</v>
      </c>
      <c r="G83" s="3007">
        <f>E2</f>
        <v>2532.4700000000003</v>
      </c>
      <c r="H83" s="3005"/>
      <c r="I83" s="3005"/>
      <c r="J83" s="3005"/>
      <c r="K83" s="3005"/>
    </row>
    <row r="84" spans="3:11">
      <c r="C84" s="3005"/>
      <c r="D84" s="3010" t="s">
        <v>3150</v>
      </c>
      <c r="E84" s="3007">
        <f>E72</f>
        <v>1301.79</v>
      </c>
      <c r="F84" s="3015">
        <f>ROUND((G84*G79+H84*H79+I84*I79)/E84,2)</f>
        <v>4.42</v>
      </c>
      <c r="G84" s="3007">
        <f>D72</f>
        <v>260.75</v>
      </c>
      <c r="H84" s="3007">
        <f>D73</f>
        <v>419.33</v>
      </c>
      <c r="I84" s="3007">
        <f>D74</f>
        <v>621.71</v>
      </c>
      <c r="J84" s="3005"/>
      <c r="K84" s="3005"/>
    </row>
    <row r="85" spans="3:11">
      <c r="C85" s="3005"/>
      <c r="D85" s="3005"/>
      <c r="E85" s="3007">
        <f>SUM(E80:E84)</f>
        <v>25767.370000000003</v>
      </c>
      <c r="F85" s="3016"/>
      <c r="G85" s="3005"/>
      <c r="H85" s="3005"/>
      <c r="I85" s="3005"/>
      <c r="J85" s="3005"/>
      <c r="K85" s="3005"/>
    </row>
    <row r="88" spans="3:11">
      <c r="D88" s="1633">
        <v>2005</v>
      </c>
      <c r="E88" s="1633">
        <v>2006</v>
      </c>
      <c r="F88" s="1633">
        <v>2007</v>
      </c>
      <c r="G88" s="1633">
        <v>2008</v>
      </c>
    </row>
    <row r="89" spans="3:11">
      <c r="D89" s="3027">
        <v>0.78300000000000003</v>
      </c>
      <c r="E89" s="3028">
        <v>0.8</v>
      </c>
      <c r="F89" s="3027">
        <v>0.81599999999999995</v>
      </c>
      <c r="G89" s="3027">
        <v>0.83299999999999996</v>
      </c>
    </row>
    <row r="90" spans="3:11">
      <c r="C90" s="2974" t="s">
        <v>3285</v>
      </c>
      <c r="D90" s="2975">
        <f>I21</f>
        <v>949.6400000000001</v>
      </c>
      <c r="E90" s="2975">
        <f>D9</f>
        <v>114.42</v>
      </c>
      <c r="F90" s="3027"/>
      <c r="G90" s="2975">
        <f>D55+D59+D60+D61+D66+D67+D68+D69+D70+D71</f>
        <v>714.26</v>
      </c>
      <c r="H90" s="2975">
        <f>SUM(D90:G90)</f>
        <v>1778.3200000000002</v>
      </c>
      <c r="I90" s="3027">
        <f>ROUND((D89*D90+E89*E90+F89*F90+G89*G90)/H90,2)</f>
        <v>0.8</v>
      </c>
    </row>
    <row r="91" spans="3:11">
      <c r="C91" s="3026"/>
      <c r="D91" s="2975">
        <f>I19</f>
        <v>1755.23</v>
      </c>
      <c r="E91" s="2975">
        <f>E5</f>
        <v>1079.4000000000001</v>
      </c>
      <c r="F91" s="2975">
        <f>E38</f>
        <v>470.37</v>
      </c>
      <c r="G91" s="2975">
        <f>D51+D52+D53+D54+D56+D57+D58+D62+D63+D64+D65</f>
        <v>2302.7300000000005</v>
      </c>
      <c r="H91" s="2975">
        <f t="shared" ref="H91:H92" si="0">SUM(D91:G91)</f>
        <v>5607.7300000000005</v>
      </c>
      <c r="I91" s="3027">
        <f>ROUND((D89*D91+E89*E91+F89*F91+G89*G91)/H91,2)</f>
        <v>0.81</v>
      </c>
    </row>
    <row r="92" spans="3:11">
      <c r="C92" s="3025"/>
      <c r="D92" s="2975">
        <f>I20</f>
        <v>1045.72</v>
      </c>
      <c r="E92" s="2975">
        <f>D10+D11+D12+D37</f>
        <v>1246.4299999999998</v>
      </c>
      <c r="F92" s="2975">
        <f>E13+E34+E42</f>
        <v>7967.59</v>
      </c>
      <c r="G92" s="2975">
        <f>E22+E31</f>
        <v>4287.32</v>
      </c>
      <c r="H92" s="2975">
        <f t="shared" si="0"/>
        <v>14547.06</v>
      </c>
      <c r="I92" s="3027">
        <f>ROUND((D89*D92+E89*E92+F89*F92+G89*G92)/H92,2)</f>
        <v>0.82</v>
      </c>
    </row>
    <row r="94" spans="3:11">
      <c r="C94" s="2974" t="s">
        <v>3286</v>
      </c>
      <c r="D94" s="1633">
        <v>2005</v>
      </c>
      <c r="E94" s="1633">
        <v>2006</v>
      </c>
      <c r="F94" s="1633">
        <v>2007</v>
      </c>
      <c r="G94" s="1633">
        <v>2008</v>
      </c>
    </row>
    <row r="95" spans="3:11">
      <c r="C95" s="2952"/>
      <c r="D95" s="3028">
        <v>0.7</v>
      </c>
      <c r="E95" s="3027">
        <v>0.71599999999999997</v>
      </c>
      <c r="F95" s="3027">
        <v>0.73299999999999998</v>
      </c>
      <c r="G95" s="3028">
        <v>0.75</v>
      </c>
    </row>
    <row r="96" spans="3:11">
      <c r="C96" s="3026"/>
      <c r="D96" s="1633">
        <v>1755.23</v>
      </c>
      <c r="E96" s="1633">
        <v>1079.4000000000001</v>
      </c>
      <c r="F96" s="1633">
        <v>470.37</v>
      </c>
      <c r="G96" s="1633">
        <v>2302.7300000000005</v>
      </c>
      <c r="H96" s="1633">
        <v>5607.7300000000005</v>
      </c>
      <c r="I96" s="3027">
        <f>ROUND((D95*D96+E95*E96+F95*F96+G95*G96)/H96,2)</f>
        <v>0.73</v>
      </c>
    </row>
    <row r="97" spans="3:9">
      <c r="C97" s="2952"/>
      <c r="D97" s="3027">
        <v>0.63300000000000001</v>
      </c>
      <c r="E97" s="3028">
        <v>0.65</v>
      </c>
      <c r="F97" s="3027">
        <v>0.66600000000000004</v>
      </c>
      <c r="G97" s="3027">
        <v>0.68300000000000005</v>
      </c>
      <c r="I97" s="3027"/>
    </row>
    <row r="98" spans="3:9">
      <c r="C98" s="3025"/>
      <c r="D98" s="1633">
        <v>1045.72</v>
      </c>
      <c r="E98" s="1633">
        <v>1246.4299999999998</v>
      </c>
      <c r="F98" s="1633">
        <v>7967.59</v>
      </c>
      <c r="G98" s="1633">
        <v>4287.32</v>
      </c>
      <c r="H98" s="1633">
        <v>14547.06</v>
      </c>
      <c r="I98" s="3027">
        <f>ROUND((D97*D98+E97*E98+F97*F98+G97*G98)/H98,3)</f>
        <v>0.66700000000000004</v>
      </c>
    </row>
  </sheetData>
  <mergeCells count="95">
    <mergeCell ref="K72:K74"/>
    <mergeCell ref="K34:K36"/>
    <mergeCell ref="K38:K50"/>
    <mergeCell ref="K51:K71"/>
    <mergeCell ref="K2:K4"/>
    <mergeCell ref="K5:K12"/>
    <mergeCell ref="K13:K18"/>
    <mergeCell ref="K19:K21"/>
    <mergeCell ref="K22:K33"/>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 ref="F5:F8"/>
    <mergeCell ref="G5:G8"/>
    <mergeCell ref="G9:G12"/>
    <mergeCell ref="A13:A18"/>
    <mergeCell ref="B13:B18"/>
    <mergeCell ref="E13:E18"/>
    <mergeCell ref="F13:F18"/>
    <mergeCell ref="G13:G18"/>
    <mergeCell ref="H19:H21"/>
    <mergeCell ref="A22:A30"/>
    <mergeCell ref="B22:B30"/>
    <mergeCell ref="E22:E30"/>
    <mergeCell ref="F22:F30"/>
    <mergeCell ref="G22:G30"/>
    <mergeCell ref="H22:H30"/>
    <mergeCell ref="A19:A21"/>
    <mergeCell ref="B19:B21"/>
    <mergeCell ref="D19:D21"/>
    <mergeCell ref="E19:E21"/>
    <mergeCell ref="F19:F21"/>
    <mergeCell ref="G19:G21"/>
    <mergeCell ref="H34:H37"/>
    <mergeCell ref="A31:A33"/>
    <mergeCell ref="B31:B33"/>
    <mergeCell ref="E31:E33"/>
    <mergeCell ref="F31:F33"/>
    <mergeCell ref="G31:G33"/>
    <mergeCell ref="H31:H33"/>
    <mergeCell ref="A34:A36"/>
    <mergeCell ref="B34:B36"/>
    <mergeCell ref="E34:E36"/>
    <mergeCell ref="F34:F37"/>
    <mergeCell ref="G34:G36"/>
    <mergeCell ref="H38:H41"/>
    <mergeCell ref="A42:A50"/>
    <mergeCell ref="B42:B50"/>
    <mergeCell ref="E42:E50"/>
    <mergeCell ref="F42:F50"/>
    <mergeCell ref="G42:G50"/>
    <mergeCell ref="A38:A41"/>
    <mergeCell ref="B38:B41"/>
    <mergeCell ref="E38:E41"/>
    <mergeCell ref="F38:F41"/>
    <mergeCell ref="G38:G41"/>
    <mergeCell ref="A57:A58"/>
    <mergeCell ref="B57:B58"/>
    <mergeCell ref="E57:E58"/>
    <mergeCell ref="G57:G58"/>
    <mergeCell ref="H42:H50"/>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75:C75"/>
    <mergeCell ref="A72:A74"/>
    <mergeCell ref="B72:B74"/>
    <mergeCell ref="E72:E74"/>
    <mergeCell ref="F72:F74"/>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4" sqref="O2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2" t="s">
        <v>1638</v>
      </c>
      <c r="E3" s="1042" t="s">
        <v>1644</v>
      </c>
      <c r="F3" s="1042" t="s">
        <v>1638</v>
      </c>
      <c r="G3" s="1042" t="s">
        <v>1639</v>
      </c>
      <c r="H3" s="1042" t="s">
        <v>1638</v>
      </c>
      <c r="I3" s="1042" t="s">
        <v>1639</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63832</v>
      </c>
      <c r="I4" s="1042">
        <f ca="1">结果表!I118</f>
        <v>29103</v>
      </c>
    </row>
    <row r="5" spans="1:9" ht="30" customHeight="1">
      <c r="A5" s="3042" t="s">
        <v>1640</v>
      </c>
      <c r="B5" s="3042"/>
      <c r="C5" s="3042"/>
      <c r="D5" s="3043" t="e">
        <f ca="1">结果表!D119</f>
        <v>#REF!</v>
      </c>
      <c r="E5" s="3043"/>
      <c r="F5" s="3043" t="e">
        <f ca="1">结果表!F119</f>
        <v>#REF!</v>
      </c>
      <c r="G5" s="3043"/>
      <c r="H5" s="3043" t="str">
        <f ca="1">结果表!H119</f>
        <v>陆亿叁仟捌佰叁拾贰万元整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房地产抵押价值</v>
      </c>
      <c r="B8" s="3044"/>
      <c r="C8" s="3044"/>
      <c r="D8" s="3044">
        <f ca="1">结果表!D122</f>
        <v>63832</v>
      </c>
      <c r="E8" s="3044"/>
      <c r="F8" s="3044"/>
      <c r="G8" s="3044"/>
      <c r="H8" s="3044"/>
      <c r="I8" s="3044"/>
    </row>
    <row r="9" spans="1:9" ht="15">
      <c r="A9" s="3042" t="s">
        <v>1640</v>
      </c>
      <c r="B9" s="3042"/>
      <c r="C9" s="3042"/>
      <c r="D9" s="3043" t="str">
        <f ca="1">结果表!D123</f>
        <v>陆亿叁仟捌佰叁拾贰万元整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1" t="s">
        <v>1662</v>
      </c>
      <c r="B1" s="3051"/>
      <c r="C1" s="3051"/>
      <c r="D1" s="3051"/>
    </row>
    <row r="2" spans="1:4" ht="18">
      <c r="A2" s="3052" t="s">
        <v>1646</v>
      </c>
      <c r="B2" s="3052"/>
      <c r="C2" s="3052"/>
      <c r="D2" s="3052"/>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郑燚</v>
      </c>
      <c r="B5" s="1977">
        <f ca="1">项目基本情况!E4</f>
        <v>1120070131</v>
      </c>
      <c r="C5" s="1980"/>
      <c r="D5" s="1979" t="s">
        <v>1651</v>
      </c>
    </row>
    <row r="6" spans="1:4" ht="18">
      <c r="A6" s="3052" t="s">
        <v>1652</v>
      </c>
      <c r="B6" s="3052"/>
      <c r="C6" s="3052"/>
      <c r="D6" s="3052"/>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5" t="s">
        <v>1669</v>
      </c>
      <c r="B15" s="3060" t="s">
        <v>136</v>
      </c>
      <c r="C15" s="3061"/>
    </row>
    <row r="16" spans="1:7" ht="13.5">
      <c r="A16" s="3066"/>
      <c r="B16" s="3060" t="s">
        <v>69</v>
      </c>
      <c r="C16" s="3061"/>
    </row>
    <row r="17" spans="1:3" ht="13.5">
      <c r="A17" s="3066"/>
      <c r="B17" s="3063" t="s">
        <v>1670</v>
      </c>
      <c r="C17" s="1998" t="s">
        <v>1669</v>
      </c>
    </row>
    <row r="18" spans="1:3" ht="13.5">
      <c r="A18" s="3066"/>
      <c r="B18" s="3063"/>
      <c r="C18" s="1998" t="s">
        <v>1671</v>
      </c>
    </row>
    <row r="19" spans="1:3" ht="13.5">
      <c r="A19" s="3066"/>
      <c r="B19" s="3063"/>
      <c r="C19" s="1998" t="s">
        <v>1672</v>
      </c>
    </row>
    <row r="20" spans="1:3" ht="13.5">
      <c r="A20" s="3067"/>
      <c r="B20" s="3062" t="s">
        <v>1673</v>
      </c>
      <c r="C20" s="3061"/>
    </row>
    <row r="21" spans="1:3" ht="13.5">
      <c r="A21" s="1999" t="s">
        <v>1674</v>
      </c>
      <c r="B21" s="2000"/>
      <c r="C21" s="2001"/>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8" t="s">
        <v>1680</v>
      </c>
    </row>
    <row r="26" spans="1:3" ht="13.5">
      <c r="A26" s="3064"/>
      <c r="B26" s="3063"/>
      <c r="C26" s="1998" t="s">
        <v>1681</v>
      </c>
    </row>
    <row r="27" spans="1:3" ht="13.5">
      <c r="A27" s="3064"/>
      <c r="B27" s="3063"/>
      <c r="C27" s="1998" t="s">
        <v>1682</v>
      </c>
    </row>
    <row r="28" spans="1:3" ht="13.5">
      <c r="A28" s="3064"/>
      <c r="B28" s="3063"/>
      <c r="C28" s="1998" t="s">
        <v>1683</v>
      </c>
    </row>
    <row r="29" spans="1:3" ht="13.5">
      <c r="A29" s="3064"/>
      <c r="B29" s="3063"/>
      <c r="C29" s="1998" t="s">
        <v>1684</v>
      </c>
    </row>
    <row r="30" spans="1:3" ht="13.5">
      <c r="A30" s="3064"/>
      <c r="B30" s="3063"/>
      <c r="C30" s="1998" t="s">
        <v>1685</v>
      </c>
    </row>
    <row r="31" spans="1:3" ht="13.5">
      <c r="A31" s="3064"/>
      <c r="B31" s="3063"/>
      <c r="C31" s="1998" t="s">
        <v>1686</v>
      </c>
    </row>
    <row r="32" spans="1:3" ht="13.5">
      <c r="A32" s="3064"/>
      <c r="B32" s="3063"/>
      <c r="C32" s="1998" t="s">
        <v>1687</v>
      </c>
    </row>
    <row r="33" spans="1:3" ht="13.5">
      <c r="A33" s="3064"/>
      <c r="B33" s="306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43355</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3041</v>
      </c>
      <c r="B12" s="1020">
        <v>1120110054</v>
      </c>
      <c r="C12" s="2935">
        <v>43937</v>
      </c>
      <c r="D12" s="1700" t="s">
        <v>3041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5">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68" t="s">
        <v>846</v>
      </c>
      <c r="B25" s="3068"/>
      <c r="C25" s="3068"/>
      <c r="D25" s="3068"/>
      <c r="E25" s="3068"/>
      <c r="F25" s="3068"/>
      <c r="G25" s="3068"/>
    </row>
    <row r="26" spans="1:7" s="1023" customFormat="1" ht="24" customHeight="1">
      <c r="A26" s="3069" t="s">
        <v>847</v>
      </c>
      <c r="B26" s="3069"/>
      <c r="C26" s="3070"/>
      <c r="D26" s="3071" t="s">
        <v>848</v>
      </c>
      <c r="E26" s="3069"/>
      <c r="F26" s="306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基准地价修正</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2018-09-12T01:02:27Z</dcterms:modified>
</cp:coreProperties>
</file>