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J53" i="15" l="1"/>
  <c r="E20" i="1"/>
  <c r="G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H23" i="31"/>
  <c r="F5" i="61"/>
  <c r="E2" i="21"/>
  <c r="C20" i="57"/>
  <c r="D3" i="61"/>
  <c r="E2" i="34"/>
  <c r="F6" i="61"/>
  <c r="D4" i="61"/>
  <c r="F3" i="61"/>
  <c r="E2" i="36"/>
  <c r="E2" i="11"/>
  <c r="F4" i="61"/>
  <c r="D20" i="57"/>
  <c r="E2" i="33"/>
  <c r="D6" i="61"/>
  <c r="D5" i="61"/>
  <c r="E2" i="37"/>
  <c r="E2" i="35"/>
  <c r="D7" i="61"/>
  <c r="C19" i="57"/>
  <c r="D19" i="57"/>
  <c r="F7" i="61"/>
  <c r="A8" i="52" l="1"/>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H14" i="62"/>
  <c r="B7" i="62"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20" i="11" l="1"/>
  <c r="C28" i="11" s="1"/>
  <c r="C27" i="11" s="1"/>
  <c r="C18" i="12"/>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J7" i="36"/>
  <c r="W7" i="36"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1" i="9" l="1"/>
  <c r="C102" i="9"/>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2" i="9" l="1"/>
  <c r="G20" i="9"/>
  <c r="C32" i="9" s="1"/>
  <c r="C35" i="9" s="1"/>
  <c r="C34" i="9" s="1"/>
  <c r="D101" i="9"/>
  <c r="G19" i="9"/>
  <c r="D22"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I103" i="9" s="1"/>
  <c r="H121" i="9" l="1"/>
  <c r="D107" i="9"/>
  <c r="C104" i="9"/>
  <c r="C103" i="9" l="1"/>
  <c r="D14" i="62"/>
  <c r="D106" i="9"/>
  <c r="D112" i="9" s="1"/>
  <c r="H122" i="9"/>
  <c r="I102" i="9"/>
  <c r="N48" i="9" l="1"/>
  <c r="D45" i="9"/>
  <c r="I110" i="9"/>
  <c r="D125" i="9" s="1"/>
  <c r="G14" i="62" s="1"/>
  <c r="B6" i="62" s="1"/>
  <c r="D117" i="9"/>
  <c r="I115" i="9" s="1"/>
  <c r="D113" i="9"/>
  <c r="I111" i="9" s="1"/>
  <c r="D126" i="9" s="1"/>
  <c r="F14" i="62"/>
  <c r="E14" i="62"/>
  <c r="B5" i="62"/>
  <c r="D6" i="62" l="1"/>
  <c r="C6" i="62"/>
  <c r="D5" i="62"/>
  <c r="C5" i="62"/>
  <c r="C93" i="9"/>
  <c r="C86" i="9" s="1"/>
  <c r="C85" i="9"/>
  <c r="D52" i="9"/>
  <c r="C78" i="9"/>
  <c r="C73" i="9" s="1"/>
  <c r="C72" i="9"/>
  <c r="C64" i="9"/>
  <c r="C63" i="9" s="1"/>
  <c r="C67" i="9" s="1"/>
  <c r="C68" i="9" s="1"/>
  <c r="D54" i="9" s="1"/>
  <c r="D53" i="9"/>
  <c r="D48" i="9" s="1"/>
  <c r="N52" i="9" s="1"/>
  <c r="O57" i="9" s="1"/>
  <c r="C79" i="9" l="1"/>
  <c r="O59" i="9"/>
  <c r="Q57" i="9"/>
  <c r="O58" i="9"/>
  <c r="C80" i="9"/>
  <c r="E80" i="9" s="1"/>
  <c r="E81" i="9" s="1"/>
  <c r="C95" i="9"/>
  <c r="C81" i="9" l="1"/>
  <c r="O61" i="9"/>
  <c r="O60"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<sst xmlns="http://schemas.openxmlformats.org/spreadsheetml/2006/main" count="6904" uniqueCount="3046">
  <si>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</si>
  <si>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</si>
  <si>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</si>
  <si>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</si>
  <si>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</si>
  <si>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</si>
  <si>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</si>
  <si>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</si>
  <si>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</si>
  <si>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</si>
  <si>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</si>
  <si>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</si>
  <si>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</si>
  <si>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</si>
  <si>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</si>
  <si>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</si>
  <si>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</si>
  <si>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</si>
  <si>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</si>
  <si>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</si>
  <si>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</si>
  <si>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</si>
  <si>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</si>
  <si>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</si>
  <si>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</si>
  <si>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</si>
  <si>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</si>
  <si>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</si>
  <si>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</si>
  <si>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</si>
  <si>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</si>
  <si>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</si>
  <si>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</si>
  <si>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</si>
  <si>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</si>
  <si>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</si>
  <si>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</si>
  <si>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</si>
  <si>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</si>
  <si>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</si>
  <si>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</si>
  <si>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</si>
  <si>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</si>
  <si>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</si>
  <si>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</si>
  <si>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</si>
  <si>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</si>
  <si>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</si>
  <si>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</si>
  <si>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</si>
  <si>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</si>
  <si>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</si>
  <si>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</si>
  <si>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</si>
  <si>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</si>
  <si>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</si>
  <si>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</si>
  <si>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</si>
  <si>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</si>
  <si>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</si>
  <si>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</si>
  <si>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</si>
  <si>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</si>
  <si>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</si>
  <si>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</si>
  <si>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</si>
  <si>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</si>
  <si>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</si>
  <si>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</si>
  <si>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</si>
  <si>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</si>
  <si>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</si>
  <si>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</si>
  <si>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</si>
  <si>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</si>
  <si>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</si>
  <si>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</si>
  <si>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</si>
  <si>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</si>
  <si>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</si>
  <si>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</si>
  <si>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</si>
  <si>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</si>
  <si>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</si>
  <si>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</si>
  <si>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</si>
  <si>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</si>
  <si>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</si>
  <si>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</si>
  <si>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</si>
  <si>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</si>
  <si>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</si>
  <si>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</si>
  <si>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</si>
  <si>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</si>
  <si>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</si>
  <si>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</si>
  <si>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</si>
  <si>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</si>
  <si>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</si>
  <si>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</si>
  <si>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</si>
  <si>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</si>
  <si>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</si>
  <si>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</si>
  <si>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</si>
  <si>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</si>
  <si>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</si>
  <si>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</si>
  <si>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</si>
  <si>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</si>
  <si>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</si>
  <si>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</si>
  <si>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</si>
  <si>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</si>
  <si>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</si>
  <si>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</si>
  <si>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</si>
  <si>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</si>
  <si>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</si>
  <si>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</si>
  <si>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</si>
  <si>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</si>
  <si>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</si>
  <si>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</si>
  <si>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</si>
  <si>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</si>
  <si>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</si>
  <si>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</si>
  <si>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</si>
  <si>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</si>
  <si>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</si>
  <si>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</si>
  <si>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</si>
  <si>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</si>
  <si>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</si>
  <si>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</si>
  <si>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</si>
  <si>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</si>
  <si>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</si>
  <si>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</si>
  <si>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</si>
  <si>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</si>
  <si>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</si>
  <si>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</si>
  <si>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</si>
  <si>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</si>
  <si>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</si>
  <si>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</si>
  <si>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</si>
  <si>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</si>
  <si>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</si>
  <si>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</si>
  <si>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</si>
  <si>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</si>
  <si>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</si>
  <si>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</si>
  <si>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</si>
  <si>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</si>
  <si>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</si>
  <si>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</si>
  <si>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</si>
  <si>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</si>
  <si>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</si>
  <si>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</si>
  <si>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</si>
  <si>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</si>
  <si>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</si>
  <si>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</si>
  <si>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</si>
  <si>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</si>
  <si>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</si>
  <si>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</si>
  <si>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</si>
  <si>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</si>
  <si>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</si>
  <si>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</si>
  <si>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</si>
  <si>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</si>
  <si>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</si>
  <si>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</si>
  <si>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</si>
  <si>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</si>
  <si>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</si>
  <si>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</si>
  <si>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</si>
  <si>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</si>
  <si>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</si>
  <si>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</si>
  <si>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</si>
  <si>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</si>
  <si>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</si>
  <si>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</si>
  <si>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</si>
  <si>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</si>
  <si>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</si>
  <si>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</si>
  <si>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</si>
  <si>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</si>
  <si>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</si>
  <si>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</si>
  <si>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</si>
  <si>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</si>
  <si>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</si>
  <si>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</si>
  <si>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</si>
  <si>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</si>
  <si>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</si>
  <si>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</si>
  <si>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</si>
  <si>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</si>
  <si>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</si>
  <si>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</si>
  <si>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</si>
  <si>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</si>
  <si>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</si>
  <si>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</si>
  <si>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</si>
  <si>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</si>
  <si>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</si>
  <si>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</si>
  <si>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</si>
  <si>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</si>
  <si>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</si>
  <si>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</si>
  <si>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</si>
  <si>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</si>
  <si>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</si>
  <si>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</si>
  <si>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</si>
  <si>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</si>
  <si>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</si>
  <si>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</si>
  <si>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</si>
  <si>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</si>
  <si>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</si>
  <si>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</si>
  <si>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</si>
  <si>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</si>
  <si>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</si>
  <si>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</si>
  <si>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</si>
  <si>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</si>
  <si>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</si>
  <si>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</si>
  <si>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</si>
  <si>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</si>
  <si>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</si>
  <si>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</si>
  <si>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</si>
  <si>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</si>
  <si>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</si>
  <si>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</si>
  <si>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</si>
  <si>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</si>
  <si>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</si>
  <si>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</si>
  <si>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</si>
  <si>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</si>
  <si>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</si>
  <si>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</si>
  <si>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</si>
  <si>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</si>
  <si>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</si>
  <si>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</si>
  <si>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</si>
  <si>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</si>
  <si>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</si>
  <si>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</si>
  <si>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</si>
  <si>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</si>
  <si>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</si>
  <si>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</si>
  <si>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</si>
  <si>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</si>
  <si>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</si>
  <si>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</si>
  <si>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</si>
  <si>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</si>
  <si>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</si>
  <si>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</si>
  <si>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</si>
  <si>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</si>
  <si>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</si>
  <si>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</si>
  <si>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</si>
  <si>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</si>
  <si>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</si>
  <si>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</si>
  <si>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</si>
  <si>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</si>
  <si>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</si>
  <si>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</si>
  <si>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</si>
  <si>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</si>
  <si>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</si>
  <si>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</si>
  <si>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</si>
  <si>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</si>
  <si>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</si>
  <si>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</si>
  <si>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</si>
  <si>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</si>
  <si>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</si>
  <si>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</si>
  <si>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</si>
  <si>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</si>
  <si>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</si>
  <si>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</si>
  <si>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</si>
  <si>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</si>
  <si>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</si>
  <si>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</si>
  <si>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</si>
  <si>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</si>
  <si>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</si>
  <si>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</si>
  <si>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</si>
  <si>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</si>
  <si>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</si>
  <si>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</si>
  <si>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</si>
  <si>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</si>
  <si>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</si>
  <si>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</si>
  <si>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</si>
  <si>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</si>
  <si>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</si>
  <si>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</si>
  <si>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</si>
  <si>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</si>
  <si>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</si>
  <si>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</si>
  <si>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</si>
  <si>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</si>
  <si>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</si>
  <si>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</si>
  <si>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</si>
  <si>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</si>
  <si>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</si>
  <si>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</si>
  <si>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</si>
  <si>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</si>
  <si>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</si>
  <si>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</si>
  <si>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</si>
  <si>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</si>
  <si>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</si>
  <si>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</si>
  <si>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</si>
  <si>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</si>
  <si>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</si>
  <si>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</si>
  <si>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</si>
  <si>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</si>
  <si>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</si>
  <si>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</si>
  <si>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</si>
  <si>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</si>
  <si>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</si>
  <si>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</si>
  <si>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</si>
  <si>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</si>
  <si>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</si>
  <si>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</si>
  <si>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</si>
  <si>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</si>
  <si>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</si>
  <si>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</si>
  <si>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</si>
  <si>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</si>
  <si>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</si>
  <si>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</si>
  <si>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</si>
  <si>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</si>
  <si>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</si>
  <si>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</si>
  <si>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</si>
  <si>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</si>
  <si>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</si>
  <si>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</si>
  <si>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</si>
  <si>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</si>
  <si>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</si>
  <si>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</si>
  <si>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</si>
  <si>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</si>
  <si>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</si>
  <si>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</si>
  <si>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</si>
  <si>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</si>
  <si>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</si>
  <si>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</si>
  <si>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</si>
  <si>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</si>
  <si>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</si>
  <si>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</si>
  <si>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</si>
  <si>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</si>
  <si>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</si>
  <si>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</si>
  <si>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</si>
  <si>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</si>
  <si>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</si>
  <si>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</si>
  <si>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</si>
  <si>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</si>
  <si>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</si>
  <si>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</si>
  <si>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</si>
  <si>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</si>
  <si>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</si>
  <si>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</si>
  <si>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</si>
  <si>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</si>
  <si>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</si>
  <si>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</si>
  <si>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</si>
  <si>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</si>
  <si>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</si>
  <si>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</si>
  <si>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</si>
  <si>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</si>
  <si>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</si>
  <si>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</si>
  <si>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</si>
  <si>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</si>
  <si>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</si>
  <si>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</si>
  <si>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</si>
  <si>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</si>
  <si>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</si>
  <si>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</si>
  <si>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</si>
  <si>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</si>
  <si>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</si>
  <si>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</si>
  <si>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</si>
  <si>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</si>
  <si>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</si>
  <si>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</si>
  <si>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</si>
  <si>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</si>
  <si>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</si>
  <si>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</si>
  <si>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</si>
  <si>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</si>
  <si>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</si>
  <si>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</si>
  <si>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</si>
  <si>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</si>
  <si>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</si>
  <si>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</si>
  <si>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</si>
  <si>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</si>
  <si>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</si>
  <si>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</si>
  <si>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</si>
  <si>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</si>
  <si>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</si>
  <si>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</si>
  <si>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</si>
  <si>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</si>
  <si>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</si>
  <si>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</si>
  <si>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</si>
  <si>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</si>
  <si>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</si>
  <si>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</si>
  <si>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</si>
  <si>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</si>
  <si>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</si>
  <si>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</si>
  <si>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</si>
  <si>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</si>
  <si>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</si>
  <si>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</si>
  <si>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</si>
  <si>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</si>
  <si>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</si>
  <si>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</si>
  <si>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</si>
  <si>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</si>
  <si>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</si>
  <si>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</si>
  <si>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</si>
  <si>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</si>
  <si>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</si>
  <si>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</si>
  <si>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</si>
  <si>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</si>
  <si>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</si>
  <si>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</si>
  <si>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</si>
  <si>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</si>
  <si>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</si>
  <si>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</si>
  <si>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</si>
  <si>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</si>
  <si>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</si>
  <si>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</si>
  <si>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</si>
  <si>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</si>
  <si>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</si>
  <si>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</si>
  <si>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</si>
  <si>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</si>
  <si>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</si>
  <si>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</si>
  <si>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</si>
  <si>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</si>
  <si>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</si>
  <si>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</si>
  <si>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</si>
  <si>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</si>
  <si>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</si>
  <si>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</si>
  <si>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</si>
  <si>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</si>
  <si>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</si>
  <si>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</si>
  <si>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</si>
  <si>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</si>
  <si>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</si>
  <si>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</si>
  <si>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</si>
  <si>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</si>
  <si>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</si>
  <si>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</si>
  <si>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</si>
  <si>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</si>
  <si>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</si>
  <si>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</si>
  <si>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</si>
  <si>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</si>
  <si>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</si>
  <si>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</si>
  <si>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</si>
  <si>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</si>
  <si>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</si>
  <si>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</si>
  <si>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</si>
  <si>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</si>
  <si>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</si>
  <si>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</si>
  <si>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</si>
  <si>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</si>
  <si>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</si>
  <si>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</si>
  <si>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</si>
  <si>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</si>
  <si>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</si>
  <si>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</si>
  <si>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</si>
  <si>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</si>
  <si>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</si>
  <si>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</si>
  <si>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</si>
  <si>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</si>
  <si>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</si>
  <si>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</si>
  <si>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</si>
  <si>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</si>
  <si>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</si>
  <si>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</si>
  <si>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</si>
  <si>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</si>
  <si>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</si>
  <si>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</si>
  <si>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</si>
  <si>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</si>
  <si>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</si>
  <si>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</si>
  <si>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</si>
  <si>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</si>
  <si>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</si>
  <si>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</si>
  <si>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</si>
  <si>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</si>
  <si>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</si>
  <si>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</si>
  <si>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</si>
  <si>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</si>
  <si>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</si>
  <si>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</si>
  <si>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</si>
  <si>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</si>
  <si>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</si>
  <si>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</si>
  <si>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</si>
  <si>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</si>
  <si>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</si>
  <si>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</si>
  <si>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</si>
  <si>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</si>
  <si>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</si>
  <si>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</si>
  <si>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</si>
  <si>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</si>
  <si>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</si>
  <si>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</si>
  <si>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</si>
  <si>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</si>
  <si>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</si>
  <si>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</si>
  <si>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</si>
  <si>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</si>
  <si>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</si>
  <si>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</si>
  <si>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</si>
  <si>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</si>
  <si>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</si>
  <si>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</si>
  <si>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</si>
  <si>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</si>
  <si>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</si>
  <si>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</si>
  <si>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</si>
  <si>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</si>
  <si>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</si>
  <si>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</si>
  <si>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</si>
  <si>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</si>
  <si>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</si>
  <si>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</si>
  <si>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</si>
  <si>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</si>
  <si>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</si>
  <si>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</si>
  <si>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</si>
  <si>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</si>
  <si>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</si>
  <si>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</si>
  <si>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</si>
  <si>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</si>
  <si>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</si>
  <si>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</si>
  <si>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</si>
  <si>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</si>
  <si>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</si>
  <si>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</si>
  <si>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</si>
  <si>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</si>
  <si>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</si>
  <si>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</si>
  <si>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</si>
  <si>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</si>
  <si>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</si>
  <si>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</si>
  <si>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</si>
  <si>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</si>
  <si>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</si>
  <si>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</si>
  <si>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</si>
  <si>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</si>
  <si>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</si>
  <si>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</si>
  <si>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</si>
  <si>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</si>
  <si>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</si>
  <si>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</si>
  <si>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</si>
  <si>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</si>
  <si>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</si>
  <si>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</si>
  <si>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</si>
  <si>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</si>
  <si>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</si>
  <si>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</si>
  <si>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</si>
  <si>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</si>
  <si>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</si>
  <si>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</si>
  <si>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</si>
  <si>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</si>
  <si>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</si>
  <si>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</si>
  <si>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</si>
  <si>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</si>
  <si>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</si>
  <si>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</si>
  <si>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</si>
  <si>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</si>
  <si>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</si>
  <si>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</si>
  <si>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</si>
  <si>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</si>
  <si>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</si>
  <si>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</si>
  <si>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</si>
  <si>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</si>
  <si>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</si>
  <si>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</si>
  <si>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</si>
  <si>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</si>
  <si>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</si>
  <si>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</si>
  <si>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</si>
  <si>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</si>
  <si>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</si>
  <si>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</si>
  <si>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</si>
  <si>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</si>
  <si>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</si>
  <si>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</si>
  <si>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</si>
  <si>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</si>
  <si>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</si>
  <si>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</si>
  <si>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</si>
  <si>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</si>
  <si>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</si>
  <si>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</si>
  <si>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</si>
  <si>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</si>
  <si>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</si>
  <si>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</si>
  <si>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</si>
  <si>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</si>
  <si>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</si>
  <si>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</si>
  <si>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</si>
  <si>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</si>
  <si>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</si>
  <si>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</si>
  <si>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</si>
  <si>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</si>
  <si>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</si>
  <si>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</si>
  <si>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</si>
  <si>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</si>
  <si>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</si>
  <si>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</si>
  <si>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</si>
  <si>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</si>
  <si>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</si>
  <si>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</si>
  <si>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</si>
  <si>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</si>
  <si>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</si>
  <si>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</si>
  <si>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</si>
  <si>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</si>
  <si>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</si>
  <si>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</si>
  <si>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</si>
  <si>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</si>
  <si>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</si>
  <si>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</si>
  <si>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</si>
  <si>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</si>
  <si>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</si>
  <si>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</si>
  <si>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</si>
  <si>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</si>
  <si>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</si>
  <si>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</si>
  <si>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</si>
  <si>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</si>
  <si>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</si>
  <si>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</si>
  <si>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</si>
  <si>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</si>
  <si>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</si>
  <si>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</si>
  <si>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</si>
  <si>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</si>
  <si>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</si>
  <si>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</si>
  <si>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</si>
  <si>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</si>
  <si>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</si>
  <si>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</si>
  <si>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</si>
  <si>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</si>
  <si>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</si>
  <si>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</si>
  <si>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</si>
  <si>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</si>
  <si>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</si>
  <si>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</si>
  <si>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</si>
  <si>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</si>
  <si>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</si>
  <si>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</si>
  <si>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</si>
  <si>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</si>
  <si>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</si>
  <si>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</si>
  <si>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</si>
  <si>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</si>
  <si>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</si>
  <si>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</si>
  <si>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</si>
  <si>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</si>
  <si>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</si>
  <si>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</si>
  <si>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</si>
  <si>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</si>
  <si>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</si>
  <si>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</si>
  <si>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</si>
  <si>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</si>
  <si>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</si>
  <si>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</si>
  <si>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</si>
  <si>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</si>
  <si>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</si>
  <si>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</si>
  <si>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</si>
  <si>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</si>
  <si>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</si>
  <si>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</si>
  <si>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</si>
  <si>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</si>
  <si>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</si>
  <si>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</si>
  <si>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</si>
  <si>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</si>
  <si>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</si>
  <si>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</si>
  <si>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</si>
  <si>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</si>
  <si>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</si>
  <si>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</si>
  <si>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</si>
  <si>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</si>
  <si>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</si>
  <si>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</si>
  <si>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</si>
  <si>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</si>
  <si>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</si>
  <si>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</si>
  <si>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</si>
  <si>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</si>
  <si>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</si>
  <si>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</si>
  <si>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</si>
  <si>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</si>
  <si>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</si>
  <si>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</si>
  <si>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</si>
  <si>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</si>
  <si>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</si>
  <si>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</si>
  <si>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</si>
  <si>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</si>
  <si>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</si>
  <si>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</si>
  <si>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</si>
  <si>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</si>
  <si>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</si>
  <si>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</si>
  <si>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</si>
  <si>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</si>
  <si>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</si>
  <si>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</si>
  <si>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</si>
  <si>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</si>
  <si>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</si>
  <si>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</si>
  <si>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</si>
  <si>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</si>
  <si>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</si>
  <si>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</si>
  <si>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</si>
  <si>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</si>
  <si>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</si>
  <si>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</si>
  <si>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</si>
  <si>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</si>
  <si>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</si>
  <si>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</si>
  <si>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</si>
  <si>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</si>
  <si>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</si>
  <si>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</si>
  <si>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</si>
  <si>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</si>
  <si>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</si>
  <si>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</si>
  <si>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</si>
  <si>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</si>
  <si>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</si>
  <si>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</si>
  <si>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</si>
  <si>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</si>
  <si>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</si>
  <si>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</si>
  <si>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</si>
  <si>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</si>
  <si>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</si>
  <si>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</si>
  <si>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</si>
  <si>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</si>
  <si>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</si>
  <si>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</si>
  <si>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</si>
  <si>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</si>
  <si>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</si>
  <si>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</si>
  <si>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</si>
  <si>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</si>
  <si>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</si>
  <si>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</si>
  <si>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</si>
  <si>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</si>
  <si>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</si>
  <si>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</si>
  <si>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</si>
  <si>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</si>
  <si>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</si>
  <si>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</si>
  <si>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</si>
  <si>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</si>
  <si>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</si>
  <si>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</si>
  <si>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</si>
  <si>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</si>
  <si>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</si>
  <si>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</si>
  <si>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</si>
  <si>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</si>
  <si>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</si>
  <si>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</si>
  <si>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</si>
  <si>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</si>
  <si>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</si>
  <si>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</si>
  <si>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</si>
  <si>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</si>
  <si>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</si>
  <si>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</si>
  <si>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</si>
  <si>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</si>
  <si>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</si>
  <si>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</si>
  <si>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</si>
  <si>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</si>
  <si>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</si>
  <si>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</si>
  <si>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</si>
  <si>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</si>
  <si>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</si>
  <si>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</si>
  <si>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</si>
  <si>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</si>
  <si>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</si>
  <si>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</si>
  <si>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</si>
  <si>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</si>
  <si>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</si>
  <si>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</si>
  <si>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</si>
  <si>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</si>
  <si>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</si>
  <si>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</si>
  <si>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</si>
  <si>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</si>
  <si>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</si>
  <si>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</si>
  <si>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</si>
  <si>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</si>
  <si>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</si>
  <si>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</si>
  <si>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</si>
  <si>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</si>
  <si>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</si>
  <si>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</si>
  <si>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</si>
  <si>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</si>
  <si>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</si>
  <si>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</si>
  <si>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</si>
  <si>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</si>
  <si>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</si>
  <si>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</si>
  <si>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</si>
  <si>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</si>
  <si>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</si>
  <si>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</si>
  <si>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</si>
  <si>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</si>
  <si>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</si>
  <si>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</si>
  <si>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</si>
  <si>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</si>
  <si>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</si>
  <si>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</si>
  <si>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</si>
  <si>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</si>
  <si>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</si>
  <si>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</si>
  <si>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</si>
  <si>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</si>
  <si>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</si>
  <si>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</si>
  <si>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</si>
  <si>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</si>
  <si>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</si>
  <si>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</si>
  <si>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</si>
  <si>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</si>
  <si>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</si>
  <si>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</si>
  <si>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</si>
  <si>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</si>
  <si>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</si>
  <si>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</si>
  <si>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</si>
  <si>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</si>
  <si>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</si>
  <si>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</si>
  <si>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</si>
  <si>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</si>
  <si>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</si>
  <si>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</si>
  <si>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</si>
  <si>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</si>
  <si>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</si>
  <si>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</si>
  <si>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</si>
  <si>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</si>
  <si>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</si>
  <si>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</si>
  <si>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</si>
  <si>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</si>
  <si>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</si>
  <si>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</si>
  <si>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</si>
  <si>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</si>
  <si>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</si>
  <si>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</si>
  <si>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</si>
  <si>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</si>
  <si>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</si>
  <si>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</si>
  <si>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</si>
  <si>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</si>
  <si>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</si>
  <si>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</si>
  <si>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</si>
  <si>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</si>
  <si>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</si>
  <si>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</si>
  <si>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</si>
  <si>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</si>
  <si>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</si>
  <si>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</si>
  <si>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</si>
  <si>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</si>
  <si>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</si>
  <si>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</si>
  <si>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</si>
  <si>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</si>
  <si>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</si>
  <si>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</si>
  <si>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</si>
  <si>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</si>
  <si>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</si>
  <si>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</si>
  <si>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</si>
  <si>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</si>
  <si>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</si>
  <si>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</si>
  <si>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</si>
  <si>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</si>
  <si>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</si>
  <si>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</si>
  <si>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</si>
  <si>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</si>
  <si>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</si>
  <si>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</si>
  <si>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</si>
  <si>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</si>
  <si>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</si>
  <si>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</si>
  <si>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</si>
  <si>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</si>
  <si>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</si>
  <si>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</si>
  <si>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</si>
  <si>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</si>
  <si>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</si>
  <si>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</si>
  <si>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</si>
  <si>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</si>
  <si>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</si>
  <si>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</si>
  <si>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</si>
  <si>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</si>
  <si>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</si>
  <si>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</si>
  <si>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</si>
  <si>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</si>
  <si>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</si>
  <si>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</si>
  <si>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</si>
  <si>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</si>
  <si>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</si>
  <si>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</si>
  <si>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</si>
  <si>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</si>
  <si>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</si>
  <si>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</si>
  <si>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</si>
  <si>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</si>
  <si>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</si>
  <si>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</si>
  <si>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</si>
  <si>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</si>
  <si>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</si>
  <si>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</si>
  <si>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</si>
  <si>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</si>
  <si>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</si>
  <si>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</si>
  <si>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</si>
  <si>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</si>
  <si>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</si>
  <si>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</si>
  <si>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</si>
  <si>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</si>
  <si>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</si>
  <si>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</si>
  <si>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</si>
  <si>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</si>
  <si>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</si>
  <si>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</si>
  <si>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</si>
  <si>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</si>
  <si>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</si>
  <si>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</si>
  <si>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</si>
  <si>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</si>
  <si>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</si>
  <si>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</si>
  <si>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</si>
  <si>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</si>
  <si>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</si>
  <si>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</si>
  <si>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</si>
  <si>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</si>
  <si>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</si>
  <si>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</si>
  <si>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</si>
  <si>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</si>
  <si>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</si>
  <si>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</si>
  <si>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</si>
  <si>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</si>
  <si>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</si>
  <si>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</si>
  <si>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</si>
  <si>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</si>
  <si>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</si>
  <si>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</si>
  <si>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</si>
  <si>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</si>
  <si>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</si>
  <si>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</si>
  <si>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</si>
  <si>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</si>
  <si>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</si>
  <si>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</si>
  <si>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</si>
  <si>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</si>
  <si>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</si>
  <si>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</si>
  <si>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</si>
  <si>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</si>
  <si>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</si>
  <si>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</si>
  <si>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</si>
  <si>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</si>
  <si>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</si>
  <si>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</si>
  <si>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</si>
  <si>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</si>
  <si>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</si>
  <si>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</si>
  <si>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</si>
  <si>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</si>
  <si>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</si>
  <si>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</si>
  <si>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</si>
  <si>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</si>
  <si>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</si>
  <si>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</si>
  <si>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</si>
  <si>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</si>
  <si>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</si>
  <si>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</si>
  <si>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</si>
  <si>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</si>
  <si>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</si>
  <si>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</si>
  <si>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</si>
  <si>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</si>
  <si>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</si>
  <si>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</si>
  <si>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</si>
  <si>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</si>
  <si>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</si>
  <si>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</si>
  <si>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</si>
  <si>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</si>
  <si>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</si>
  <si>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</si>
  <si>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</si>
  <si>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</si>
  <si>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</si>
  <si>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</si>
  <si>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</si>
  <si>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</si>
  <si>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</si>
  <si>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</si>
  <si>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</si>
  <si>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</si>
  <si>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</si>
  <si>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</si>
  <si>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</si>
  <si>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</si>
  <si>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</si>
  <si>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</si>
  <si>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</si>
  <si>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</si>
  <si>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</si>
  <si>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</si>
  <si>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</si>
  <si>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</si>
  <si>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</si>
  <si>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</si>
  <si>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</si>
  <si>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</si>
  <si>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</si>
  <si>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</si>
  <si>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</si>
  <si>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</si>
  <si>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</si>
  <si>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</si>
  <si>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</si>
  <si>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</si>
  <si>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</si>
  <si>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</si>
  <si>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</si>
  <si>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</si>
  <si>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</si>
  <si>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</si>
  <si>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</si>
  <si>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</si>
  <si>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</si>
  <si>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</si>
  <si>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</si>
  <si>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</si>
  <si>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</si>
  <si>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</si>
  <si>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</si>
  <si>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</si>
  <si>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</si>
  <si>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</si>
  <si>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</si>
  <si>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</si>
  <si>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</si>
  <si>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</si>
  <si>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</si>
  <si>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</si>
  <si>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</si>
  <si>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</si>
  <si>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</si>
  <si>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</si>
  <si>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</si>
  <si>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</si>
  <si>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</si>
  <si>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</si>
  <si>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</si>
  <si>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</si>
  <si>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</si>
  <si>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</si>
  <si>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</si>
  <si>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</si>
  <si>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</si>
  <si>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</si>
  <si>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</si>
  <si>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</si>
  <si>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</si>
  <si>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</si>
  <si>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</si>
  <si>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</si>
  <si>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</si>
  <si>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</si>
  <si>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</si>
  <si>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</si>
  <si>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</si>
  <si>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</si>
  <si>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</si>
  <si>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</si>
  <si>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</si>
  <si>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</si>
  <si>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</si>
  <si>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</si>
  <si>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</si>
  <si>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</si>
  <si>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</si>
  <si>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</si>
  <si>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</si>
  <si>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</si>
  <si>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</si>
  <si>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</si>
  <si>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</si>
  <si>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</si>
  <si>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</si>
  <si>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</si>
  <si>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</si>
  <si>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</si>
  <si>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</si>
  <si>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</si>
  <si>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</si>
  <si>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</si>
  <si>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</si>
  <si>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</si>
  <si>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</si>
  <si>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</si>
  <si>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</si>
  <si>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</si>
  <si>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</si>
  <si>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</si>
  <si>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</si>
  <si>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</si>
  <si>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</si>
  <si>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</si>
  <si>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</si>
  <si>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</si>
  <si>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</si>
  <si>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</si>
  <si>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</si>
  <si>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</si>
  <si>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</si>
  <si>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</si>
  <si>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</si>
  <si>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</si>
  <si>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</si>
  <si>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</si>
  <si>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</si>
  <si>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</si>
  <si>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</si>
  <si>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</si>
  <si>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</si>
  <si>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</si>
  <si>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</si>
  <si>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</si>
  <si>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</si>
  <si>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</si>
  <si>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</si>
  <si>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</si>
  <si>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</si>
  <si>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</si>
  <si>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</si>
  <si>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</si>
  <si>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</si>
  <si>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</si>
  <si>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</si>
  <si>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</si>
  <si>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</si>
  <si>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</si>
  <si>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</si>
  <si>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</si>
  <si>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</si>
  <si>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</si>
  <si>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</si>
  <si>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</si>
  <si>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</si>
  <si>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</si>
  <si>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</si>
  <si>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</si>
  <si>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</si>
  <si>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</si>
  <si>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</si>
  <si>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</si>
  <si>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</si>
  <si>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</si>
  <si>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</si>
  <si>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</si>
  <si>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</si>
  <si>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</si>
  <si>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</si>
  <si>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</si>
  <si>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</si>
  <si>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</si>
  <si>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</si>
  <si>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</si>
  <si>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</si>
  <si>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</si>
  <si>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</si>
  <si>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</si>
  <si>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</si>
  <si>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</si>
  <si>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</si>
  <si>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</si>
  <si>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</si>
  <si>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</si>
  <si>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</si>
  <si>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</si>
  <si>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</si>
  <si>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</si>
  <si>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</si>
  <si>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</si>
  <si>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</si>
  <si>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</si>
  <si>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</si>
  <si>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</si>
  <si>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</si>
  <si>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</si>
  <si>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</si>
  <si>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</si>
  <si>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</si>
  <si>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</si>
  <si>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</si>
  <si>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</si>
  <si>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</si>
  <si>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</si>
  <si>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</si>
  <si>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</si>
  <si>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</si>
  <si>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</si>
  <si>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</si>
  <si>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</si>
  <si>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</si>
  <si>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</si>
  <si>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</si>
  <si>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</si>
  <si>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</si>
  <si>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</si>
  <si>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</si>
  <si>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</si>
  <si>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</si>
  <si>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</si>
  <si>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</si>
  <si>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</si>
  <si>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</si>
  <si>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</si>
  <si>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</si>
  <si>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</si>
  <si>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</si>
  <si>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</si>
  <si>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</si>
  <si>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</si>
  <si>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</si>
  <si>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</si>
  <si>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</si>
  <si>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</si>
  <si>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</si>
  <si>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</si>
  <si>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</si>
  <si>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</si>
  <si>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</si>
  <si>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</si>
  <si>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</si>
  <si>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</si>
  <si>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</si>
  <si>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</si>
  <si>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</si>
  <si>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</si>
  <si>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</si>
  <si>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</si>
  <si>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</si>
  <si>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</si>
  <si>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</si>
  <si>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</si>
  <si>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</si>
  <si>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</si>
  <si>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</si>
  <si>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</si>
  <si>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</si>
  <si>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</si>
  <si>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</si>
  <si>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</si>
  <si>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</si>
  <si>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</si>
  <si>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</si>
  <si>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</si>
  <si>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</si>
  <si>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</si>
  <si>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</si>
  <si>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</si>
  <si>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</si>
  <si>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</si>
  <si>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</si>
  <si>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</si>
  <si>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</si>
  <si>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</si>
  <si>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</si>
  <si>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</si>
  <si>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</si>
  <si>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</si>
  <si>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</si>
  <si>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</si>
  <si>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</si>
  <si>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</si>
  <si>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</si>
  <si>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</si>
  <si>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</si>
  <si>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</si>
  <si>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</si>
  <si>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</si>
  <si>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</si>
  <si>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</si>
  <si>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</si>
  <si>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</si>
  <si>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</si>
  <si>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</si>
  <si>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</si>
  <si>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</si>
  <si>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</si>
  <si>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</si>
  <si>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</si>
  <si>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</si>
  <si>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</si>
  <si>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</si>
  <si>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</si>
  <si>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</si>
  <si>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</si>
  <si>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</si>
  <si>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</si>
  <si>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</si>
  <si>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</si>
  <si>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</si>
  <si>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</si>
  <si>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</si>
  <si>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</si>
  <si>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</si>
  <si>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</si>
  <si>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</si>
  <si>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</si>
  <si>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</si>
  <si>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</si>
  <si>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</si>
  <si>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</si>
  <si>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</si>
  <si>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</si>
  <si>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</si>
  <si>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</si>
  <si>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</si>
  <si>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</si>
  <si>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</si>
  <si>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</si>
  <si>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</si>
  <si>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</si>
  <si>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</si>
  <si>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</si>
  <si>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</si>
  <si>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</si>
  <si>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</si>
  <si>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</si>
  <si>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</si>
  <si>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</si>
  <si>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</si>
  <si>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</si>
  <si>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</si>
  <si>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</si>
  <si>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</si>
  <si>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</si>
  <si>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</si>
  <si>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</si>
  <si>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</si>
  <si>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</si>
  <si>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</si>
  <si>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</si>
  <si>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</si>
  <si>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</si>
  <si>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</si>
  <si>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</si>
  <si>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</si>
  <si>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</si>
  <si>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</si>
  <si>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</si>
  <si>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</si>
  <si>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</si>
  <si>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</si>
  <si>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</si>
  <si>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</si>
  <si>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</si>
  <si>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</si>
  <si>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</si>
  <si>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</si>
  <si>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</si>
  <si>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</si>
  <si>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</si>
  <si>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</si>
  <si>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</si>
  <si>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</si>
  <si>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</si>
  <si>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</si>
  <si>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</si>
  <si>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</si>
  <si>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</si>
  <si>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</si>
  <si>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</si>
  <si>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</si>
  <si>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</si>
  <si>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</si>
  <si>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</si>
  <si>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</si>
  <si>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</si>
  <si>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</si>
  <si>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</si>
  <si>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</si>
  <si>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</si>
  <si>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</si>
  <si>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</si>
  <si>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</si>
  <si>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</si>
  <si>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</si>
  <si>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</si>
  <si>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</si>
  <si>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</si>
  <si>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</si>
  <si>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</si>
  <si>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</si>
  <si>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</si>
  <si>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</si>
  <si>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</si>
  <si>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</si>
  <si>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</si>
  <si>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</si>
  <si>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</si>
  <si>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</si>
  <si>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</si>
  <si>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</si>
  <si>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</si>
  <si>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</si>
  <si>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</si>
  <si>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</si>
  <si>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</si>
  <si>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</si>
  <si>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</si>
  <si>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</si>
  <si>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</si>
  <si>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</si>
  <si>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</si>
  <si>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</si>
  <si>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</si>
  <si>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</si>
  <si>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</si>
  <si>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</si>
  <si>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</si>
  <si>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</si>
  <si>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</si>
  <si>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</si>
  <si>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</si>
  <si>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</si>
  <si>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</si>
  <si>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</si>
  <si>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</si>
  <si>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</si>
  <si>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</si>
  <si>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</si>
  <si>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</si>
  <si>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</si>
  <si>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</si>
  <si>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</si>
  <si>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</si>
  <si>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</si>
  <si>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</si>
  <si>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</si>
  <si>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</si>
  <si>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</si>
  <si>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</si>
  <si>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</si>
  <si>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</si>
  <si>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</si>
  <si>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</si>
  <si>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</si>
  <si>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</si>
  <si>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</si>
  <si>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</si>
  <si>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</si>
  <si>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</si>
  <si>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</si>
  <si>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</si>
  <si>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</si>
  <si>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</si>
  <si>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</si>
  <si>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</si>
  <si>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</si>
  <si>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</si>
  <si>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</si>
  <si>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</si>
  <si>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</si>
  <si>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</si>
  <si>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</si>
  <si>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</si>
  <si>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</si>
  <si>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</si>
  <si>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</si>
  <si>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</si>
  <si>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</si>
  <si>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</si>
  <si>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</si>
  <si>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</si>
  <si>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</si>
  <si>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</si>
  <si>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</si>
  <si>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</si>
  <si>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</si>
  <si>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</si>
  <si>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</si>
  <si>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</si>
  <si>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</si>
  <si>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</si>
  <si>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</si>
  <si>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</si>
  <si>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</si>
  <si>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</si>
  <si>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</si>
  <si>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</si>
  <si>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</si>
  <si>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</si>
  <si>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</si>
  <si>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</si>
  <si>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</si>
  <si>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</si>
  <si>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</si>
  <si>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</si>
  <si>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</si>
  <si>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</si>
  <si>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</si>
  <si>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</si>
  <si>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</si>
  <si>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</si>
  <si>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</si>
  <si>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</si>
  <si>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</si>
  <si>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</si>
  <si>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</si>
  <si>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</si>
  <si>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</si>
  <si>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</si>
  <si>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</si>
  <si>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</si>
  <si>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</si>
  <si>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</si>
  <si>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</si>
  <si>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</si>
  <si>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</si>
  <si>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</si>
  <si>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</si>
  <si>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</si>
  <si>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</si>
  <si>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</si>
  <si>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</si>
  <si>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</si>
  <si>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</si>
  <si>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</si>
  <si>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</si>
  <si>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</si>
  <si>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</si>
  <si>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</si>
  <si>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</si>
  <si>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</si>
  <si>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</si>
  <si>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</si>
  <si>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</si>
  <si>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</si>
  <si>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</si>
  <si>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</si>
  <si>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</si>
  <si>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</si>
  <si>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</si>
  <si>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</si>
  <si>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</si>
  <si>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</si>
  <si>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</si>
  <si>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</si>
  <si>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</si>
  <si>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</si>
  <si>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</si>
  <si>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</si>
  <si>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</si>
  <si>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</si>
  <si>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</si>
  <si>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</si>
  <si>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</si>
  <si>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</si>
  <si>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</si>
  <si>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</si>
  <si>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</si>
  <si>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</si>
  <si>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</si>
  <si>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</si>
  <si>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</si>
  <si>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</si>
  <si>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</si>
  <si>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</si>
  <si>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</si>
  <si>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</si>
  <si>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</si>
  <si>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</si>
  <si>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</si>
  <si>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</si>
  <si>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</si>
  <si>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</si>
  <si>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</si>
  <si>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</si>
  <si>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</si>
  <si>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</si>
  <si>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</si>
  <si>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</si>
  <si>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</si>
  <si>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</si>
  <si>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</si>
  <si>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</si>
  <si>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</si>
  <si>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</si>
  <si>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</si>
  <si>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</si>
  <si>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</si>
  <si>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</si>
  <si>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</si>
  <si>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</si>
  <si>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</si>
  <si>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</si>
  <si>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</si>
  <si>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</si>
  <si>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</si>
  <si>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</si>
  <si>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</si>
  <si>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</si>
  <si>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</si>
  <si>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</si>
  <si>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</si>
  <si>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</si>
  <si>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</si>
  <si>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</si>
  <si>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</si>
  <si>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</si>
  <si>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</si>
  <si>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</si>
  <si>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</si>
  <si>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</si>
  <si>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</si>
  <si>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</si>
  <si>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</si>
  <si>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</si>
  <si>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</si>
  <si>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</si>
  <si>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</si>
  <si>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</si>
  <si>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</si>
  <si>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</si>
  <si>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</si>
  <si>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</si>
  <si>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</si>
  <si>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</si>
  <si>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</si>
  <si>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</si>
  <si>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</si>
  <si>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</si>
  <si>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</si>
  <si>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</si>
  <si>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</si>
  <si>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</si>
  <si>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</si>
  <si>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</si>
  <si>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</si>
  <si>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</si>
  <si>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</si>
  <si>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</si>
  <si>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</si>
  <si>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</si>
  <si>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</si>
  <si>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</si>
  <si>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</si>
  <si>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</si>
  <si>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</si>
  <si>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</si>
  <si>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</si>
  <si>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</si>
  <si>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</si>
  <si>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</si>
  <si>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</si>
  <si>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</si>
  <si>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</si>
  <si>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</si>
  <si>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</si>
  <si>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</si>
  <si>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</si>
  <si>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</si>
  <si>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</si>
  <si>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</si>
  <si>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</si>
  <si>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</si>
  <si>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</si>
  <si>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</si>
  <si>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</si>
  <si>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</si>
  <si>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</si>
  <si>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</si>
  <si>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</si>
  <si>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</si>
  <si>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</si>
  <si>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</si>
  <si>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</si>
  <si>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</si>
  <si>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</si>
  <si>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</si>
  <si>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</si>
  <si>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</si>
  <si>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</si>
  <si>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</si>
  <si>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</si>
  <si>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</si>
  <si>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</si>
  <si>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</si>
  <si>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</si>
  <si>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</si>
  <si>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</si>
  <si>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</si>
  <si>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</si>
  <si>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</si>
  <si>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</si>
  <si>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</si>
  <si>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</si>
  <si>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</si>
  <si>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</si>
  <si>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</si>
  <si>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</si>
  <si>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</si>
  <si>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</si>
  <si>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</si>
  <si>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</si>
  <si>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</si>
  <si>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</si>
  <si>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</si>
  <si>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</si>
  <si>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</si>
  <si>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</si>
  <si>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</si>
  <si>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</si>
  <si>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</si>
  <si>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</si>
  <si>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</si>
  <si>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</si>
  <si>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</si>
  <si>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</si>
  <si>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</si>
  <si>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</si>
  <si>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</si>
  <si>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</si>
  <si>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</si>
  <si>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</si>
  <si>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</si>
  <si>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</si>
  <si>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</si>
  <si>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</si>
  <si>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</si>
  <si>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</si>
  <si>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</si>
  <si>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</si>
  <si>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</si>
  <si>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</si>
  <si>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</si>
  <si>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</si>
  <si>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</si>
  <si>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</si>
  <si>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</si>
  <si>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</si>
  <si>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</si>
  <si>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</si>
  <si>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</si>
  <si>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</si>
  <si>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</si>
  <si>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</si>
  <si>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</si>
  <si>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</si>
  <si>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</si>
  <si>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</si>
  <si>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</si>
  <si>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</si>
  <si>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</si>
  <si>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</si>
  <si>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</si>
  <si>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</si>
  <si>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</si>
  <si>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</si>
  <si>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</si>
  <si>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</si>
  <si>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</si>
  <si>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</si>
  <si>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</si>
  <si>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</si>
  <si>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</si>
  <si>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</si>
  <si>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</si>
  <si>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</si>
  <si>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</si>
  <si>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</si>
  <si>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</si>
  <si>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</si>
  <si>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</si>
  <si>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</si>
  <si>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</si>
  <si>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</si>
  <si>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</si>
  <si>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</si>
  <si>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</si>
  <si>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</si>
  <si>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</si>
  <si>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</si>
  <si>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</si>
  <si>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</si>
  <si>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</si>
  <si>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</si>
  <si>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</si>
  <si>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</si>
  <si>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</si>
  <si>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</si>
  <si>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</si>
  <si>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</si>
  <si>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</si>
  <si>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</si>
  <si>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</si>
  <si>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</si>
  <si>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</si>
  <si>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</si>
  <si>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</si>
  <si>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</si>
  <si>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</si>
  <si>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</si>
  <si>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</si>
  <si>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</si>
  <si>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</si>
  <si>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</si>
  <si>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</si>
  <si>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</si>
  <si>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</si>
  <si>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</si>
  <si>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</si>
  <si>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</si>
  <si>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</si>
  <si>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</si>
  <si>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</si>
  <si>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</si>
  <si>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</si>
  <si>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</si>
  <si>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</si>
  <si>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</si>
  <si>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</si>
  <si>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</si>
  <si>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</si>
  <si>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</si>
  <si>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</si>
  <si>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</si>
  <si>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</si>
  <si>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</si>
  <si>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</si>
  <si>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</si>
  <si>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</si>
  <si>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</si>
  <si>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</si>
  <si>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</si>
  <si>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</si>
  <si>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</si>
  <si>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</si>
  <si>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</si>
  <si>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</si>
  <si>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</si>
  <si>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</si>
  <si>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</si>
  <si>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</si>
  <si>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</si>
  <si>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</si>
  <si>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</si>
  <si>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</si>
  <si>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</si>
  <si>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</si>
  <si>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</si>
  <si>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</si>
  <si>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</si>
  <si>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</si>
  <si>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</si>
  <si>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</si>
  <si>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</si>
  <si>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</si>
  <si>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</si>
  <si>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</si>
  <si>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</si>
  <si>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</si>
  <si>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</si>
  <si>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</si>
  <si>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</si>
  <si>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</si>
  <si>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</si>
  <si>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</si>
  <si>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</si>
  <si>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</si>
  <si>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</si>
  <si>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</si>
  <si>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</si>
  <si>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</si>
  <si>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</si>
  <si>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</si>
  <si>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</si>
  <si>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</si>
  <si>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</si>
  <si>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</si>
  <si>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</si>
  <si>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</si>
  <si>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</si>
  <si>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</si>
  <si>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</si>
  <si>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</si>
  <si>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</si>
  <si>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</si>
  <si>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</si>
  <si>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</si>
  <si>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</si>
  <si>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</si>
  <si>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</si>
  <si>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</si>
  <si>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</si>
  <si>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</si>
  <si>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</si>
  <si>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</si>
  <si>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</si>
  <si>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</si>
  <si>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</si>
  <si>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</si>
  <si>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</si>
  <si>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</si>
  <si>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</si>
  <si>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</si>
  <si>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</si>
  <si>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</si>
  <si>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</si>
  <si>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</si>
  <si>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</si>
  <si>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</si>
  <si>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</si>
  <si>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</si>
  <si>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</si>
  <si>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</si>
  <si>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</si>
  <si>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</si>
  <si>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</si>
  <si>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</si>
  <si>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</si>
  <si>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</si>
  <si>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</si>
  <si>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</si>
  <si>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</si>
  <si>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</si>
  <si>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</si>
  <si>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</si>
  <si>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</si>
  <si>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</si>
  <si>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</si>
  <si>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</si>
  <si>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</si>
  <si>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</si>
  <si>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</si>
  <si>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</si>
  <si>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</si>
  <si>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</si>
  <si>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</si>
  <si>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</si>
  <si>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</si>
  <si>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</si>
  <si>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</si>
  <si>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</si>
  <si>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</si>
  <si>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</si>
  <si>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</si>
  <si>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</si>
  <si>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</si>
  <si>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</si>
  <si>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</si>
  <si>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</si>
  <si>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</si>
  <si>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</si>
  <si>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</si>
  <si>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</si>
  <si>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</si>
  <si>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</si>
  <si>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</si>
  <si>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</si>
  <si>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</si>
  <si>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</si>
  <si>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</si>
  <si>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</si>
  <si>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</si>
  <si>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</si>
  <si>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</si>
  <si>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</si>
  <si>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</si>
  <si>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</si>
  <si>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</si>
  <si>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</si>
  <si>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</si>
  <si>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</si>
  <si>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</si>
  <si>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</si>
  <si>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</si>
  <si>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</si>
  <si>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</si>
  <si>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</si>
  <si>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</si>
  <si>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</si>
  <si>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</si>
  <si>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</si>
  <si>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</si>
  <si>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</si>
  <si>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</si>
  <si>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</si>
  <si>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</si>
  <si>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</si>
  <si>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</si>
  <si>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</si>
  <si>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</si>
  <si>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</si>
  <si>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</si>
  <si>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</si>
  <si>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</si>
  <si>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</si>
  <si>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</si>
  <si>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</si>
  <si>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</si>
  <si>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</si>
  <si>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</si>
  <si>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</si>
  <si>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</si>
  <si>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</si>
  <si>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</si>
  <si>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</si>
  <si>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</si>
  <si>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</si>
  <si>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</si>
  <si>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</si>
  <si>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</si>
  <si>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</si>
  <si>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</si>
  <si>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</si>
  <si>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</si>
  <si>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</si>
  <si>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</si>
  <si>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</si>
  <si>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</si>
  <si>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</si>
  <si>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</si>
  <si>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</si>
  <si>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</si>
  <si>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</si>
  <si>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</si>
  <si>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</si>
  <si>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</si>
  <si>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</si>
  <si>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</si>
  <si>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</si>
  <si>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</si>
  <si>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</si>
  <si>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</si>
  <si>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</si>
  <si>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</si>
  <si>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</si>
  <si>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</si>
  <si>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</si>
  <si>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</si>
  <si>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</si>
  <si>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</si>
  <si>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</si>
  <si>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</si>
  <si>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</si>
  <si>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</si>
  <si>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</si>
  <si>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</si>
  <si>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</si>
  <si>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</si>
  <si>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</si>
  <si>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</si>
  <si>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</si>
  <si>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</si>
  <si>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</si>
  <si>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</si>
  <si>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</si>
  <si>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</si>
  <si>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</si>
  <si>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</si>
  <si>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</si>
  <si>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</si>
  <si>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</si>
  <si>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</si>
  <si>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</si>
  <si>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</si>
  <si>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</si>
  <si>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</si>
  <si>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</si>
  <si>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</si>
  <si>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</si>
  <si>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</si>
  <si>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</si>
  <si>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</si>
  <si>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</si>
  <si>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</si>
  <si>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</si>
  <si>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</si>
  <si>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</si>
  <si>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</si>
  <si>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</si>
  <si>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</si>
  <si>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</si>
  <si>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</si>
  <si>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</si>
  <si>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</si>
  <si>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</si>
  <si>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</si>
  <si>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</si>
  <si>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</si>
  <si>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</si>
  <si>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</si>
  <si>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</si>
  <si>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</si>
  <si>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</si>
  <si>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</si>
  <si>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</si>
  <si>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</si>
  <si>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</si>
  <si>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</si>
  <si>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</si>
  <si>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</si>
  <si>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</si>
  <si>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</si>
  <si>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</si>
  <si>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</si>
  <si>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</si>
  <si>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</si>
  <si>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</si>
  <si>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</si>
  <si>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</si>
  <si>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</si>
  <si>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</si>
  <si>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</si>
  <si>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</si>
  <si>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</si>
  <si>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</si>
  <si>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</si>
  <si>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</si>
  <si>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</si>
  <si>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</si>
  <si>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</si>
  <si>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</si>
  <si>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</si>
  <si>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</si>
  <si>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</si>
  <si>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</si>
  <si>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</si>
  <si>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</si>
  <si>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</si>
  <si>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</si>
  <si>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</si>
  <si>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</si>
  <si>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</si>
  <si>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</si>
  <si>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</si>
  <si>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</si>
  <si>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</si>
  <si>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</si>
  <si>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</si>
  <si>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</si>
  <si>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</si>
  <si>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</si>
  <si>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</si>
  <si>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</si>
  <si>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</si>
  <si>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</si>
  <si>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</si>
  <si>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</si>
  <si>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</si>
  <si>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</si>
  <si>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</si>
  <si>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</si>
  <si>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</si>
  <si>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</si>
  <si>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</si>
  <si>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</si>
  <si>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</si>
  <si>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</si>
  <si>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</si>
  <si>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</si>
  <si>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</si>
  <si>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</si>
  <si>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</si>
  <si>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</si>
  <si>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</si>
  <si>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</si>
  <si>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</si>
  <si>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</si>
  <si>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</si>
  <si>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</si>
  <si>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</si>
  <si>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</si>
  <si>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</si>
  <si>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</si>
  <si>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</si>
  <si>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</si>
  <si>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</si>
  <si>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</si>
  <si>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</si>
  <si>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</si>
  <si>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</si>
  <si>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</si>
  <si>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</si>
  <si>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</si>
  <si>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</si>
  <si>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</si>
  <si>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</si>
  <si>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</si>
  <si>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</si>
  <si>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</si>
  <si>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</si>
  <si>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</si>
  <si>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</si>
  <si>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</si>
  <si>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</si>
  <si>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</si>
  <si>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</si>
  <si>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</si>
  <si>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</si>
  <si>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</si>
  <si>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</si>
  <si>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</si>
  <si>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</si>
  <si>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</si>
  <si>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</si>
  <si>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</si>
  <si>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</si>
  <si>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</si>
  <si>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</si>
  <si>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</si>
  <si>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</si>
  <si>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</si>
  <si>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</si>
  <si>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</si>
  <si>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</si>
  <si>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</si>
  <si>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</si>
  <si>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</si>
  <si>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</si>
  <si>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</si>
  <si>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</si>
  <si>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</si>
  <si>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</si>
  <si>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</si>
  <si>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</si>
  <si>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</si>
  <si>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</si>
  <si>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</si>
  <si>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</si>
  <si>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</si>
  <si>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</si>
  <si>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</si>
  <si>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</si>
  <si>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</si>
  <si>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</si>
  <si>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</si>
  <si>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</si>
  <si>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</si>
  <si>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</si>
  <si>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</si>
  <si>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</si>
  <si>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</si>
  <si>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</si>
  <si>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</si>
  <si>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</si>
  <si>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</si>
  <si>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</si>
  <si>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</si>
  <si>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</si>
  <si>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</si>
  <si>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</si>
  <si>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</si>
  <si>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</si>
  <si>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</si>
  <si>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</si>
  <si>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</si>
  <si>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</si>
  <si>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</si>
  <si>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</si>
  <si>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</si>
  <si>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</si>
  <si>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</si>
  <si>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</si>
  <si>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</si>
  <si>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</si>
  <si>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</si>
  <si>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</si>
  <si>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</si>
  <si>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</si>
  <si>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</si>
  <si>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</si>
  <si>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</si>
  <si>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</si>
  <si>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</si>
  <si>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</si>
  <si>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</si>
  <si>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</si>
  <si>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</si>
  <si>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</si>
  <si>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</si>
  <si>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</si>
  <si>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</si>
  <si>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</si>
  <si>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</si>
  <si>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</si>
  <si>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</si>
  <si>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</si>
  <si>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</si>
  <si>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</si>
  <si>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</si>
  <si>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</si>
  <si>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</si>
  <si>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</si>
  <si>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</si>
  <si>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</si>
  <si>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</si>
  <si>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</si>
  <si>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</si>
  <si>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</si>
  <si>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</si>
  <si>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</si>
  <si>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</si>
  <si>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</si>
  <si>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</si>
  <si>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</si>
  <si>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</si>
  <si>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</si>
  <si>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</si>
  <si>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</si>
  <si>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</si>
  <si>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</si>
  <si>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</si>
  <si>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</si>
  <si>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</si>
  <si>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</si>
  <si>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</si>
  <si>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</si>
  <si>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</si>
  <si>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</si>
  <si>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</si>
  <si>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</si>
  <si>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</si>
  <si>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</si>
  <si>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</si>
  <si>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</si>
  <si>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</si>
  <si>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</si>
  <si>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</si>
  <si>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</si>
  <si>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</si>
  <si>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</si>
  <si>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</si>
  <si>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</si>
  <si>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</si>
  <si>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</si>
  <si>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</si>
  <si>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</si>
  <si>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</si>
  <si>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</si>
  <si>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</si>
  <si>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</si>
  <si>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</si>
  <si>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</si>
  <si>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</si>
  <si>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</si>
  <si>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</si>
  <si>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</si>
  <si>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</si>
  <si>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</si>
  <si>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</si>
  <si>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</si>
  <si>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</si>
  <si>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</si>
  <si>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</si>
  <si>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</si>
  <si>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</si>
  <si>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</si>
  <si>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</si>
  <si>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</si>
  <si>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</si>
  <si>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</si>
  <si>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</si>
  <si>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</si>
  <si>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</si>
  <si>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</si>
  <si>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</si>
  <si>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</si>
  <si>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</si>
  <si>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</si>
  <si>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</si>
  <si>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</si>
  <si>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</si>
  <si>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</si>
  <si>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</si>
  <si>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</si>
  <si>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</si>
  <si>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</si>
  <si>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</si>
  <si>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</si>
  <si>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</si>
  <si>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</si>
  <si>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</si>
  <si>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</si>
  <si>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</si>
  <si>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</si>
  <si>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</si>
  <si>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</si>
  <si>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</si>
  <si>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</si>
  <si>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</si>
  <si>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</si>
  <si>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</si>
  <si>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</si>
  <si>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</si>
  <si>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</si>
  <si>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</si>
  <si>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</si>
  <si>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</si>
  <si>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</si>
  <si>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</si>
  <si>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</si>
  <si>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</si>
  <si>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</si>
  <si>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</si>
  <si>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</si>
  <si>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</si>
  <si>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</si>
  <si>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</si>
  <si>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</si>
  <si>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</si>
  <si>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</si>
  <si>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</si>
  <si>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</si>
  <si>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</si>
  <si>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</si>
  <si>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</si>
  <si>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</si>
  <si>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</si>
  <si>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</si>
  <si>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</si>
  <si>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</si>
  <si>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</si>
  <si>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</si>
  <si>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</si>
  <si>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</si>
  <si>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</si>
  <si>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</si>
  <si>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</si>
  <si>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</si>
  <si>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</si>
  <si>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</si>
  <si>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</si>
  <si>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</si>
  <si>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</si>
  <si>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</si>
  <si>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</si>
  <si>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</si>
  <si>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</si>
  <si>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</si>
  <si>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</si>
  <si>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</si>
  <si>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</si>
  <si>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</si>
  <si>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</si>
  <si>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</si>
  <si>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</si>
  <si>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</si>
  <si>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</si>
  <si>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</si>
  <si>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</si>
  <si>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</si>
  <si>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</si>
  <si>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</si>
  <si>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</si>
  <si>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</si>
  <si>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</si>
  <si>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</si>
  <si>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</si>
  <si>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</si>
  <si>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</si>
  <si>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</si>
  <si>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</si>
  <si>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</si>
  <si>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</si>
  <si>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</si>
  <si>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</si>
  <si>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</si>
  <si>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</si>
  <si>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</si>
  <si>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</si>
  <si>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</si>
  <si>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</si>
  <si>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</si>
  <si>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</si>
  <si>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</si>
  <si>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</si>
  <si>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</si>
  <si>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</si>
  <si>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</si>
  <si>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</si>
  <si>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</si>
  <si>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</si>
  <si>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</si>
  <si>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</si>
  <si>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</si>
  <si>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</si>
  <si>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</si>
  <si>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</si>
  <si>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</si>
  <si>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</si>
  <si>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</si>
  <si>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</si>
  <si>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</si>
  <si>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</si>
  <si>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</si>
  <si>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</si>
  <si>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</si>
  <si>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</si>
  <si>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</si>
  <si>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</si>
  <si>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</si>
  <si>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</si>
  <si>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</si>
  <si>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</si>
  <si>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</si>
  <si>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</si>
  <si>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</si>
  <si>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</si>
  <si>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</si>
  <si>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</si>
  <si>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</si>
  <si>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</si>
  <si>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</si>
  <si>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</si>
  <si>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</si>
  <si>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</si>
  <si>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</si>
  <si>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</si>
  <si>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</si>
  <si>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</si>
  <si>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</si>
  <si>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</si>
  <si>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</si>
  <si>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</si>
  <si>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</si>
  <si>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</si>
  <si>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</si>
  <si>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</si>
  <si>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</si>
  <si>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</si>
  <si>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</si>
  <si>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</si>
  <si>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</si>
  <si>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</si>
  <si>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</si>
  <si>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</si>
  <si>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</si>
  <si>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</si>
  <si>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</si>
  <si>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</si>
  <si>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</si>
  <si>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</si>
  <si>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</si>
  <si>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</si>
  <si>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</si>
  <si>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</si>
  <si>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</si>
  <si>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</si>
  <si>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</si>
  <si>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</si>
  <si>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</si>
  <si>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</si>
  <si>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</si>
  <si>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</si>
  <si>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</si>
  <si>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</si>
  <si>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</si>
  <si>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</si>
  <si>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</si>
  <si>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</si>
  <si>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</si>
  <si>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</si>
  <si>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</si>
  <si>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</si>
  <si>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</si>
  <si>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</si>
  <si>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</si>
  <si>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</si>
  <si>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</si>
  <si>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</si>
  <si>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</si>
  <si>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</si>
  <si>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</si>
  <si>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</si>
  <si>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</si>
  <si>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</si>
  <si>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</si>
  <si>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</si>
  <si>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</si>
  <si>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</si>
  <si>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</si>
  <si>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</si>
  <si>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</si>
  <si>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</si>
  <si>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</si>
  <si>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</si>
  <si>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</si>
  <si>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</si>
  <si>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</si>
  <si>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</si>
  <si>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</si>
  <si>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</si>
  <si>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</si>
  <si>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</si>
  <si>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</si>
  <si>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</si>
  <si>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</si>
  <si>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</si>
  <si>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</si>
  <si>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</si>
  <si>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</si>
  <si>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</si>
  <si>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</si>
  <si>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</si>
  <si>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</si>
  <si>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</si>
  <si>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</si>
  <si>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</si>
  <si>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</si>
  <si>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</si>
  <si>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</si>
  <si>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</si>
  <si>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</si>
  <si>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</si>
  <si>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</si>
  <si>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</si>
  <si>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</si>
  <si>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</si>
  <si>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</si>
  <si>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</si>
  <si>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</si>
  <si>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</si>
  <si>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</si>
  <si>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</si>
  <si>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</si>
  <si>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</si>
  <si>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</si>
  <si>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</si>
  <si>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</si>
  <si>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</si>
  <si>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</si>
  <si>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</si>
  <si>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</si>
  <si>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</si>
  <si>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</si>
  <si>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</si>
  <si>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</si>
  <si>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</si>
  <si>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</si>
  <si>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</si>
  <si>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</si>
  <si>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</si>
  <si>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</si>
  <si>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</si>
  <si>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</si>
  <si>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</si>
  <si>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</si>
  <si>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</si>
  <si>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</si>
  <si>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</si>
  <si>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</si>
  <si>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</si>
  <si>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</si>
  <si>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</si>
  <si>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</si>
  <si>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</si>
  <si>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</si>
  <si>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</si>
  <si>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</si>
  <si>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</si>
  <si>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</si>
  <si>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</si>
  <si>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</si>
  <si>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</si>
  <si>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</si>
  <si>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</si>
  <si>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</si>
  <si>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</si>
  <si>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</si>
  <si>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</si>
  <si>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</si>
  <si>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</si>
  <si>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</si>
  <si>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</si>
  <si>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</si>
  <si>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</si>
  <si>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</si>
  <si>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</si>
  <si>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</si>
  <si>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</si>
  <si>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</si>
  <si>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</si>
  <si>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</si>
  <si>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</si>
  <si>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</si>
  <si>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</si>
  <si>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</si>
  <si>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</si>
  <si>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</si>
  <si>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</si>
  <si>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</si>
  <si>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</si>
  <si>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</si>
  <si>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</si>
  <si>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</si>
  <si>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</si>
  <si>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</si>
  <si>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</si>
  <si>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</si>
  <si>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</si>
  <si>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</si>
  <si>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</si>
  <si>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</si>
  <si>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</si>
  <si>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</si>
  <si>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</si>
  <si>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</si>
  <si>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</si>
  <si>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</si>
  <si>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</si>
  <si>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</si>
  <si>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</si>
  <si>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</si>
  <si>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</si>
  <si>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</si>
  <si>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</si>
  <si>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</si>
  <si>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</si>
  <si>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</si>
  <si>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</si>
  <si>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</si>
  <si>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</si>
  <si>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</si>
  <si>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</si>
  <si>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</si>
  <si>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</si>
  <si>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</si>
  <si>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</si>
  <si>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</si>
  <si>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</si>
  <si>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</si>
  <si>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</si>
  <si>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</si>
  <si>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</si>
  <si>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</si>
  <si>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</si>
  <si>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</si>
  <si>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</si>
  <si>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</si>
  <si>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</si>
  <si>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</si>
  <si>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</si>
  <si>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</si>
  <si>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</si>
  <si>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</si>
  <si>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</si>
  <si>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</si>
  <si>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</si>
  <si>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</si>
  <si>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</si>
  <si>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</si>
  <si>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</si>
  <si>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</si>
  <si>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</si>
  <si>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</si>
  <si>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</si>
  <si>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</si>
  <si>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</si>
  <si>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</si>
  <si>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</si>
  <si>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</si>
  <si>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</si>
  <si>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</si>
  <si>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</si>
  <si>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</si>
  <si>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</si>
  <si>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</si>
  <si>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</si>
  <si>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</si>
  <si>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</si>
  <si>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</si>
  <si>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</si>
  <si>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</si>
  <si>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</si>
  <si>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</si>
  <si>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</si>
  <si>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</si>
  <si>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</si>
  <si>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</si>
  <si>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</si>
  <si>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</si>
  <si>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</si>
  <si>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</si>
  <si>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</si>
  <si>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</si>
  <si>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</si>
  <si>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</si>
  <si>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</si>
  <si>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</si>
  <si>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</si>
  <si>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</si>
  <si>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</si>
  <si>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</si>
  <si>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</si>
  <si>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</si>
  <si>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</si>
  <si>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</si>
  <si>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</si>
  <si>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</si>
  <si>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</si>
  <si>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</si>
  <si>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</si>
  <si>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</si>
  <si>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</si>
  <si>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</si>
  <si>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</si>
  <si>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</si>
  <si>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</si>
  <si>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楼面单价</t>
  </si>
  <si>
    <t>商业</t>
  </si>
  <si>
    <t>利息：取LPR加浮动点数</t>
  </si>
  <si>
    <t>钢混</t>
  </si>
  <si>
    <t>非生产用房</t>
  </si>
  <si>
    <t>否</t>
  </si>
  <si>
    <t>未包含在土地购买价格中</t>
  </si>
  <si>
    <t>已包含在土地取得成本中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</si>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</sst>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估价对象为北京市房地产，为XX所有。根据《》[]，估价对象建筑面积为232.31平方米。根据《》[]，估价对象（分摊）出让国有建设用地使用权面积为平方米。估价对象用途为。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2022年10月21日</v>
      </c>
    </row>
    <row r="10" spans="1:2">
      <c r="A10" s="1139" t="s">
        <v>865</v>
      </c>
      <c r="B10" s="1126" t="str">
        <f>'预评函-1'!A13</f>
        <v>本次估价的“房地产价值”是指在正常市场情况下，在价值时点2022年10月21日，估价对象规划用途为，假定未设立法定优先受偿款下的房地产市场价值。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232.31</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44855</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232.31</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38" sqref="E3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44855</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232.31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190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24</v>
      </c>
      <c r="C13" s="2885"/>
      <c r="D13" s="2851" t="s">
        <v>1397</v>
      </c>
      <c r="E13" s="2571">
        <f>成本法!C10</f>
        <v>44139</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0.80400000000000005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813085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0.77</v>
      </c>
      <c r="F20" s="905"/>
      <c r="G20" s="1613">
        <f>ROUND(1-(2022-B27)/60,2)</f>
        <v>0.77</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2008</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c r="D29" s="2853" t="s">
        <v>1423</v>
      </c>
      <c r="E29" s="2872">
        <f>E30+E31</f>
        <v>5.5000000000000007E-2</v>
      </c>
      <c r="F29" s="1238"/>
      <c r="G29" s="2887"/>
      <c r="H29" s="2887"/>
      <c r="K29" s="1613"/>
      <c r="N29" s="1613"/>
    </row>
    <row r="30" spans="1:41" ht="14.25">
      <c r="A30" s="2848" t="str">
        <f>IF(B29="租赁期内按合同租金","合同租金","市场租金")</f>
        <v>市场租金</v>
      </c>
      <c r="B30" s="2588">
        <v>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0.15</v>
      </c>
      <c r="D33" s="2855" t="s">
        <v>1431</v>
      </c>
      <c r="E33" s="2589">
        <v>0.03</v>
      </c>
      <c r="F33" s="1237" t="s">
        <v>1432</v>
      </c>
      <c r="G33" s="2887"/>
      <c r="H33" s="2887"/>
      <c r="K33" s="1613"/>
      <c r="L33" s="1613"/>
      <c r="M33" s="1613"/>
      <c r="N33" s="1613"/>
    </row>
    <row r="34" spans="1:14" s="2593" customFormat="1" ht="14.25">
      <c r="A34" s="2848" t="s">
        <v>1430</v>
      </c>
      <c r="B34" s="2876">
        <f>收益法!J54</f>
        <v>24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5.0000000000000001E-3</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232.31</v>
      </c>
      <c r="C1" s="1562"/>
      <c r="D1" s="1562"/>
      <c r="E1" s="1562"/>
      <c r="F1" s="1562"/>
      <c r="G1" s="2500"/>
    </row>
    <row r="2" spans="1:9">
      <c r="A2" s="2499" t="s">
        <v>974</v>
      </c>
      <c r="B2" s="2499">
        <f>SUM(C14:C23)</f>
        <v>0</v>
      </c>
      <c r="C2" s="1562"/>
      <c r="D2" s="1562"/>
      <c r="E2" s="1562"/>
      <c r="F2" s="1562"/>
      <c r="G2" s="2500"/>
    </row>
    <row r="3" spans="1:9">
      <c r="A3" s="2499" t="s">
        <v>975</v>
      </c>
      <c r="B3" s="2502">
        <f>项目基本情况!D2</f>
        <v>44855</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353</v>
      </c>
      <c r="C5" s="2499">
        <f ca="1">ROUND(B5*10000/$B$1,0)</f>
        <v>15195</v>
      </c>
      <c r="D5" s="2499" t="e">
        <f ca="1">ROUND(B5*10000/$B$2,0)</f>
        <v>#DIV/0!</v>
      </c>
      <c r="E5" s="1562"/>
      <c r="F5" s="2500"/>
      <c r="G5" s="2500"/>
    </row>
    <row r="6" spans="1:9">
      <c r="A6" s="2499" t="s">
        <v>981</v>
      </c>
      <c r="B6" s="2499">
        <f ca="1">SUM(G14:G23)</f>
        <v>353</v>
      </c>
      <c r="C6" s="2499">
        <f t="shared" ref="C6:C8" ca="1" si="0">ROUND(B6*10000/$B$1,0)</f>
        <v>15195</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5" t="s">
        <v>3030</v>
      </c>
      <c r="B14" s="2835">
        <f>项目基本情况!C12</f>
        <v>232.31</v>
      </c>
      <c r="C14" s="2835">
        <f>项目基本情况!C13</f>
        <v>0</v>
      </c>
      <c r="D14" s="2835">
        <f ca="1">IF('数据-取费表'!B3="万元",IF(A14="估价对象1（结果表）",结果表!H121,'结果表 (1修多)'!H125),IF(A14="估价对象1（结果表）",结果表!H121,'结果表 (1修多)'!H125)/10000)</f>
        <v>353</v>
      </c>
      <c r="E14" s="2835">
        <f ca="1">ROUND(D14*10000/B14,0)</f>
        <v>15195</v>
      </c>
      <c r="F14" s="2835" t="e">
        <f ca="1">ROUND(D14*10000/C14,0)</f>
        <v>#DIV/0!</v>
      </c>
      <c r="G14" s="2835">
        <f ca="1">IF('数据-取费表'!B3="万元",IF(A14="估价对象1（结果表）",结果表!D125,'结果表 (1修多)'!D129),IF(A14="估价对象1（结果表）",结果表!D125,'结果表 (1修多)'!D129)/10000)</f>
        <v>353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c r="A15" s="2506" t="s">
        <v>990</v>
      </c>
      <c r="B15" s="2507"/>
      <c r="C15" s="2507"/>
      <c r="D15" s="2507"/>
      <c r="E15" s="2835" t="e">
        <f t="shared" ref="E15:E23" si="2">ROUND(D15*10000/B15,0)</f>
        <v>#DIV/0!</v>
      </c>
      <c r="F15" s="2835" t="e">
        <f t="shared" ref="F15:F23" si="3">ROUND(D15*10000/C15,0)</f>
        <v>#DIV/0!</v>
      </c>
      <c r="G15" s="1233"/>
      <c r="H15" s="1233"/>
      <c r="I15" s="2507"/>
    </row>
    <row r="16" spans="1:9">
      <c r="A16" s="2506" t="s">
        <v>991</v>
      </c>
      <c r="B16" s="2507"/>
      <c r="C16" s="2507"/>
      <c r="D16" s="2507"/>
      <c r="E16" s="2835" t="e">
        <f t="shared" si="2"/>
        <v>#DIV/0!</v>
      </c>
      <c r="F16" s="2835" t="e">
        <f t="shared" si="3"/>
        <v>#DIV/0!</v>
      </c>
      <c r="G16" s="1233"/>
      <c r="H16" s="1233"/>
      <c r="I16" s="2507"/>
    </row>
    <row r="17" spans="1:9">
      <c r="A17" s="2506" t="s">
        <v>992</v>
      </c>
      <c r="B17" s="2507"/>
      <c r="C17" s="2507"/>
      <c r="D17" s="2507"/>
      <c r="E17" s="2835" t="e">
        <f t="shared" si="2"/>
        <v>#DIV/0!</v>
      </c>
      <c r="F17" s="2835" t="e">
        <f t="shared" si="3"/>
        <v>#DIV/0!</v>
      </c>
      <c r="G17" s="1233"/>
      <c r="H17" s="1233"/>
      <c r="I17" s="2507"/>
    </row>
    <row r="18" spans="1:9">
      <c r="A18" s="2506" t="s">
        <v>993</v>
      </c>
      <c r="B18" s="2507"/>
      <c r="C18" s="2507"/>
      <c r="D18" s="2507"/>
      <c r="E18" s="2835" t="e">
        <f t="shared" si="2"/>
        <v>#DIV/0!</v>
      </c>
      <c r="F18" s="2835" t="e">
        <f t="shared" si="3"/>
        <v>#DIV/0!</v>
      </c>
      <c r="G18" s="2507"/>
      <c r="H18" s="2507"/>
      <c r="I18" s="2507"/>
    </row>
    <row r="19" spans="1:9">
      <c r="A19" s="2506" t="s">
        <v>994</v>
      </c>
      <c r="B19" s="2507"/>
      <c r="C19" s="2507"/>
      <c r="D19" s="2507"/>
      <c r="E19" s="2835" t="e">
        <f t="shared" si="2"/>
        <v>#DIV/0!</v>
      </c>
      <c r="F19" s="2835" t="e">
        <f t="shared" si="3"/>
        <v>#DIV/0!</v>
      </c>
      <c r="G19" s="2507"/>
      <c r="H19" s="2507"/>
      <c r="I19" s="2507"/>
    </row>
    <row r="20" spans="1:9">
      <c r="A20" s="2506" t="s">
        <v>995</v>
      </c>
      <c r="B20" s="2507"/>
      <c r="C20" s="2507"/>
      <c r="D20" s="2507"/>
      <c r="E20" s="2835" t="e">
        <f t="shared" si="2"/>
        <v>#DIV/0!</v>
      </c>
      <c r="F20" s="2835" t="e">
        <f t="shared" si="3"/>
        <v>#DIV/0!</v>
      </c>
      <c r="G20" s="2507"/>
      <c r="H20" s="2507"/>
      <c r="I20" s="2507"/>
    </row>
    <row r="21" spans="1:9">
      <c r="A21" s="2506" t="s">
        <v>996</v>
      </c>
      <c r="B21" s="2507"/>
      <c r="C21" s="2507"/>
      <c r="D21" s="2507"/>
      <c r="E21" s="2835" t="e">
        <f t="shared" si="2"/>
        <v>#DIV/0!</v>
      </c>
      <c r="F21" s="2835" t="e">
        <f t="shared" si="3"/>
        <v>#DIV/0!</v>
      </c>
      <c r="G21" s="2507"/>
      <c r="H21" s="2507"/>
      <c r="I21" s="2507"/>
    </row>
    <row r="22" spans="1:9">
      <c r="A22" s="2506" t="s">
        <v>997</v>
      </c>
      <c r="B22" s="2507"/>
      <c r="C22" s="2507"/>
      <c r="D22" s="2507"/>
      <c r="E22" s="2835" t="e">
        <f t="shared" si="2"/>
        <v>#DIV/0!</v>
      </c>
      <c r="F22" s="2835" t="e">
        <f t="shared" si="3"/>
        <v>#DIV/0!</v>
      </c>
      <c r="G22" s="2507"/>
      <c r="H22" s="2507"/>
      <c r="I22" s="2507"/>
    </row>
    <row r="23" spans="1:9">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F25" sqref="F25"/>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北京市房地产抵押价值预评估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3044</v>
      </c>
      <c r="D4" s="2632" t="s">
        <v>3045</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5</v>
      </c>
      <c r="D14" s="3472">
        <v>5</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68" t="s">
        <v>2576</v>
      </c>
      <c r="F18" s="3469"/>
      <c r="G18" s="3469"/>
      <c r="H18" s="3469"/>
      <c r="I18" s="3469"/>
      <c r="J18" s="2765"/>
    </row>
    <row r="19" spans="1:36" ht="15">
      <c r="A19" s="2638" t="s">
        <v>1494</v>
      </c>
      <c r="B19" s="2639" t="s">
        <v>1495</v>
      </c>
      <c r="C19" s="2640">
        <f ca="1">SUMIF(INDIRECT("'"&amp;C4&amp;"'"&amp;"!A:A"),结果表!B19,INDIRECT("'"&amp;C4&amp;"'"&amp;"!B:B"))</f>
        <v>377</v>
      </c>
      <c r="D19" s="2641">
        <f ca="1">SUMIF(INDIRECT("'"&amp;D4&amp;"'"&amp;"!A:A"),结果表!B19,INDIRECT("'"&amp;D4&amp;"'"&amp;"!B:B"))</f>
        <v>329</v>
      </c>
      <c r="E19" s="2638" t="s">
        <v>1496</v>
      </c>
      <c r="F19" s="2639" t="s">
        <v>1495</v>
      </c>
      <c r="G19" s="2642">
        <f ca="1">ROUND(C19*$C$18+D19*$D$18,0)</f>
        <v>353</v>
      </c>
      <c r="H19" s="2643" t="str">
        <f>'数据-取费表'!B3</f>
        <v>万元</v>
      </c>
      <c r="I19" s="2691"/>
      <c r="J19" s="2766"/>
    </row>
    <row r="20" spans="1:36" ht="15">
      <c r="A20" s="2644"/>
      <c r="B20" s="1622" t="s">
        <v>1497</v>
      </c>
      <c r="C20" s="1847">
        <f ca="1">SUMIF(INDIRECT("'"&amp;C4&amp;"'"&amp;"!A:A"),结果表!B20,INDIRECT("'"&amp;C4&amp;"'"&amp;"!B:B"))</f>
        <v>16209</v>
      </c>
      <c r="D20" s="1850">
        <f ca="1">SUMIF(INDIRECT("'"&amp;D4&amp;"'"&amp;"!A:A"),结果表!B20,INDIRECT("'"&amp;D4&amp;"'"&amp;"!B:B"))</f>
        <v>14169</v>
      </c>
      <c r="E20" s="2644"/>
      <c r="F20" s="1622" t="s">
        <v>1497</v>
      </c>
      <c r="G20" s="2021">
        <f ca="1">ROUND(C20*$C$18+D20*$D$18,0)</f>
        <v>15189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0.14589665653495443</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15189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10891</v>
      </c>
      <c r="D34" s="2668">
        <f ca="1">IF(D33="自定义",ROUND(C34/C32,3),1-D35)</f>
        <v>0.71700000000000008</v>
      </c>
      <c r="E34" s="1363" t="s">
        <v>1510</v>
      </c>
      <c r="F34" s="2669">
        <v>2000</v>
      </c>
      <c r="G34" s="905"/>
      <c r="H34" s="905"/>
      <c r="I34" s="905"/>
      <c r="J34" s="2765"/>
    </row>
    <row r="35" spans="1:17" ht="15.75" thickBot="1">
      <c r="A35" s="1395"/>
      <c r="B35" s="2670" t="s">
        <v>1511</v>
      </c>
      <c r="C35" s="2671">
        <f ca="1">IF(D33="自定义",F35,ROUND(C32*D35,0))</f>
        <v>4298</v>
      </c>
      <c r="D35" s="2672">
        <f ca="1">IF(D33="自定义",ROUND(C35/C32,3),IF(D33="成本法成本比率",成本法!C56,IF(D33="收益法收益比率",收益法!J38,收益法!J41)))</f>
        <v>0.28299999999999997</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353</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北京市房地产抵押价值预评估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44855</v>
      </c>
      <c r="O47" s="3522"/>
      <c r="P47" s="3522"/>
      <c r="Q47" s="1236"/>
    </row>
    <row r="48" spans="1:17" ht="25.5">
      <c r="A48" s="3464" t="s">
        <v>1536</v>
      </c>
      <c r="B48" s="3418"/>
      <c r="C48" s="3418"/>
      <c r="D48" s="12">
        <f ca="1">IF(H48="情况1",0,IF(H48="情况2",D52,IF(H48="情况3",D53,IF(H48="情况4",D54))))</f>
        <v>18</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0" t="s">
        <v>2508</v>
      </c>
      <c r="M48" s="3520"/>
      <c r="N48" s="3521">
        <f ca="1">I102</f>
        <v>353</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45"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18</v>
      </c>
      <c r="E52" s="2020" t="s">
        <v>1553</v>
      </c>
      <c r="F52" s="2493">
        <f>'数据-取费表'!E29</f>
        <v>5.5000000000000007E-2</v>
      </c>
      <c r="G52" s="2494"/>
      <c r="H52" s="905"/>
      <c r="I52" s="2898"/>
      <c r="J52" s="2773"/>
      <c r="K52" s="2454">
        <v>1</v>
      </c>
      <c r="L52" s="3487" t="s">
        <v>2515</v>
      </c>
      <c r="M52" s="3487"/>
      <c r="N52" s="2456">
        <f ca="1">D48</f>
        <v>18</v>
      </c>
      <c r="O52" s="2454" t="str">
        <f>E48</f>
        <v>销售额×税（费）率</v>
      </c>
      <c r="P52" s="2457">
        <f>F48</f>
        <v>5.5000000000000007E-2</v>
      </c>
      <c r="Q52" s="1236"/>
    </row>
    <row r="53" spans="1:17" ht="12" customHeight="1">
      <c r="A53" s="2010" t="s">
        <v>1555</v>
      </c>
      <c r="B53" s="3419" t="s">
        <v>2593</v>
      </c>
      <c r="C53" s="3458"/>
      <c r="D53" s="1028">
        <f ca="1">ROUND(D45*'数据-取费表'!E29/(1+'数据-取费表'!F30),0)</f>
        <v>18</v>
      </c>
      <c r="E53" s="2020" t="s">
        <v>1553</v>
      </c>
      <c r="F53" s="2493">
        <f>'数据-取费表'!E29</f>
        <v>5.5000000000000007E-2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18</v>
      </c>
      <c r="E54" s="264" t="s">
        <v>1558</v>
      </c>
      <c r="F54" s="2493">
        <f>'数据-取费表'!E29</f>
        <v>5.5000000000000007E-2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18</v>
      </c>
      <c r="P57" s="2465"/>
      <c r="Q57" s="1234" t="e">
        <f ca="1">O57/N49</f>
        <v>#VALUE!</v>
      </c>
    </row>
    <row r="58" spans="1:17" ht="24.75">
      <c r="A58" s="2010" t="s">
        <v>1551</v>
      </c>
      <c r="B58" s="3419" t="s">
        <v>1569</v>
      </c>
      <c r="C58" s="3457"/>
      <c r="D58" s="12">
        <f ca="1">IF(H58="转让取得",C81,C97)</f>
        <v>200</v>
      </c>
      <c r="E58" s="2020" t="s">
        <v>1564</v>
      </c>
      <c r="F58" s="235" t="s">
        <v>48</v>
      </c>
      <c r="G58" s="2494"/>
      <c r="H58" s="2496" t="s">
        <v>1570</v>
      </c>
      <c r="I58" s="2900"/>
      <c r="J58" s="2773"/>
      <c r="K58" s="3487"/>
      <c r="L58" s="3487"/>
      <c r="M58" s="2462" t="s">
        <v>2520</v>
      </c>
      <c r="N58" s="2466"/>
      <c r="O58" s="2467" t="str">
        <f ca="1">IF(H19="元",NUMBERSTRING(INT(O57),2)&amp;"元整",NUMBERSTRING(INT(O57*10000),2)&amp;"元整")</f>
        <v>壹拾捌万元整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336</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353</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2.75">
      <c r="A67" s="53" t="s">
        <v>42</v>
      </c>
      <c r="B67" s="54" t="s">
        <v>1591</v>
      </c>
      <c r="C67" s="2708">
        <f ca="1">C63-C66</f>
        <v>336</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18</v>
      </c>
      <c r="D68" s="2170">
        <f>'数据-取费表'!E29</f>
        <v>5.5000000000000007E-2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336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334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200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336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334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200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2537</v>
      </c>
      <c r="G100" s="3423"/>
      <c r="H100" s="3422" t="s">
        <v>2538</v>
      </c>
      <c r="I100" s="3421"/>
      <c r="J100" s="2780"/>
    </row>
    <row r="101" spans="1:36" ht="12.75">
      <c r="A101" s="3490" t="s">
        <v>2570</v>
      </c>
      <c r="B101" s="2235" t="str">
        <f>IF(H19="元","总价（元）","总价（万元）")</f>
        <v>总价（万元）</v>
      </c>
      <c r="C101" s="1235">
        <f ca="1">C19</f>
        <v>377</v>
      </c>
      <c r="D101" s="2727">
        <f ca="1">D19</f>
        <v>329</v>
      </c>
      <c r="E101" s="1389"/>
      <c r="F101" s="3422" t="str">
        <f>项目基本情况!I1</f>
        <v>北京市房地产</v>
      </c>
      <c r="G101" s="3423"/>
      <c r="H101" s="3420">
        <f>项目基本情况!C12</f>
        <v>232.31</v>
      </c>
      <c r="I101" s="3421"/>
      <c r="J101" s="2780"/>
    </row>
    <row r="102" spans="1:36" ht="12.75">
      <c r="A102" s="3490"/>
      <c r="B102" s="2235" t="s">
        <v>2571</v>
      </c>
      <c r="C102" s="2728">
        <f ca="1">C20</f>
        <v>16209</v>
      </c>
      <c r="D102" s="2729">
        <f ca="1">D20</f>
        <v>14169</v>
      </c>
      <c r="E102" s="1389"/>
      <c r="F102" s="3432" t="s">
        <v>2567</v>
      </c>
      <c r="G102" s="3433"/>
      <c r="H102" s="2737" t="str">
        <f>C106</f>
        <v>总价（万元）</v>
      </c>
      <c r="I102" s="2738">
        <f ca="1">H121</f>
        <v>353</v>
      </c>
      <c r="J102" s="2780"/>
    </row>
    <row r="103" spans="1:36" ht="12.75">
      <c r="A103" s="3490" t="s">
        <v>2572</v>
      </c>
      <c r="B103" s="2173" t="str">
        <f>B101</f>
        <v>总价（万元）</v>
      </c>
      <c r="C103" s="2732">
        <f ca="1">H121</f>
        <v>353</v>
      </c>
      <c r="D103" s="2730"/>
      <c r="E103" s="1389"/>
      <c r="F103" s="3432"/>
      <c r="G103" s="3433"/>
      <c r="H103" s="2737" t="s">
        <v>2540</v>
      </c>
      <c r="I103" s="52">
        <f ca="1">I121</f>
        <v>15189</v>
      </c>
      <c r="J103" s="2764"/>
    </row>
    <row r="104" spans="1:36" ht="13.5" thickBot="1">
      <c r="A104" s="3491"/>
      <c r="B104" s="2734" t="s">
        <v>2571</v>
      </c>
      <c r="C104" s="2735">
        <f ca="1">I121</f>
        <v>15189</v>
      </c>
      <c r="D104" s="2736"/>
      <c r="E104" s="1389"/>
      <c r="F104" s="3432"/>
      <c r="G104" s="3433"/>
      <c r="H104" s="3492"/>
      <c r="I104" s="3493"/>
      <c r="J104" s="2781"/>
    </row>
    <row r="105" spans="1:36" ht="15">
      <c r="A105" s="3498" t="s">
        <v>1633</v>
      </c>
      <c r="B105" s="3499"/>
      <c r="C105" s="3499"/>
      <c r="D105" s="3500"/>
      <c r="E105" s="1389"/>
      <c r="F105" s="3496" t="s">
        <v>2541</v>
      </c>
      <c r="G105" s="3497"/>
      <c r="H105" s="2739" t="str">
        <f>C108</f>
        <v>总额（万元）</v>
      </c>
      <c r="I105" s="2738">
        <f>SUMIF(I106:I108,"&lt;9E307")</f>
        <v>0</v>
      </c>
      <c r="J105" s="2780"/>
    </row>
    <row r="106" spans="1:36" ht="14.25">
      <c r="A106" s="3432" t="s">
        <v>2564</v>
      </c>
      <c r="B106" s="3433"/>
      <c r="C106" s="2737" t="str">
        <f>B101</f>
        <v>总价（万元）</v>
      </c>
      <c r="D106" s="2738">
        <f ca="1">H121</f>
        <v>353</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2565</v>
      </c>
      <c r="D107" s="52">
        <f ca="1">I121</f>
        <v>15189</v>
      </c>
      <c r="E107" s="1389"/>
      <c r="F107" s="3434" t="s">
        <v>2543</v>
      </c>
      <c r="G107" s="3435"/>
      <c r="H107" s="2739" t="str">
        <f>C110</f>
        <v>总额（万元）</v>
      </c>
      <c r="I107" s="52">
        <f>C37</f>
        <v>0</v>
      </c>
      <c r="J107" s="2764"/>
    </row>
    <row r="108" spans="1:36" ht="12.75">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2.75">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353</v>
      </c>
      <c r="J110" s="2780"/>
    </row>
    <row r="111" spans="1:36" ht="12.75">
      <c r="A111" s="3434" t="s">
        <v>2545</v>
      </c>
      <c r="B111" s="3435"/>
      <c r="C111" s="2739" t="str">
        <f>C108</f>
        <v>总额（万元）</v>
      </c>
      <c r="D111" s="52">
        <f>C38</f>
        <v>0</v>
      </c>
      <c r="E111" s="1389"/>
      <c r="F111" s="3523"/>
      <c r="G111" s="3524"/>
      <c r="H111" s="2737" t="s">
        <v>2540</v>
      </c>
      <c r="I111" s="2741">
        <f ca="1">D113</f>
        <v>15189</v>
      </c>
      <c r="J111" s="2783"/>
    </row>
    <row r="112" spans="1:36" ht="26.25" customHeight="1">
      <c r="A112" s="3432" t="str">
        <f>IF(项目基本情况!F5="已注销","——","3.房地产抵押价值")</f>
        <v>3.房地产抵押价值</v>
      </c>
      <c r="B112" s="3433"/>
      <c r="C112" s="2737" t="str">
        <f>B101</f>
        <v>总价（万元）</v>
      </c>
      <c r="D112" s="2738">
        <f ca="1">IF(A112="——","——",D106-D108)</f>
        <v>353</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2533</v>
      </c>
      <c r="D113" s="52">
        <f ca="1">ROUND(IF(D112=D106,D107,IF(H19="元",D112/项目基本情况!C12,D112*10000/项目基本情况!C12)),0)</f>
        <v>15189</v>
      </c>
      <c r="E113" s="1389"/>
      <c r="F113" s="3523"/>
      <c r="G113" s="3524"/>
      <c r="H113" s="2737" t="s">
        <v>2569</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2551</v>
      </c>
      <c r="B119" s="3443" t="s">
        <v>2561</v>
      </c>
      <c r="C119" s="3443" t="s">
        <v>2562</v>
      </c>
      <c r="D119" s="3505" t="s">
        <v>2553</v>
      </c>
      <c r="E119" s="3506"/>
      <c r="F119" s="3418" t="s">
        <v>2563</v>
      </c>
      <c r="G119" s="3418"/>
      <c r="H119" s="3418" t="s">
        <v>2554</v>
      </c>
      <c r="I119" s="3504"/>
      <c r="J119" s="2764"/>
    </row>
    <row r="120" spans="1:16" ht="12.75">
      <c r="A120" s="3417"/>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232.31</v>
      </c>
      <c r="C121" s="2020">
        <f>项目基本情况!C13</f>
        <v>0</v>
      </c>
      <c r="D121" s="2020">
        <f ca="1">ROUND(IF(B32="总价",C34,IF('数据-取费表'!B3="万元",E121*B121/10000,E121*B121)),0)</f>
        <v>253</v>
      </c>
      <c r="E121" s="2020">
        <f ca="1">ROUND(IF(B32="楼面单价",C34,IF(H19="元",D121/B121,D121*10000/B121)),0)</f>
        <v>10891</v>
      </c>
      <c r="F121" s="2020">
        <f ca="1">ROUND(IF(B32="总价",C35,IF('数据-取费表'!B3="万元",G121*B121/10000,G121*B121)),0)</f>
        <v>100</v>
      </c>
      <c r="G121" s="2020">
        <f ca="1">ROUND(IF(B32="楼面单价",C35,IF(H19="元",F121/B121,F121*10000/B121)),0)</f>
        <v>4298</v>
      </c>
      <c r="H121" s="2020">
        <f ca="1">ROUND(IF(B32="总价",C32,IF('数据-取费表'!B3="万元",I121*B121/10000,I121*B121)),0)</f>
        <v>353</v>
      </c>
      <c r="I121" s="52">
        <f ca="1">ROUND(IF(B32="楼面单价",C32,IF(H19="元",H121/B121,H121*10000/B121)),0)</f>
        <v>15189</v>
      </c>
      <c r="J121" s="2764"/>
    </row>
    <row r="122" spans="1:16" ht="12.75">
      <c r="A122" s="3417" t="s">
        <v>2557</v>
      </c>
      <c r="B122" s="3418"/>
      <c r="C122" s="3418"/>
      <c r="D122" s="3445" t="str">
        <f ca="1">IF(H19="元",NUMBERSTRING(INT(D121),2)&amp;"元整",NUMBERSTRING(INT(D121*10000),2)&amp;"元整")</f>
        <v>贰佰伍拾叁万元整</v>
      </c>
      <c r="E122" s="3488"/>
      <c r="F122" s="3445" t="str">
        <f ca="1">IF(H19="元",NUMBERSTRING(INT(F121),2)&amp;"元整",NUMBERSTRING(INT(F121*10000),2)&amp;"元整")</f>
        <v>壹佰万元整</v>
      </c>
      <c r="G122" s="3488"/>
      <c r="H122" s="3445" t="str">
        <f ca="1">IF(H19="元",NUMBERSTRING(INT(H121),2)&amp;"元整",NUMBERSTRING(INT(H121*10000),2)&amp;"元整")</f>
        <v>叁佰伍拾叁万元整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2557</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353</v>
      </c>
      <c r="E125" s="3428"/>
      <c r="F125" s="3428"/>
      <c r="G125" s="3428"/>
      <c r="H125" s="3428"/>
      <c r="I125" s="3421"/>
      <c r="J125" s="2780"/>
    </row>
    <row r="126" spans="1:16" ht="12.75">
      <c r="A126" s="3417" t="s">
        <v>2557</v>
      </c>
      <c r="B126" s="3418"/>
      <c r="C126" s="3418"/>
      <c r="D126" s="3429">
        <f ca="1">I111</f>
        <v>15189</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2557</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2557</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2576</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44855</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5.5000000000000007E-2</v>
      </c>
      <c r="G54" s="2494"/>
      <c r="H54" s="905"/>
      <c r="I54" s="2898"/>
      <c r="J54" s="2773"/>
      <c r="K54" s="2431">
        <v>1</v>
      </c>
      <c r="L54" s="3542" t="s">
        <v>1554</v>
      </c>
      <c r="M54" s="3542"/>
      <c r="N54" s="2433">
        <f>D50</f>
        <v>0</v>
      </c>
      <c r="O54" s="2431" t="str">
        <f>E50</f>
        <v>销售额×税（费）率</v>
      </c>
      <c r="P54" s="2434">
        <f>F50</f>
        <v>5.5000000000000007E-2</v>
      </c>
    </row>
    <row r="55" spans="1:17" ht="12" customHeight="1">
      <c r="A55" s="2010" t="s">
        <v>1555</v>
      </c>
      <c r="B55" s="3419" t="s">
        <v>2593</v>
      </c>
      <c r="C55" s="3458"/>
      <c r="D55" s="1028">
        <f>ROUND(D47*'数据-取费表'!E29/(1+'数据-取费表'!F30),0)</f>
        <v>0</v>
      </c>
      <c r="E55" s="2020" t="s">
        <v>1553</v>
      </c>
      <c r="F55" s="2493">
        <f>'数据-取费表'!E29</f>
        <v>5.5000000000000007E-2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5.5000000000000007E-2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2536</v>
      </c>
      <c r="G101" s="3535"/>
      <c r="H101" s="3535"/>
      <c r="I101" s="3536"/>
      <c r="J101" s="2800"/>
    </row>
    <row r="102" spans="1:36" ht="15">
      <c r="A102" s="3510" t="s">
        <v>1632</v>
      </c>
      <c r="B102" s="3511"/>
      <c r="C102" s="2723">
        <f>C4</f>
        <v>0</v>
      </c>
      <c r="D102" s="2724">
        <f>D4</f>
        <v>0</v>
      </c>
      <c r="E102" s="1389"/>
      <c r="F102" s="3422" t="s">
        <v>2537</v>
      </c>
      <c r="G102" s="3423"/>
      <c r="H102" s="3428" t="s">
        <v>2538</v>
      </c>
      <c r="I102" s="3421"/>
      <c r="J102" s="2780"/>
    </row>
    <row r="103" spans="1:36" ht="12.75">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2533</v>
      </c>
      <c r="C104" s="2728" t="e">
        <f ca="1">C20</f>
        <v>#REF!</v>
      </c>
      <c r="D104" s="2729" t="e">
        <f ca="1">D20</f>
        <v>#REF!</v>
      </c>
      <c r="E104" s="1389"/>
      <c r="F104" s="3432" t="s">
        <v>2539</v>
      </c>
      <c r="G104" s="3433"/>
      <c r="H104" s="2737" t="str">
        <f>C110</f>
        <v>总价（万元）</v>
      </c>
      <c r="I104" s="2738">
        <f>H125</f>
        <v>0</v>
      </c>
      <c r="J104" s="2780"/>
    </row>
    <row r="105" spans="1:36" ht="12.75">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2.75">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2.75">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2543</v>
      </c>
      <c r="G109" s="3435"/>
      <c r="H109" s="2739" t="str">
        <f>C114</f>
        <v>总额（万元）</v>
      </c>
      <c r="I109" s="52">
        <f>C39</f>
        <v>0</v>
      </c>
      <c r="J109" s="2764"/>
    </row>
    <row r="110" spans="1:36" ht="12.75">
      <c r="A110" s="3432" t="s">
        <v>2546</v>
      </c>
      <c r="B110" s="3433"/>
      <c r="C110" s="2737" t="str">
        <f>B103</f>
        <v>总价（万元）</v>
      </c>
      <c r="D110" s="2738">
        <f>H125</f>
        <v>0</v>
      </c>
      <c r="E110" s="1389"/>
      <c r="F110" s="3434" t="s">
        <v>2544</v>
      </c>
      <c r="G110" s="3435"/>
      <c r="H110" s="2739" t="str">
        <f>C115</f>
        <v>总额（万元）</v>
      </c>
      <c r="I110" s="52">
        <f>C40</f>
        <v>0</v>
      </c>
      <c r="J110" s="2764"/>
    </row>
    <row r="111" spans="1:36" ht="12.75">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2.75">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2550</v>
      </c>
      <c r="B115" s="3435"/>
      <c r="C115" s="2739" t="str">
        <f>C112</f>
        <v>总额（万元）</v>
      </c>
      <c r="D115" s="52">
        <f>C40</f>
        <v>0</v>
      </c>
      <c r="E115" s="1389"/>
      <c r="F115" s="3523"/>
      <c r="G115" s="3524"/>
      <c r="H115" s="2737" t="s">
        <v>2540</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377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16209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2097673.1799999997</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H7*D19</f>
        <v>1992755.18</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60779</v>
      </c>
      <c r="D7" s="115"/>
      <c r="E7" s="1097"/>
      <c r="F7" s="1098">
        <f>'数据-取费表'!E36+'数据-取费表'!E37</f>
        <v>3.0499999999999999E-2</v>
      </c>
      <c r="G7" s="95"/>
      <c r="H7" s="96">
        <v>8578</v>
      </c>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44139</v>
      </c>
      <c r="D8" s="1099"/>
      <c r="E8" s="115"/>
      <c r="F8" s="1098"/>
      <c r="G8" s="1446" t="s">
        <v>3042</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44139</v>
      </c>
      <c r="D10" s="1101">
        <f>IF('数据-取费表'!B10&lt;&gt;"住宅",IF(B1="仅计算典型户型",'数据-取费表'!E5,'数据-取费表'!B5),0)</f>
        <v>232.31</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232.31</v>
      </c>
      <c r="E19" s="111">
        <f>'数据-取费表'!E15</f>
        <v>200</v>
      </c>
      <c r="F19" s="112"/>
      <c r="G19" s="1446" t="s">
        <v>3043</v>
      </c>
    </row>
    <row r="20" spans="1:123" s="91" customFormat="1" ht="13.5" customHeight="1">
      <c r="A20" s="120" t="s">
        <v>1702</v>
      </c>
      <c r="B20" s="89" t="s">
        <v>1703</v>
      </c>
      <c r="C20" s="99">
        <f>ROUND((C5+C19)*F20,0)</f>
        <v>41953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179461</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177720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1741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320944</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320944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2857795</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896136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813085</v>
      </c>
      <c r="D34" s="1096"/>
      <c r="E34" s="115"/>
      <c r="F34" s="1107" t="str">
        <f>IF('数据-取费表'!B26=0,"",'数据-取费表'!E20)</f>
        <v/>
      </c>
      <c r="G34" s="95"/>
    </row>
    <row r="35" spans="1:123" ht="13.5" customHeight="1">
      <c r="A35" s="92" t="s">
        <v>1685</v>
      </c>
      <c r="B35" s="93" t="s">
        <v>1734</v>
      </c>
      <c r="C35" s="115">
        <f>ROUND(C34*F35,0)</f>
        <v>24393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46462</v>
      </c>
      <c r="D37" s="1096">
        <f>IF(B1="仅计算典型户型",'数据-取费表'!E5,'数据-取费表'!B5)</f>
        <v>232.31</v>
      </c>
      <c r="E37" s="115">
        <f>'数据-取费表'!E23</f>
        <v>200</v>
      </c>
      <c r="F37" s="1108"/>
      <c r="G37" s="124" t="s">
        <v>1739</v>
      </c>
    </row>
    <row r="38" spans="1:123" ht="13.5" customHeight="1">
      <c r="A38" s="92" t="s">
        <v>1740</v>
      </c>
      <c r="B38" s="93" t="s">
        <v>1741</v>
      </c>
      <c r="C38" s="115">
        <f>ROUND(C34*F38,0)</f>
        <v>12196</v>
      </c>
      <c r="D38" s="115"/>
      <c r="E38" s="115"/>
      <c r="F38" s="1108">
        <f>'数据-取费表'!E24</f>
        <v>1.4999999999999999E-2</v>
      </c>
      <c r="G38" s="95" t="s">
        <v>1735</v>
      </c>
    </row>
    <row r="39" spans="1:123" s="91" customFormat="1" ht="13.5" customHeight="1">
      <c r="A39" s="120" t="s">
        <v>1700</v>
      </c>
      <c r="B39" s="89" t="s">
        <v>1703</v>
      </c>
      <c r="C39" s="99">
        <f>ROUND(C33*F20,0)</f>
        <v>17923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37934</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37190</v>
      </c>
      <c r="D42" s="104"/>
      <c r="E42" s="104"/>
      <c r="F42" s="105"/>
      <c r="G42" s="3554" t="s">
        <v>1745</v>
      </c>
    </row>
    <row r="43" spans="1:123" ht="13.5" customHeight="1">
      <c r="A43" s="92" t="s">
        <v>1685</v>
      </c>
      <c r="B43" s="93" t="s">
        <v>1714</v>
      </c>
      <c r="C43" s="104">
        <f ca="1">ROUND(IF('数据-取费表'!B24&lt;=1,C39*F22*'数据-取费表'!B23/2,C39*(POWER((1+F22),'数据-取费表'!B23/2)-1)),0)</f>
        <v>744</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137109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137109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1178937</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907781</v>
      </c>
      <c r="D51" s="99"/>
      <c r="E51" s="99"/>
      <c r="F51" s="126"/>
      <c r="G51" s="100" t="s">
        <v>1759</v>
      </c>
    </row>
    <row r="52" spans="1:123" s="88" customFormat="1" ht="16.5" thickBot="1">
      <c r="A52" s="127" t="s">
        <v>1760</v>
      </c>
      <c r="B52" s="128"/>
      <c r="C52" s="129">
        <f ca="1">C31+C51</f>
        <v>3765576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0.24099999999999999</v>
      </c>
    </row>
    <row r="57" spans="1:123">
      <c r="B57" s="135" t="s">
        <v>1763</v>
      </c>
      <c r="C57" s="137">
        <f ca="1">1-C56</f>
        <v>0.75900000000000001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-44139</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-44139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-883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-6753</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-6753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43751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329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14169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216493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216223</v>
      </c>
      <c r="D6" s="36" t="s">
        <v>2461</v>
      </c>
      <c r="E6" s="235" t="s">
        <v>1776</v>
      </c>
      <c r="F6" s="236">
        <f>'数据-取费表'!B30</f>
        <v>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232.31</v>
      </c>
      <c r="G7" s="909"/>
      <c r="H7" s="237"/>
      <c r="I7" s="238"/>
      <c r="J7" s="239"/>
      <c r="K7" s="240"/>
      <c r="L7" s="235" t="s">
        <v>1777</v>
      </c>
      <c r="M7" s="236">
        <f>IF('数据-取费表'!B42="",IF(D1="仅计算典型户型",'数据-取费表'!E5,'数据-取费表'!B5),'数据-取费表'!B42)</f>
        <v>232.31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907781</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813085</v>
      </c>
      <c r="D14" s="1256" t="s">
        <v>1795</v>
      </c>
      <c r="E14" s="1257"/>
      <c r="F14" s="757"/>
      <c r="G14" s="910"/>
      <c r="H14" s="253" t="s">
        <v>1774</v>
      </c>
      <c r="I14" s="235" t="s">
        <v>1796</v>
      </c>
      <c r="J14" s="13">
        <f ca="1">C29</f>
        <v>1178937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24393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5895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46462</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12196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896136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17923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5895</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37934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-5895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137109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1178937</v>
      </c>
      <c r="D29" s="1034"/>
      <c r="E29" s="1032"/>
      <c r="F29" s="1035"/>
      <c r="G29" s="652"/>
      <c r="H29" s="271" t="s">
        <v>24</v>
      </c>
      <c r="I29" s="272" t="s">
        <v>1869</v>
      </c>
      <c r="J29" s="273">
        <f ca="1">ROUND(J26/(1+F40)^F41,0)</f>
        <v>0</v>
      </c>
      <c r="K29" s="274" t="s">
        <v>1870</v>
      </c>
      <c r="L29" s="275"/>
      <c r="M29" s="276">
        <f>IF(D1="仅计算典型户型",'数据-取费表'!E5,'数据-取费表'!B5)</f>
        <v>232.31</v>
      </c>
    </row>
    <row r="30" spans="1:37" ht="18" customHeight="1" thickTop="1">
      <c r="A30" s="1021" t="s">
        <v>14</v>
      </c>
      <c r="B30" s="1022" t="s">
        <v>1871</v>
      </c>
      <c r="C30" s="243">
        <f ca="1">ROUND(C31+C36+C37+C38,0)</f>
        <v>23837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14415</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63545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5895</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1362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2165</v>
      </c>
      <c r="D38" s="1034" t="s">
        <v>1846</v>
      </c>
      <c r="E38" s="1032" t="s">
        <v>1842</v>
      </c>
      <c r="F38" s="1027">
        <f>'数据-取费表'!B47</f>
        <v>0.01</v>
      </c>
      <c r="G38" s="652"/>
      <c r="H38" s="901"/>
      <c r="I38" s="280" t="s">
        <v>1884</v>
      </c>
      <c r="J38" s="136">
        <f ca="1">ROUND(J34/C39,3)</f>
        <v>0.33</v>
      </c>
      <c r="K38" s="906"/>
      <c r="L38" s="901"/>
      <c r="M38" s="901"/>
    </row>
    <row r="39" spans="1:18" ht="18" customHeight="1" thickTop="1">
      <c r="A39" s="1021" t="s">
        <v>22</v>
      </c>
      <c r="B39" s="1036" t="s">
        <v>1885</v>
      </c>
      <c r="C39" s="243">
        <f ca="1">C5-C30</f>
        <v>192656</v>
      </c>
      <c r="D39" s="1037" t="s">
        <v>1886</v>
      </c>
      <c r="E39" s="1038"/>
      <c r="F39" s="1039"/>
      <c r="G39" s="652"/>
      <c r="H39" s="901"/>
      <c r="I39" s="280" t="s">
        <v>1887</v>
      </c>
      <c r="J39" s="136">
        <f ca="1">1-J38</f>
        <v>0.66999999999999993</v>
      </c>
      <c r="K39" s="906"/>
      <c r="L39" s="901"/>
      <c r="M39" s="901"/>
    </row>
    <row r="40" spans="1:18" s="652" customFormat="1" ht="18" customHeight="1">
      <c r="A40" s="232" t="s">
        <v>23</v>
      </c>
      <c r="B40" s="233" t="s">
        <v>1888</v>
      </c>
      <c r="C40" s="234">
        <f ca="1">ROUND(C39*(1-((1+F42)/(1+F40))^F41)/(F40-F42),0)</f>
        <v>3208391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24</v>
      </c>
      <c r="H41" s="908"/>
      <c r="I41" s="135" t="s">
        <v>1762</v>
      </c>
      <c r="J41" s="136">
        <f ca="1">ROUND(C13/C40,3)</f>
        <v>0.28299999999999997</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0.71700000000000008</v>
      </c>
      <c r="K42" s="905"/>
      <c r="L42" s="908"/>
      <c r="M42" s="908"/>
      <c r="Q42" s="656"/>
    </row>
    <row r="43" spans="1:18" s="652" customFormat="1" ht="18" customHeight="1" thickBot="1">
      <c r="A43" s="271" t="s">
        <v>24</v>
      </c>
      <c r="B43" s="272" t="s">
        <v>1891</v>
      </c>
      <c r="C43" s="273">
        <f ca="1">ROUND(C40/F43,0)</f>
        <v>13811</v>
      </c>
      <c r="D43" s="274" t="s">
        <v>1892</v>
      </c>
      <c r="E43" s="275" t="s">
        <v>1893</v>
      </c>
      <c r="F43" s="276">
        <f>IF(D1="仅计算典型户型",'数据-取费表'!E5,'数据-取费表'!B5)</f>
        <v>232.31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3208391</v>
      </c>
      <c r="R45" s="1008" t="s">
        <v>1900</v>
      </c>
    </row>
    <row r="46" spans="1:18" s="652" customFormat="1" ht="18" customHeight="1" thickBot="1">
      <c r="A46" s="649"/>
      <c r="D46" s="649"/>
      <c r="E46" s="649"/>
      <c r="F46" s="649"/>
      <c r="K46" s="653"/>
      <c r="O46" s="1005" t="s">
        <v>768</v>
      </c>
      <c r="P46" s="1006" t="s">
        <v>1901</v>
      </c>
      <c r="Q46" s="1007">
        <f ca="1">J61</f>
        <v>83128</v>
      </c>
      <c r="R46" s="1008" t="s">
        <v>1902</v>
      </c>
    </row>
    <row r="47" spans="1:18" s="652" customFormat="1" ht="21.75" thickBot="1">
      <c r="A47" s="1455" t="s">
        <v>1903</v>
      </c>
      <c r="C47" s="950">
        <f ca="1">IF(C2="元",C69-C40,ROUND((C69-C40)/10000,0))</f>
        <v>-330</v>
      </c>
      <c r="D47" s="1456" t="str">
        <f>C2</f>
        <v>万元</v>
      </c>
      <c r="E47" s="649"/>
      <c r="F47" s="649"/>
      <c r="I47" s="1457" t="s">
        <v>1904</v>
      </c>
      <c r="J47" s="981"/>
      <c r="K47" s="982"/>
      <c r="L47" s="995">
        <f ca="1">IF(M48="住宅",0,IF(L49&gt;J52,L61,J61))</f>
        <v>83128</v>
      </c>
      <c r="O47" s="1009" t="s">
        <v>769</v>
      </c>
      <c r="P47" s="1006" t="s">
        <v>1905</v>
      </c>
      <c r="Q47" s="1007">
        <f ca="1">C29</f>
        <v>1178937</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24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24</v>
      </c>
      <c r="R50" s="1008" t="s">
        <v>1923</v>
      </c>
    </row>
    <row r="51" spans="1:18" s="652" customFormat="1" ht="15.75" thickBot="1">
      <c r="A51" s="237"/>
      <c r="B51" s="238"/>
      <c r="C51" s="239"/>
      <c r="D51" s="240"/>
      <c r="E51" s="255" t="s">
        <v>1777</v>
      </c>
      <c r="F51" s="943">
        <f>F7</f>
        <v>232.31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329</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56230062</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24</v>
      </c>
      <c r="K54" s="3557" t="s">
        <v>2460</v>
      </c>
      <c r="L54" s="3558"/>
      <c r="O54" s="1005" t="s">
        <v>767</v>
      </c>
      <c r="P54" s="1006" t="s">
        <v>1899</v>
      </c>
      <c r="Q54" s="1007">
        <f ca="1">C40+J29</f>
        <v>3208391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907781</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1178937</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7257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471575</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321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83128</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3208391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5895</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56230062</v>
      </c>
      <c r="R65" s="1012" t="s">
        <v>1962</v>
      </c>
    </row>
    <row r="66" spans="1:18" s="652" customFormat="1" ht="20.25" thickBot="1">
      <c r="A66" s="253" t="s">
        <v>20</v>
      </c>
      <c r="B66" s="235" t="s">
        <v>1840</v>
      </c>
      <c r="C66" s="13">
        <f ca="1">ROUND(C57*F66,0)</f>
        <v>1362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129111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192656</v>
      </c>
      <c r="R67" s="1008" t="s">
        <v>1900</v>
      </c>
    </row>
    <row r="68" spans="1:18" ht="15.75" thickBot="1">
      <c r="A68" s="248" t="s">
        <v>22</v>
      </c>
      <c r="B68" s="41" t="s">
        <v>1850</v>
      </c>
      <c r="C68" s="250">
        <f ca="1">C49-C59</f>
        <v>-7257</v>
      </c>
      <c r="D68" s="1256" t="s">
        <v>1851</v>
      </c>
      <c r="E68" s="1258"/>
      <c r="F68" s="268"/>
      <c r="H68" s="652"/>
      <c r="I68" s="652"/>
      <c r="J68" s="652"/>
      <c r="K68" s="652"/>
      <c r="L68" s="652"/>
      <c r="M68" s="652"/>
      <c r="O68" s="1009" t="s">
        <v>776</v>
      </c>
      <c r="P68" s="1013" t="s">
        <v>1966</v>
      </c>
      <c r="Q68" s="1007">
        <f ca="1">C13</f>
        <v>907781</v>
      </c>
      <c r="R68" s="1008" t="s">
        <v>1900</v>
      </c>
    </row>
    <row r="69" spans="1:18" ht="15.75" thickBot="1">
      <c r="A69" s="232" t="s">
        <v>23</v>
      </c>
      <c r="B69" s="233" t="s">
        <v>1888</v>
      </c>
      <c r="C69" s="234">
        <f ca="1">ROUND(C68*(1-((1+F71)/(1+F69))^F70)/(F69-F71),0)</f>
        <v>-95442</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24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-411</v>
      </c>
      <c r="D72" s="274" t="s">
        <v>1892</v>
      </c>
      <c r="E72" s="275" t="s">
        <v>1893</v>
      </c>
      <c r="F72" s="276">
        <f>F43</f>
        <v>232.31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321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1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232.31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44855</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232.31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44855</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232.31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44855</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232.31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44855</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232.31</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44855</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232.31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44855</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44855</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124</v>
      </c>
      <c r="G10" s="1686"/>
      <c r="H10" s="1626">
        <f>ROUND(100/'数据-取费表'!B14,0)</f>
        <v>124</v>
      </c>
      <c r="I10" s="1686"/>
      <c r="J10" s="1626">
        <f>ROUND(100/'数据-取费表'!B14,0)</f>
        <v>124</v>
      </c>
      <c r="K10" s="1898"/>
      <c r="L10" s="2917"/>
      <c r="M10" s="2918"/>
      <c r="N10" s="2918"/>
      <c r="O10" s="2963"/>
      <c r="P10" s="3590"/>
      <c r="Q10" s="1563" t="str">
        <f t="shared" si="6"/>
        <v>土地使用年限（年）</v>
      </c>
      <c r="R10" s="1609" t="s">
        <v>25</v>
      </c>
      <c r="S10" s="1610">
        <f t="shared" si="0"/>
        <v>124</v>
      </c>
      <c r="T10" s="1609" t="s">
        <v>25</v>
      </c>
      <c r="U10" s="1610">
        <f t="shared" si="1"/>
        <v>124</v>
      </c>
      <c r="V10" s="1609" t="s">
        <v>25</v>
      </c>
      <c r="W10" s="1610">
        <f t="shared" si="2"/>
        <v>124</v>
      </c>
      <c r="X10" s="1611"/>
      <c r="Y10" s="3450"/>
      <c r="Z10" s="1622" t="str">
        <f t="shared" si="7"/>
        <v>土地使用年限（年）</v>
      </c>
      <c r="AA10" s="1612">
        <f t="shared" si="3"/>
        <v>0.80645161290322576</v>
      </c>
      <c r="AB10" s="1612">
        <f t="shared" si="4"/>
        <v>0.80645161290322576</v>
      </c>
      <c r="AC10" s="1612">
        <f t="shared" si="5"/>
        <v>0.80645161290322576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J75" sqref="J7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44855</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124</v>
      </c>
      <c r="G10" s="322"/>
      <c r="H10" s="29">
        <f>ROUND(100/'数据-取费表'!B14,0)</f>
        <v>124</v>
      </c>
      <c r="I10" s="322"/>
      <c r="J10" s="29">
        <f>ROUND(100/'数据-取费表'!B14,0)</f>
        <v>124</v>
      </c>
      <c r="K10" s="553"/>
      <c r="L10" s="2948"/>
      <c r="M10" s="2949"/>
      <c r="N10" s="2949"/>
      <c r="O10" s="2950"/>
      <c r="P10" s="3633"/>
      <c r="Q10" s="1255" t="str">
        <f t="shared" si="6"/>
        <v>土地使用年限（年）</v>
      </c>
      <c r="R10" s="627" t="s">
        <v>25</v>
      </c>
      <c r="S10" s="628">
        <f t="shared" si="0"/>
        <v>124</v>
      </c>
      <c r="T10" s="627" t="s">
        <v>25</v>
      </c>
      <c r="U10" s="628">
        <f t="shared" si="1"/>
        <v>124</v>
      </c>
      <c r="V10" s="627" t="s">
        <v>25</v>
      </c>
      <c r="W10" s="628">
        <f t="shared" si="2"/>
        <v>124</v>
      </c>
      <c r="X10" s="629"/>
      <c r="Y10" s="3652"/>
      <c r="Z10" s="19" t="str">
        <f t="shared" si="7"/>
        <v>土地使用年限（年）</v>
      </c>
      <c r="AA10" s="630">
        <f t="shared" si="3"/>
        <v>0.80645161290322576</v>
      </c>
      <c r="AB10" s="630">
        <f t="shared" si="4"/>
        <v>0.80645161290322576</v>
      </c>
      <c r="AC10" s="630">
        <f t="shared" si="5"/>
        <v>0.80645161290322576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估价对象为北京市房地产，为XX所有。根据《》[]，估价对象建筑面积为232.31平方米。根据《》[]，估价对象（分摊）出让国有建设用地使用权面积为平方米。估价对象用途为。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2022年10月21日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232.31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44855</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0.71340000000000003</v>
      </c>
      <c r="D20" s="2130" t="s">
        <v>2354</v>
      </c>
      <c r="E20" s="3072">
        <f>存贷款利率!E22/100</f>
        <v>4.3499999999999997E-2</v>
      </c>
      <c r="F20" s="2130" t="s">
        <v>2343</v>
      </c>
      <c r="G20" s="3073">
        <f>SUMIF(M26:P26,E2,M28:P28)</f>
        <v>0.05</v>
      </c>
      <c r="H20" s="2130" t="s">
        <v>2355</v>
      </c>
      <c r="I20" s="2131">
        <f>'数据-取费表'!B13</f>
        <v>24</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232.31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8" t="s">
        <v>2881</v>
      </c>
      <c r="C73" s="3284" t="s">
        <v>2882</v>
      </c>
      <c r="D73" s="3284" t="s">
        <v>2883</v>
      </c>
      <c r="E73" s="3309">
        <v>0.2</v>
      </c>
      <c r="F73" s="3303">
        <v>25</v>
      </c>
    </row>
    <row r="74" spans="1:7" ht="24">
      <c r="A74" s="3303">
        <v>2</v>
      </c>
      <c r="B74" s="3709"/>
      <c r="C74" s="3284" t="s">
        <v>2884</v>
      </c>
      <c r="D74" s="3284" t="s">
        <v>2885</v>
      </c>
      <c r="E74" s="3309">
        <v>0.2</v>
      </c>
      <c r="F74" s="3303">
        <v>25</v>
      </c>
    </row>
    <row r="75" spans="1:7" ht="24">
      <c r="A75" s="3303">
        <v>3</v>
      </c>
      <c r="B75" s="3709"/>
      <c r="C75" s="3284" t="s">
        <v>2886</v>
      </c>
      <c r="D75" s="3284" t="s">
        <v>2887</v>
      </c>
      <c r="E75" s="3309">
        <v>0.2</v>
      </c>
      <c r="F75" s="3303">
        <v>25</v>
      </c>
    </row>
    <row r="76" spans="1:7" ht="13.5">
      <c r="A76" s="3303">
        <v>4</v>
      </c>
      <c r="B76" s="3709"/>
      <c r="C76" s="3284" t="s">
        <v>2888</v>
      </c>
      <c r="D76" s="3284" t="s">
        <v>2889</v>
      </c>
      <c r="E76" s="3309">
        <v>0.15</v>
      </c>
      <c r="F76" s="3303">
        <v>20</v>
      </c>
    </row>
    <row r="77" spans="1:7" ht="24">
      <c r="A77" s="3303">
        <v>5</v>
      </c>
      <c r="B77" s="3709"/>
      <c r="C77" s="3284" t="s">
        <v>2890</v>
      </c>
      <c r="D77" s="3284" t="s">
        <v>2891</v>
      </c>
      <c r="E77" s="3309">
        <v>0.15</v>
      </c>
      <c r="F77" s="3303">
        <v>20</v>
      </c>
    </row>
    <row r="78" spans="1:7" ht="24">
      <c r="A78" s="3303">
        <v>6</v>
      </c>
      <c r="B78" s="3709"/>
      <c r="C78" s="3284" t="s">
        <v>2892</v>
      </c>
      <c r="D78" s="3284" t="s">
        <v>2893</v>
      </c>
      <c r="E78" s="3309">
        <v>0.15</v>
      </c>
      <c r="F78" s="3303">
        <v>20</v>
      </c>
    </row>
    <row r="79" spans="1:7" ht="24">
      <c r="A79" s="3303">
        <v>7</v>
      </c>
      <c r="B79" s="3709"/>
      <c r="C79" s="3284" t="s">
        <v>2894</v>
      </c>
      <c r="D79" s="3284" t="s">
        <v>2895</v>
      </c>
      <c r="E79" s="3309">
        <v>0.15</v>
      </c>
      <c r="F79" s="3303">
        <v>20</v>
      </c>
    </row>
    <row r="80" spans="1:7" ht="24">
      <c r="A80" s="3303">
        <v>8</v>
      </c>
      <c r="B80" s="3709"/>
      <c r="C80" s="3284" t="s">
        <v>2896</v>
      </c>
      <c r="D80" s="3284" t="s">
        <v>2897</v>
      </c>
      <c r="E80" s="3309">
        <v>0.1</v>
      </c>
      <c r="F80" s="3303">
        <v>15</v>
      </c>
    </row>
    <row r="81" spans="1:6" ht="24">
      <c r="A81" s="3303">
        <v>9</v>
      </c>
      <c r="B81" s="3709"/>
      <c r="C81" s="3284" t="s">
        <v>2898</v>
      </c>
      <c r="D81" s="3284" t="s">
        <v>2899</v>
      </c>
      <c r="E81" s="3309">
        <v>0.1</v>
      </c>
      <c r="F81" s="3303">
        <v>15</v>
      </c>
    </row>
    <row r="82" spans="1:6" ht="24">
      <c r="A82" s="3303">
        <v>10</v>
      </c>
      <c r="B82" s="3709"/>
      <c r="C82" s="3284" t="s">
        <v>2900</v>
      </c>
      <c r="D82" s="3284" t="s">
        <v>2901</v>
      </c>
      <c r="E82" s="3309">
        <v>0.1</v>
      </c>
      <c r="F82" s="3303">
        <v>15</v>
      </c>
    </row>
    <row r="83" spans="1:6" ht="24">
      <c r="A83" s="3303">
        <v>11</v>
      </c>
      <c r="B83" s="3709"/>
      <c r="C83" s="3284" t="s">
        <v>2902</v>
      </c>
      <c r="D83" s="3284" t="s">
        <v>2903</v>
      </c>
      <c r="E83" s="3309">
        <v>0.1</v>
      </c>
      <c r="F83" s="3303">
        <v>15</v>
      </c>
    </row>
    <row r="84" spans="1:6" ht="24">
      <c r="A84" s="3303">
        <v>12</v>
      </c>
      <c r="B84" s="3709"/>
      <c r="C84" s="3284" t="s">
        <v>2904</v>
      </c>
      <c r="D84" s="3284" t="s">
        <v>2905</v>
      </c>
      <c r="E84" s="3309">
        <v>0.1</v>
      </c>
      <c r="F84" s="3303">
        <v>15</v>
      </c>
    </row>
    <row r="85" spans="1:6" ht="13.5">
      <c r="A85" s="3303">
        <v>13</v>
      </c>
      <c r="B85" s="3709"/>
      <c r="C85" s="3284" t="s">
        <v>2906</v>
      </c>
      <c r="D85" s="3284" t="s">
        <v>2907</v>
      </c>
      <c r="E85" s="3309">
        <v>0.1</v>
      </c>
      <c r="F85" s="3303">
        <v>15</v>
      </c>
    </row>
    <row r="86" spans="1:6" ht="13.5">
      <c r="A86" s="3303">
        <v>14</v>
      </c>
      <c r="B86" s="3709"/>
      <c r="C86" s="3284" t="s">
        <v>2908</v>
      </c>
      <c r="D86" s="3284" t="s">
        <v>2909</v>
      </c>
      <c r="E86" s="3309">
        <v>0.1</v>
      </c>
      <c r="F86" s="3303">
        <v>15</v>
      </c>
    </row>
    <row r="87" spans="1:6" ht="13.5">
      <c r="A87" s="3303">
        <v>15</v>
      </c>
      <c r="B87" s="3709"/>
      <c r="C87" s="3284" t="s">
        <v>2910</v>
      </c>
      <c r="D87" s="3284" t="s">
        <v>2911</v>
      </c>
      <c r="E87" s="3309">
        <v>0.1</v>
      </c>
      <c r="F87" s="3303">
        <v>15</v>
      </c>
    </row>
    <row r="88" spans="1:6" ht="24">
      <c r="A88" s="3303">
        <v>16</v>
      </c>
      <c r="B88" s="3709"/>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8" t="s">
        <v>2916</v>
      </c>
      <c r="C90" s="3284" t="s">
        <v>2917</v>
      </c>
      <c r="D90" s="3284" t="s">
        <v>2918</v>
      </c>
      <c r="E90" s="3309">
        <v>0.2</v>
      </c>
      <c r="F90" s="3303">
        <v>25</v>
      </c>
    </row>
    <row r="91" spans="1:6" ht="24">
      <c r="A91" s="3303">
        <v>19</v>
      </c>
      <c r="B91" s="3709"/>
      <c r="C91" s="3284" t="s">
        <v>2919</v>
      </c>
      <c r="D91" s="3284" t="s">
        <v>2920</v>
      </c>
      <c r="E91" s="3309">
        <v>0.2</v>
      </c>
      <c r="F91" s="3303">
        <v>25</v>
      </c>
    </row>
    <row r="92" spans="1:6" ht="13.5">
      <c r="A92" s="3303">
        <v>20</v>
      </c>
      <c r="B92" s="3709"/>
      <c r="C92" s="3284" t="s">
        <v>2921</v>
      </c>
      <c r="D92" s="3284" t="s">
        <v>2922</v>
      </c>
      <c r="E92" s="3309">
        <v>0.15</v>
      </c>
      <c r="F92" s="3303">
        <v>20</v>
      </c>
    </row>
    <row r="93" spans="1:6" ht="24">
      <c r="A93" s="3303">
        <v>21</v>
      </c>
      <c r="B93" s="3709"/>
      <c r="C93" s="3284" t="s">
        <v>2923</v>
      </c>
      <c r="D93" s="3284" t="s">
        <v>2924</v>
      </c>
      <c r="E93" s="3309">
        <v>0.15</v>
      </c>
      <c r="F93" s="3303">
        <v>20</v>
      </c>
    </row>
    <row r="94" spans="1:6" ht="24">
      <c r="A94" s="3303">
        <v>22</v>
      </c>
      <c r="B94" s="3709"/>
      <c r="C94" s="3284" t="s">
        <v>2925</v>
      </c>
      <c r="D94" s="3284" t="s">
        <v>2926</v>
      </c>
      <c r="E94" s="3309">
        <v>0.15</v>
      </c>
      <c r="F94" s="3303">
        <v>20</v>
      </c>
    </row>
    <row r="95" spans="1:6" ht="36">
      <c r="A95" s="3303">
        <v>23</v>
      </c>
      <c r="B95" s="3709"/>
      <c r="C95" s="3284" t="s">
        <v>2927</v>
      </c>
      <c r="D95" s="3284" t="s">
        <v>2928</v>
      </c>
      <c r="E95" s="3309">
        <v>0.15</v>
      </c>
      <c r="F95" s="3303">
        <v>20</v>
      </c>
    </row>
    <row r="96" spans="1:6" ht="13.5">
      <c r="A96" s="3303">
        <v>24</v>
      </c>
      <c r="B96" s="3709"/>
      <c r="C96" s="3284" t="s">
        <v>2929</v>
      </c>
      <c r="D96" s="3284" t="s">
        <v>2930</v>
      </c>
      <c r="E96" s="3309">
        <v>0.1</v>
      </c>
      <c r="F96" s="3303">
        <v>15</v>
      </c>
    </row>
    <row r="97" spans="1:6" ht="24">
      <c r="A97" s="3303">
        <v>25</v>
      </c>
      <c r="B97" s="3709"/>
      <c r="C97" s="3284" t="s">
        <v>2931</v>
      </c>
      <c r="D97" s="3284" t="s">
        <v>2932</v>
      </c>
      <c r="E97" s="3309">
        <v>0.1</v>
      </c>
      <c r="F97" s="3303">
        <v>15</v>
      </c>
    </row>
    <row r="98" spans="1:6" ht="24">
      <c r="A98" s="3303">
        <v>26</v>
      </c>
      <c r="B98" s="3709"/>
      <c r="C98" s="3284" t="s">
        <v>2933</v>
      </c>
      <c r="D98" s="3284" t="s">
        <v>2934</v>
      </c>
      <c r="E98" s="3309">
        <v>0.1</v>
      </c>
      <c r="F98" s="3303">
        <v>15</v>
      </c>
    </row>
    <row r="99" spans="1:6" ht="24">
      <c r="A99" s="3303">
        <v>27</v>
      </c>
      <c r="B99" s="3709"/>
      <c r="C99" s="3284" t="s">
        <v>2935</v>
      </c>
      <c r="D99" s="3284" t="s">
        <v>2936</v>
      </c>
      <c r="E99" s="3309">
        <v>0.1</v>
      </c>
      <c r="F99" s="3303">
        <v>15</v>
      </c>
    </row>
    <row r="100" spans="1:6" ht="24">
      <c r="A100" s="3303">
        <v>28</v>
      </c>
      <c r="B100" s="3709"/>
      <c r="C100" s="3284" t="s">
        <v>2937</v>
      </c>
      <c r="D100" s="3284" t="s">
        <v>2938</v>
      </c>
      <c r="E100" s="3309">
        <v>0.1</v>
      </c>
      <c r="F100" s="3303">
        <v>15</v>
      </c>
    </row>
    <row r="101" spans="1:6" ht="24">
      <c r="A101" s="3303">
        <v>29</v>
      </c>
      <c r="B101" s="3709"/>
      <c r="C101" s="3284" t="s">
        <v>2939</v>
      </c>
      <c r="D101" s="3284" t="s">
        <v>2940</v>
      </c>
      <c r="E101" s="3309">
        <v>0.1</v>
      </c>
      <c r="F101" s="3303">
        <v>15</v>
      </c>
    </row>
    <row r="102" spans="1:6" ht="24">
      <c r="A102" s="3303">
        <v>30</v>
      </c>
      <c r="B102" s="3709"/>
      <c r="C102" s="3284" t="s">
        <v>2941</v>
      </c>
      <c r="D102" s="3284" t="s">
        <v>2942</v>
      </c>
      <c r="E102" s="3309">
        <v>0.1</v>
      </c>
      <c r="F102" s="3303">
        <v>15</v>
      </c>
    </row>
    <row r="103" spans="1:6" ht="24">
      <c r="A103" s="3303">
        <v>31</v>
      </c>
      <c r="B103" s="3709"/>
      <c r="C103" s="3284" t="s">
        <v>2943</v>
      </c>
      <c r="D103" s="3284" t="s">
        <v>2944</v>
      </c>
      <c r="E103" s="3309">
        <v>0.1</v>
      </c>
      <c r="F103" s="3303">
        <v>15</v>
      </c>
    </row>
    <row r="104" spans="1:6" ht="24">
      <c r="A104" s="3303">
        <v>32</v>
      </c>
      <c r="B104" s="3709"/>
      <c r="C104" s="3284" t="s">
        <v>2945</v>
      </c>
      <c r="D104" s="3284" t="s">
        <v>2946</v>
      </c>
      <c r="E104" s="3309">
        <v>0.1</v>
      </c>
      <c r="F104" s="3303">
        <v>15</v>
      </c>
    </row>
    <row r="105" spans="1:6" ht="24">
      <c r="A105" s="3303">
        <v>33</v>
      </c>
      <c r="B105" s="3709"/>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8" t="s">
        <v>2951</v>
      </c>
      <c r="C107" s="3303" t="s">
        <v>2952</v>
      </c>
      <c r="D107" s="3284" t="s">
        <v>2953</v>
      </c>
      <c r="E107" s="3309">
        <v>0.15</v>
      </c>
      <c r="F107" s="3303">
        <v>20</v>
      </c>
    </row>
    <row r="108" spans="1:6" ht="24">
      <c r="A108" s="3303">
        <v>36</v>
      </c>
      <c r="B108" s="3709"/>
      <c r="C108" s="3303" t="s">
        <v>2954</v>
      </c>
      <c r="D108" s="3284" t="s">
        <v>2955</v>
      </c>
      <c r="E108" s="3309">
        <v>0.15</v>
      </c>
      <c r="F108" s="3303">
        <v>20</v>
      </c>
    </row>
    <row r="109" spans="1:6" ht="24">
      <c r="A109" s="3303">
        <v>37</v>
      </c>
      <c r="B109" s="3709"/>
      <c r="C109" s="3303" t="s">
        <v>2956</v>
      </c>
      <c r="D109" s="3284" t="s">
        <v>2957</v>
      </c>
      <c r="E109" s="3309">
        <v>0.15</v>
      </c>
      <c r="F109" s="3303">
        <v>20</v>
      </c>
    </row>
    <row r="110" spans="1:6" ht="13.5">
      <c r="A110" s="3303">
        <v>38</v>
      </c>
      <c r="B110" s="3709"/>
      <c r="C110" s="3303" t="s">
        <v>2958</v>
      </c>
      <c r="D110" s="3284" t="s">
        <v>2959</v>
      </c>
      <c r="E110" s="3309">
        <v>0.1</v>
      </c>
      <c r="F110" s="3303">
        <v>15</v>
      </c>
    </row>
    <row r="111" spans="1:6" ht="24">
      <c r="A111" s="3303">
        <v>39</v>
      </c>
      <c r="B111" s="3709"/>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19" t="s">
        <v>2964</v>
      </c>
      <c r="C113" s="3303" t="s">
        <v>2965</v>
      </c>
      <c r="D113" s="3284" t="s">
        <v>2966</v>
      </c>
      <c r="E113" s="3309">
        <v>0.1</v>
      </c>
      <c r="F113" s="3303">
        <v>15</v>
      </c>
    </row>
    <row r="114" spans="1:6" ht="13.5">
      <c r="A114" s="3303">
        <v>42</v>
      </c>
      <c r="B114" s="3719"/>
      <c r="C114" s="3303" t="s">
        <v>2967</v>
      </c>
      <c r="D114" s="3284" t="s">
        <v>2968</v>
      </c>
      <c r="E114" s="3309">
        <v>0.1</v>
      </c>
      <c r="F114" s="3303">
        <v>15</v>
      </c>
    </row>
    <row r="115" spans="1:6" ht="24">
      <c r="A115" s="3303">
        <v>43</v>
      </c>
      <c r="B115" s="3719"/>
      <c r="C115" s="3303" t="s">
        <v>2969</v>
      </c>
      <c r="D115" s="3284" t="s">
        <v>2970</v>
      </c>
      <c r="E115" s="3309">
        <v>0.1</v>
      </c>
      <c r="F115" s="3303">
        <v>15</v>
      </c>
    </row>
    <row r="116" spans="1:6" ht="24">
      <c r="A116" s="3303">
        <v>44</v>
      </c>
      <c r="B116" s="3708"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8"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8"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19" t="s">
        <v>2986</v>
      </c>
      <c r="C122" s="3303" t="s">
        <v>2987</v>
      </c>
      <c r="D122" s="3284" t="s">
        <v>2988</v>
      </c>
      <c r="E122" s="3309">
        <v>0.1</v>
      </c>
      <c r="F122" s="3303">
        <v>15</v>
      </c>
    </row>
    <row r="123" spans="1:6" ht="24">
      <c r="A123" s="3303">
        <v>51</v>
      </c>
      <c r="B123" s="3719"/>
      <c r="C123" s="3303" t="s">
        <v>2989</v>
      </c>
      <c r="D123" s="3284" t="s">
        <v>2990</v>
      </c>
      <c r="E123" s="3309">
        <v>0.1</v>
      </c>
      <c r="F123" s="3303">
        <v>15</v>
      </c>
    </row>
    <row r="124" spans="1:6" ht="24">
      <c r="A124" s="3303">
        <v>52</v>
      </c>
      <c r="B124" s="3719" t="s">
        <v>2991</v>
      </c>
      <c r="C124" s="3303" t="s">
        <v>2992</v>
      </c>
      <c r="D124" s="3284" t="s">
        <v>2993</v>
      </c>
      <c r="E124" s="3309">
        <v>0.1</v>
      </c>
      <c r="F124" s="3303">
        <v>15</v>
      </c>
    </row>
    <row r="125" spans="1:6" ht="24">
      <c r="A125" s="3303">
        <v>53</v>
      </c>
      <c r="B125" s="371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9" t="s">
        <v>2999</v>
      </c>
      <c r="C127" s="3303" t="s">
        <v>3000</v>
      </c>
      <c r="D127" s="3284" t="s">
        <v>3001</v>
      </c>
      <c r="E127" s="3309">
        <v>0.1</v>
      </c>
      <c r="F127" s="3303">
        <v>15</v>
      </c>
    </row>
    <row r="128" spans="1:6" ht="13.5">
      <c r="A128" s="3303">
        <v>56</v>
      </c>
      <c r="B128" s="3719"/>
      <c r="C128" s="3303" t="s">
        <v>3002</v>
      </c>
      <c r="D128" s="3284" t="s">
        <v>3003</v>
      </c>
      <c r="E128" s="3309">
        <v>0.1</v>
      </c>
      <c r="F128" s="3303">
        <v>15</v>
      </c>
    </row>
    <row r="129" spans="1:6" ht="24">
      <c r="A129" s="3303">
        <v>57</v>
      </c>
      <c r="B129" s="3719"/>
      <c r="C129" s="3303" t="s">
        <v>3004</v>
      </c>
      <c r="D129" s="3284" t="s">
        <v>3005</v>
      </c>
      <c r="E129" s="3309">
        <v>0.1</v>
      </c>
      <c r="F129" s="3303">
        <v>15</v>
      </c>
    </row>
    <row r="130" spans="1:6" ht="24">
      <c r="A130" s="3303">
        <v>58</v>
      </c>
      <c r="B130" s="3719" t="s">
        <v>3006</v>
      </c>
      <c r="C130" s="3303" t="s">
        <v>3007</v>
      </c>
      <c r="D130" s="3284" t="s">
        <v>3008</v>
      </c>
      <c r="E130" s="3309">
        <v>0.1</v>
      </c>
      <c r="F130" s="3303">
        <v>15</v>
      </c>
    </row>
    <row r="131" spans="1:6" ht="24">
      <c r="A131" s="3303">
        <v>59</v>
      </c>
      <c r="B131" s="3719"/>
      <c r="C131" s="3303" t="s">
        <v>3009</v>
      </c>
      <c r="D131" s="3284" t="s">
        <v>3010</v>
      </c>
      <c r="E131" s="3309">
        <v>0.1</v>
      </c>
      <c r="F131" s="3303">
        <v>15</v>
      </c>
    </row>
    <row r="132" spans="1:6" ht="24">
      <c r="A132" s="3303">
        <v>60</v>
      </c>
      <c r="B132" s="3708"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9" t="s">
        <v>3019</v>
      </c>
      <c r="C135" s="3303" t="s">
        <v>3020</v>
      </c>
      <c r="D135" s="3284" t="s">
        <v>3021</v>
      </c>
      <c r="E135" s="3309">
        <v>0.1</v>
      </c>
      <c r="F135" s="3303">
        <v>15</v>
      </c>
    </row>
    <row r="136" spans="1:6" ht="13.5">
      <c r="A136" s="3303">
        <v>64</v>
      </c>
      <c r="B136" s="371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44855</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232.31</v>
      </c>
      <c r="D6" s="3346"/>
      <c r="E6" s="1287"/>
    </row>
    <row r="7" spans="1:5" ht="14.25">
      <c r="A7" s="1287"/>
      <c r="B7" s="3340" t="s">
        <v>594</v>
      </c>
      <c r="C7" s="1293" t="str">
        <f>IF('数据-取费表'!B3="万元","总价（万元）","总价（元）")</f>
        <v>总价（万元）</v>
      </c>
      <c r="D7" s="1294">
        <f>IF('数据-取费表'!E3="否",结果表!I102,'结果表 (1修多)'!I104)</f>
        <v>0</v>
      </c>
      <c r="E7" s="1287"/>
    </row>
    <row r="8" spans="1:5" ht="14.25">
      <c r="A8" s="1287"/>
      <c r="B8" s="3340"/>
      <c r="C8" s="1295" t="s">
        <v>924</v>
      </c>
      <c r="D8" s="1296" t="str">
        <f>IF('数据-取费表'!B3="万元",NUMBERSTRING(INT(D7*10000),2)&amp;"元整",NUMBERSTRING(INT(D7),2)&amp;"元整")</f>
        <v>零元整</v>
      </c>
      <c r="E8" s="1287"/>
    </row>
    <row r="9" spans="1:5" ht="14.25">
      <c r="A9" s="1287"/>
      <c r="B9" s="3340"/>
      <c r="C9" s="1297" t="s">
        <v>1020</v>
      </c>
      <c r="D9" s="1294" t="e">
        <f>IF('数据-取费表'!E3="否",结果表!I103,'结果表 (1修多)'!I105)</f>
        <v>#DIV/0!</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IF('数据-取费表'!E3="否",结果表!I110,'结果表 (1修多)'!I112)</f>
        <v>0</v>
      </c>
      <c r="E15" s="1287"/>
    </row>
    <row r="16" spans="1:5" ht="14.25">
      <c r="A16" s="1287"/>
      <c r="B16" s="3347"/>
      <c r="C16" s="1295" t="s">
        <v>924</v>
      </c>
      <c r="D16" s="1294" t="str">
        <f>IF('数据-取费表'!B3="万元",NUMBERSTRING(INT(D15*10000),2)&amp;"元整",NUMBERSTRING(INT(D15),2)&amp;"元整")</f>
        <v>零元整</v>
      </c>
      <c r="E16" s="1287"/>
    </row>
    <row r="17" spans="1:5" ht="14.25">
      <c r="A17" s="1287"/>
      <c r="B17" s="3347"/>
      <c r="C17" s="1297" t="s">
        <v>1020</v>
      </c>
      <c r="D17" s="1294" t="e">
        <f>IF('数据-取费表'!E3="否",结果表!I111,'结果表 (1修多)'!I113)</f>
        <v>#DIV/0!</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IF('数据-取费表'!E3="否",结果表!I102,'结果表 (1修多)'!I104)</f>
        <v>0</v>
      </c>
      <c r="E28" s="1287"/>
    </row>
    <row r="29" spans="1:5" ht="14.25">
      <c r="A29" s="1287"/>
      <c r="B29" s="3326"/>
      <c r="C29" s="1306" t="s">
        <v>924</v>
      </c>
      <c r="D29" s="1307" t="str">
        <f>IF('数据-取费表'!B3="万元",NUMBERSTRING(INT(D28*10000),2)&amp;"元整",NUMBERSTRING(INT(D28),2)&amp;"元整")</f>
        <v>零元整</v>
      </c>
      <c r="E29" s="1287"/>
    </row>
    <row r="30" spans="1:5" ht="14.25">
      <c r="A30" s="1287"/>
      <c r="B30" s="3327"/>
      <c r="C30" s="1297" t="s">
        <v>927</v>
      </c>
      <c r="D30" s="1308" t="e">
        <f>IF('数据-取费表'!E3="否",结果表!I103,'结果表 (1修多)'!I105)</f>
        <v>#DIV/0!</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IF('数据-取费表'!E3="否",结果表!I110,'结果表 (1修多)'!I112)</f>
        <v>0</v>
      </c>
      <c r="E36" s="1287"/>
    </row>
    <row r="37" spans="1:5" ht="14.25">
      <c r="A37" s="1287"/>
      <c r="B37" s="3328"/>
      <c r="C37" s="1306" t="s">
        <v>924</v>
      </c>
      <c r="D37" s="1311" t="str">
        <f>IF('数据-取费表'!B3="万元",NUMBERSTRING(INT(D36*10000),2)&amp;"元整",NUMBERSTRING(INT(D36),2)&amp;"元整")</f>
        <v>零元整</v>
      </c>
      <c r="E37" s="1287"/>
    </row>
    <row r="38" spans="1:5" ht="14.25">
      <c r="A38" s="1287"/>
      <c r="B38" s="3328"/>
      <c r="C38" s="1297" t="s">
        <v>928</v>
      </c>
      <c r="D38" s="1308" t="e">
        <f>IF('数据-取费表'!E3="否",结果表!D113,'结果表 (1修多)'!D117)</f>
        <v>#DIV/0!</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232.31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48" t="s">
        <v>1030</v>
      </c>
      <c r="B5" s="3348"/>
      <c r="C5" s="3348"/>
      <c r="D5" s="3349" t="str">
        <f>IF('数据-取费表'!E3="否",结果表!D122,'结果表 (1修多)'!D126)</f>
        <v>零元整</v>
      </c>
      <c r="E5" s="3349"/>
      <c r="F5" s="3349" t="str">
        <f>IF('数据-取费表'!E3="否",结果表!F122,'结果表 (1修多)'!F126)</f>
        <v>零元整</v>
      </c>
      <c r="G5" s="3349"/>
      <c r="H5" s="3349" t="str">
        <f>IF('数据-取费表'!E3="否",结果表!H122,'结果表 (1修多)'!H126)</f>
        <v>零元整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IF('数据-取费表'!E3="否",结果表!D125,'结果表 (1修多)'!D129)</f>
        <v>0</v>
      </c>
      <c r="E8" s="3350"/>
      <c r="F8" s="3350"/>
      <c r="G8" s="3350"/>
      <c r="H8" s="3350"/>
      <c r="I8" s="3350"/>
    </row>
    <row r="9" spans="1:9" ht="15">
      <c r="A9" s="3348" t="s">
        <v>1030</v>
      </c>
      <c r="B9" s="3348"/>
      <c r="C9" s="3348"/>
      <c r="D9" s="3349" t="e">
        <f>IF('数据-取费表'!E3="否",结果表!D126,'结果表 (1修多)'!D130)</f>
        <v>#DIV/0!</v>
      </c>
      <c r="E9" s="3349"/>
      <c r="F9" s="3349"/>
      <c r="G9" s="3349"/>
      <c r="H9" s="3349"/>
      <c r="I9" s="3349"/>
    </row>
    <row r="10" spans="1:9" ht="15.75">
      <c r="A10" s="3350" t="str">
        <f>IF('数据-取费表'!E3="否",结果表!A127,'结果表 (1修多)'!A131)</f>
        <v/>
      </c>
      <c r="B10" s="3350"/>
      <c r="C10" s="3350"/>
      <c r="D10" s="3350" t="e">
        <f>IF('数据-取费表'!E3="否",结果表!D127,'结果表 (1修多)'!D130)</f>
        <v>#DIV/0!</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1" t="str">
        <f>IF(项目基本情况!D4="抵押","4.本次评估估价师所知悉的法定优先受偿款情况说明如下：","——")</f>
        <v>4.本次评估估价师所知悉的法定优先受偿款情况说明如下：</v>
      </c>
      <c r="B15" s="3362"/>
      <c r="C15" s="3362"/>
      <c r="D15" s="3362"/>
    </row>
    <row r="16" spans="1:4" ht="75" customHeight="1">
      <c r="A16" s="336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3" t="s">
        <v>1045</v>
      </c>
      <c r="B17" s="3363"/>
      <c r="C17" s="3363"/>
      <c r="D17" s="3363"/>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本次估价的“房地产价值”是指在正常市场情况下，在价值时点2022年10月21日，估价对象规划用途为，假定未设立法定优先受偿款下的房地产市场价值。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2022-10-21T03:22:01Z</dcterms:modified>
</cp:coreProperties>
</file>