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北京市延庆区康庄镇康西路北侧工交\"/>
    </mc:Choice>
  </mc:AlternateContent>
  <xr:revisionPtr revIDLastSave="0" documentId="13_ncr:1_{1668E038-8FBF-4B6B-9D87-5FAC57C85CC0}"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租金"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G84" i="43"/>
  <c r="G85" i="43"/>
  <c r="G86" i="43"/>
  <c r="G87" i="43"/>
  <c r="G88" i="43"/>
  <c r="G89" i="43"/>
  <c r="G90" i="43"/>
  <c r="G83" i="43"/>
  <c r="D33" i="43"/>
  <c r="Y6" i="1"/>
  <c r="V21" i="1"/>
  <c r="V20" i="1"/>
  <c r="V19" i="1"/>
  <c r="R21" i="1" l="1"/>
  <c r="R20" i="1"/>
  <c r="R19" i="1"/>
  <c r="Q20" i="1"/>
  <c r="Q19" i="1"/>
  <c r="F19" i="6"/>
  <c r="C19" i="6"/>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T34" i="79"/>
  <c r="W34" i="79" s="1"/>
  <c r="U40" i="79"/>
  <c r="AD41" i="79"/>
  <c r="U44" i="79"/>
  <c r="AD45" i="79"/>
  <c r="AA28" i="79"/>
  <c r="AD28" i="79" s="1"/>
  <c r="S42"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5" i="40"/>
  <c r="U29" i="39"/>
  <c r="W29" i="39"/>
  <c r="W18" i="36"/>
  <c r="U21" i="37"/>
  <c r="AA21" i="33"/>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U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H39" i="33"/>
  <c r="AB39" i="33"/>
  <c r="F26" i="33"/>
  <c r="AA26" i="33"/>
  <c r="U35" i="33"/>
  <c r="W33" i="33"/>
  <c r="W39" i="33"/>
  <c r="H39" i="37"/>
  <c r="AB39" i="37" s="1"/>
  <c r="S27" i="35"/>
  <c r="F11" i="40"/>
  <c r="AA11" i="40"/>
  <c r="H11" i="40"/>
  <c r="AB11" i="40"/>
  <c r="W8" i="40"/>
  <c r="U9" i="40"/>
  <c r="S34" i="40"/>
  <c r="U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AB30" i="21" s="1"/>
  <c r="F30" i="21"/>
  <c r="S30" i="21" s="1"/>
  <c r="J30" i="21"/>
  <c r="AC30" i="21"/>
  <c r="J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J14" i="40"/>
  <c r="W14" i="40" s="1"/>
  <c r="F14" i="40"/>
  <c r="AA14" i="40"/>
  <c r="J14" i="37"/>
  <c r="J27" i="37"/>
  <c r="AC27" i="37" s="1"/>
  <c r="U46" i="33"/>
  <c r="J36" i="37"/>
  <c r="AC36" i="37"/>
  <c r="J10" i="36"/>
  <c r="AC10" i="36" s="1"/>
  <c r="AB26" i="33"/>
  <c r="AA14" i="37"/>
  <c r="S11" i="36"/>
  <c r="AA14" i="34"/>
  <c r="S45" i="33"/>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c r="BA532" i="3"/>
  <c r="BA530" i="3"/>
  <c r="AZ530" i="3" s="1"/>
  <c r="BA528" i="3"/>
  <c r="BA526" i="3"/>
  <c r="AZ526" i="3" s="1"/>
  <c r="BA524" i="3"/>
  <c r="BA522" i="3"/>
  <c r="BA520" i="3"/>
  <c r="BA518" i="3"/>
  <c r="AZ518" i="3" s="1"/>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BQ567" i="3"/>
  <c r="BL567" i="3"/>
  <c r="BQ565" i="3"/>
  <c r="BL565" i="3" s="1"/>
  <c r="BQ563" i="3"/>
  <c r="BL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L549" i="3" s="1"/>
  <c r="AZ549" i="3" s="1"/>
  <c r="BQ547" i="3"/>
  <c r="BL547" i="3" s="1"/>
  <c r="BQ545" i="3"/>
  <c r="BL545" i="3" s="1"/>
  <c r="BQ543" i="3"/>
  <c r="BL543" i="3" s="1"/>
  <c r="AZ543" i="3" s="1"/>
  <c r="BQ541" i="3"/>
  <c r="BL541" i="3"/>
  <c r="AZ541" i="3" s="1"/>
  <c r="BQ539" i="3"/>
  <c r="BL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E125" i="33"/>
  <c r="F125" i="33" s="1"/>
  <c r="G125" i="33" s="1"/>
  <c r="H43" i="33"/>
  <c r="H17" i="37"/>
  <c r="U17" i="37" s="1"/>
  <c r="AB27" i="37"/>
  <c r="U32" i="33"/>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494" i="3"/>
  <c r="AZ514" i="3"/>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AZ175" i="3" s="1"/>
  <c r="BL176" i="3"/>
  <c r="AZ176" i="3" s="1"/>
  <c r="G177" i="3"/>
  <c r="BA179" i="3"/>
  <c r="BL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AZ16"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C12" i="39"/>
  <c r="W12" i="39"/>
  <c r="AC39" i="40"/>
  <c r="W39" i="40"/>
  <c r="AZ433" i="3"/>
  <c r="W12" i="33"/>
  <c r="AC12" i="33"/>
  <c r="AA32" i="36"/>
  <c r="S32" i="36"/>
  <c r="AZ437" i="3"/>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AA32" i="39" s="1"/>
  <c r="F106" i="39"/>
  <c r="G106" i="39" s="1"/>
  <c r="H106" i="39" s="1"/>
  <c r="I106" i="39" s="1"/>
  <c r="J106" i="39" s="1"/>
  <c r="K106" i="39" s="1"/>
  <c r="L106" i="39" s="1"/>
  <c r="M106" i="39" s="1"/>
  <c r="U25" i="39"/>
  <c r="AB27" i="39"/>
  <c r="J21" i="39"/>
  <c r="W21" i="39" s="1"/>
  <c r="F21" i="39"/>
  <c r="G94" i="39"/>
  <c r="H21" i="39"/>
  <c r="U21" i="39" s="1"/>
  <c r="W19" i="39"/>
  <c r="U19" i="39"/>
  <c r="S17" i="39"/>
  <c r="S15" i="39"/>
  <c r="S9" i="39"/>
  <c r="U14" i="39"/>
  <c r="AC13" i="39"/>
  <c r="U12" i="39"/>
  <c r="S23" i="36"/>
  <c r="U13" i="36"/>
  <c r="U26" i="36"/>
  <c r="AA26" i="36"/>
  <c r="AA34" i="36"/>
  <c r="AC26" i="36"/>
  <c r="AA22" i="36"/>
  <c r="W14" i="36"/>
  <c r="AB14" i="36"/>
  <c r="U22" i="36"/>
  <c r="S16" i="36"/>
  <c r="AA25" i="36"/>
  <c r="S24" i="36"/>
  <c r="U24"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c r="F23" i="21"/>
  <c r="S23" i="21" s="1"/>
  <c r="E85" i="21"/>
  <c r="AA14" i="21"/>
  <c r="D120" i="9"/>
  <c r="C18" i="9"/>
  <c r="D18" i="9" s="1"/>
  <c r="F34" i="67"/>
  <c r="F62" i="67" s="1"/>
  <c r="M20" i="67"/>
  <c r="F34" i="15"/>
  <c r="F62" i="15" s="1"/>
  <c r="BA13" i="3"/>
  <c r="BL17" i="3"/>
  <c r="AZ17" i="3"/>
  <c r="BL13" i="3"/>
  <c r="J56" i="9"/>
  <c r="J57" i="9" s="1"/>
  <c r="J59" i="9" s="1"/>
  <c r="J61" i="9" s="1"/>
  <c r="A24" i="51"/>
  <c r="B18" i="72" s="1"/>
  <c r="U29" i="34"/>
  <c r="E5" i="6"/>
  <c r="E32" i="6"/>
  <c r="E19" i="69"/>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AC32" i="39" s="1"/>
  <c r="H32" i="39"/>
  <c r="AB32" i="39" s="1"/>
  <c r="S32" i="39"/>
  <c r="AB21" i="39"/>
  <c r="AA21" i="39"/>
  <c r="S21" i="39"/>
  <c r="AC17" i="37"/>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W32"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A23" i="21"/>
  <c r="J23" i="21"/>
  <c r="F85" i="21"/>
  <c r="G85" i="21" s="1"/>
  <c r="H23" i="21"/>
  <c r="U23" i="21" s="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7" i="73"/>
  <c r="E2" i="68"/>
  <c r="L47" i="15"/>
  <c r="E7" i="76"/>
  <c r="F40" i="15"/>
  <c r="M23" i="15"/>
  <c r="B13" i="76"/>
  <c r="M6" i="15"/>
  <c r="B8" i="76"/>
  <c r="E10" i="76"/>
  <c r="F5" i="73"/>
  <c r="F4" i="73"/>
  <c r="F6" i="15"/>
  <c r="F3" i="73"/>
  <c r="E11" i="76"/>
  <c r="E13" i="76"/>
  <c r="B7" i="76"/>
  <c r="M8" i="15"/>
  <c r="M26" i="15"/>
  <c r="E9" i="76"/>
  <c r="D6" i="73"/>
  <c r="M9" i="15"/>
  <c r="F7" i="15"/>
  <c r="E12" i="76"/>
  <c r="B12" i="76"/>
  <c r="E2" i="69"/>
  <c r="B10" i="76"/>
  <c r="M28" i="15"/>
  <c r="F20" i="31"/>
  <c r="F6" i="73"/>
  <c r="F36" i="15"/>
  <c r="AO13" i="1"/>
  <c r="F38" i="15"/>
  <c r="E8" i="76"/>
  <c r="F9" i="15"/>
  <c r="F42" i="15"/>
  <c r="M29" i="15"/>
  <c r="B9" i="76"/>
  <c r="F13" i="15"/>
  <c r="C40" i="11" l="1"/>
  <c r="E19" i="11"/>
  <c r="K1" i="12"/>
  <c r="G1" i="67"/>
  <c r="G1" i="68"/>
  <c r="K6" i="1"/>
  <c r="AP6" i="1" s="1"/>
  <c r="G13" i="3"/>
  <c r="B62" i="43"/>
  <c r="B51" i="43"/>
  <c r="W15" i="21"/>
  <c r="AC15" i="21"/>
  <c r="AA37" i="21"/>
  <c r="S37" i="21"/>
  <c r="S17" i="33"/>
  <c r="AA17" i="33"/>
  <c r="U27" i="33"/>
  <c r="AB19" i="33"/>
  <c r="AB36" i="33"/>
  <c r="AB15" i="21"/>
  <c r="S23" i="37"/>
  <c r="AA23" i="37"/>
  <c r="AA12" i="39"/>
  <c r="AZ370" i="3"/>
  <c r="AC25" i="21"/>
  <c r="W25" i="21"/>
  <c r="S39" i="40"/>
  <c r="AA39" i="40"/>
  <c r="AC27" i="40"/>
  <c r="W27" i="40"/>
  <c r="AB32" i="37"/>
  <c r="U32" i="37"/>
  <c r="W32" i="39"/>
  <c r="D121" i="9"/>
  <c r="D7" i="52" s="1"/>
  <c r="D6" i="52"/>
  <c r="S11" i="39"/>
  <c r="AA11" i="39"/>
  <c r="AB41" i="39"/>
  <c r="U41" i="39"/>
  <c r="AA15" i="37"/>
  <c r="S15" i="37"/>
  <c r="W12" i="37"/>
  <c r="AC12" i="37"/>
  <c r="U35" i="34"/>
  <c r="AB35" i="34"/>
  <c r="AA14" i="36"/>
  <c r="S14" i="36"/>
  <c r="AZ513" i="3"/>
  <c r="AZ575" i="3"/>
  <c r="AZ564" i="3"/>
  <c r="AZ580" i="3"/>
  <c r="AZ539" i="3"/>
  <c r="AZ532" i="3"/>
  <c r="AZ566" i="3"/>
  <c r="AZ574" i="3"/>
  <c r="AZ582" i="3"/>
  <c r="AA14" i="33"/>
  <c r="AB14" i="40"/>
  <c r="AC47" i="34"/>
  <c r="W47" i="34"/>
  <c r="AZ391" i="3"/>
  <c r="AZ155" i="3"/>
  <c r="AA25" i="33"/>
  <c r="AZ313" i="3"/>
  <c r="AZ179" i="3"/>
  <c r="AZ394" i="3"/>
  <c r="AZ364" i="3"/>
  <c r="AZ329" i="3"/>
  <c r="AZ140" i="3"/>
  <c r="S36" i="33"/>
  <c r="S17" i="37"/>
  <c r="S43" i="34"/>
  <c r="AZ14" i="3"/>
  <c r="AZ345" i="3"/>
  <c r="AZ334" i="3"/>
  <c r="AZ372" i="3"/>
  <c r="AZ347" i="3"/>
  <c r="AZ337" i="3"/>
  <c r="AZ187" i="3"/>
  <c r="AZ378" i="3"/>
  <c r="AZ529" i="3"/>
  <c r="AZ537" i="3"/>
  <c r="AZ565" i="3"/>
  <c r="AZ528" i="3"/>
  <c r="W31" i="34"/>
  <c r="AA44" i="33"/>
  <c r="W11" i="35"/>
  <c r="AC11" i="35"/>
  <c r="U46" i="34"/>
  <c r="AC44" i="21"/>
  <c r="W44" i="21"/>
  <c r="U30" i="21"/>
  <c r="F9" i="33"/>
  <c r="AA9" i="33" s="1"/>
  <c r="J9" i="33"/>
  <c r="AC9" i="34"/>
  <c r="W9" i="34"/>
  <c r="S9" i="40"/>
  <c r="AA9" i="40"/>
  <c r="BL585" i="3"/>
  <c r="AZ585" i="3" s="1"/>
  <c r="B72" i="43"/>
  <c r="C15" i="39"/>
  <c r="AA35" i="34"/>
  <c r="S35" i="34"/>
  <c r="AC40" i="39"/>
  <c r="W40" i="39"/>
  <c r="J37" i="39"/>
  <c r="F37" i="39"/>
  <c r="J36" i="39"/>
  <c r="AC36" i="39" s="1"/>
  <c r="F36" i="39"/>
  <c r="S38" i="39"/>
  <c r="U34" i="34"/>
  <c r="B101" i="43"/>
  <c r="B79" i="43"/>
  <c r="H9" i="33"/>
  <c r="H33" i="36"/>
  <c r="F33" i="36"/>
  <c r="AB31" i="36"/>
  <c r="U31" i="36"/>
  <c r="H25" i="37"/>
  <c r="F25" i="37"/>
  <c r="U8" i="39"/>
  <c r="AB8" i="39"/>
  <c r="H31" i="39"/>
  <c r="J31" i="39"/>
  <c r="AZ419" i="3"/>
  <c r="AZ458" i="3"/>
  <c r="AZ192" i="3"/>
  <c r="AZ376" i="3"/>
  <c r="AZ324" i="3"/>
  <c r="AZ309" i="3"/>
  <c r="AZ515" i="3"/>
  <c r="AZ523" i="3"/>
  <c r="AZ547" i="3"/>
  <c r="AZ569" i="3"/>
  <c r="AZ571" i="3"/>
  <c r="AZ579" i="3"/>
  <c r="AZ516" i="3"/>
  <c r="AZ524" i="3"/>
  <c r="AC28" i="21"/>
  <c r="S41" i="33"/>
  <c r="AB23" i="34"/>
  <c r="S40" i="21"/>
  <c r="U34" i="40"/>
  <c r="G585" i="3"/>
  <c r="BL587" i="3"/>
  <c r="AZ587" i="3" s="1"/>
  <c r="BL586" i="3"/>
  <c r="AZ586" i="3" s="1"/>
  <c r="AB33" i="33"/>
  <c r="U33" i="33"/>
  <c r="AC8" i="34"/>
  <c r="W8" i="34"/>
  <c r="F9" i="34"/>
  <c r="AA9" i="34" s="1"/>
  <c r="H9" i="34"/>
  <c r="U12" i="35"/>
  <c r="AB12" i="35"/>
  <c r="J12" i="34"/>
  <c r="F12" i="34"/>
  <c r="S12" i="34" s="1"/>
  <c r="AC31" i="40"/>
  <c r="W31" i="40"/>
  <c r="AA38" i="40"/>
  <c r="AZ443" i="3"/>
  <c r="H23" i="35"/>
  <c r="W27"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AZ451" i="3"/>
  <c r="AZ461" i="3"/>
  <c r="AZ469" i="3"/>
  <c r="BA401" i="3"/>
  <c r="AZ401" i="3" s="1"/>
  <c r="BA403" i="3"/>
  <c r="AZ403" i="3" s="1"/>
  <c r="BA404" i="3"/>
  <c r="AZ404" i="3" s="1"/>
  <c r="BA405" i="3"/>
  <c r="BL410" i="3"/>
  <c r="G419" i="3"/>
  <c r="BA422" i="3"/>
  <c r="AZ422" i="3" s="1"/>
  <c r="G430" i="3"/>
  <c r="BL431" i="3"/>
  <c r="BL434" i="3"/>
  <c r="G437" i="3"/>
  <c r="BL438" i="3"/>
  <c r="BL439" i="3"/>
  <c r="BA441" i="3"/>
  <c r="AZ441" i="3" s="1"/>
  <c r="BL445" i="3"/>
  <c r="BL446" i="3"/>
  <c r="BL449" i="3"/>
  <c r="BL450" i="3"/>
  <c r="BL452" i="3"/>
  <c r="AZ452" i="3" s="1"/>
  <c r="G455" i="3"/>
  <c r="BL456" i="3"/>
  <c r="BA464" i="3"/>
  <c r="AZ464" i="3" s="1"/>
  <c r="BL467" i="3"/>
  <c r="BL476" i="3"/>
  <c r="BL477" i="3"/>
  <c r="BL478" i="3"/>
  <c r="BL484" i="3"/>
  <c r="U30" i="37"/>
  <c r="G587" i="3"/>
  <c r="J12" i="35"/>
  <c r="BA551" i="3"/>
  <c r="AZ551" i="3" s="1"/>
  <c r="BA550" i="3"/>
  <c r="AZ550" i="3" s="1"/>
  <c r="BL548" i="3"/>
  <c r="AZ548" i="3" s="1"/>
  <c r="G398" i="3"/>
  <c r="G399" i="3"/>
  <c r="BL400" i="3"/>
  <c r="BL408" i="3"/>
  <c r="AZ408" i="3" s="1"/>
  <c r="BL411" i="3"/>
  <c r="AZ411" i="3" s="1"/>
  <c r="BL413" i="3"/>
  <c r="G415" i="3"/>
  <c r="G416" i="3"/>
  <c r="BL417" i="3"/>
  <c r="AZ417" i="3" s="1"/>
  <c r="BL418" i="3"/>
  <c r="BL420" i="3"/>
  <c r="G422" i="3"/>
  <c r="G423" i="3"/>
  <c r="BL424" i="3"/>
  <c r="G426" i="3"/>
  <c r="G427" i="3"/>
  <c r="BL428" i="3"/>
  <c r="BL429" i="3"/>
  <c r="BL432" i="3"/>
  <c r="BL435" i="3"/>
  <c r="AZ435" i="3" s="1"/>
  <c r="BL436" i="3"/>
  <c r="AZ436" i="3" s="1"/>
  <c r="BA439" i="3"/>
  <c r="BA440" i="3"/>
  <c r="AZ440" i="3" s="1"/>
  <c r="BA442" i="3"/>
  <c r="BA445" i="3"/>
  <c r="BA447" i="3"/>
  <c r="AZ447" i="3" s="1"/>
  <c r="BA449" i="3"/>
  <c r="BL453" i="3"/>
  <c r="BL454" i="3"/>
  <c r="AZ454" i="3" s="1"/>
  <c r="G458" i="3"/>
  <c r="BL459" i="3"/>
  <c r="AZ459" i="3" s="1"/>
  <c r="G461" i="3"/>
  <c r="G462" i="3"/>
  <c r="BA465" i="3"/>
  <c r="AZ465" i="3" s="1"/>
  <c r="BA467" i="3"/>
  <c r="BA468" i="3"/>
  <c r="BA471" i="3"/>
  <c r="AZ471" i="3" s="1"/>
  <c r="BA480" i="3"/>
  <c r="AZ480" i="3" s="1"/>
  <c r="AZ400" i="3"/>
  <c r="AZ402" i="3"/>
  <c r="AZ406" i="3"/>
  <c r="AZ413"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BL463" i="3"/>
  <c r="G465" i="3"/>
  <c r="BA476" i="3"/>
  <c r="AZ476" i="3" s="1"/>
  <c r="BA477" i="3"/>
  <c r="BA478" i="3"/>
  <c r="AZ217" i="3"/>
  <c r="BA483" i="3"/>
  <c r="BL483" i="3"/>
  <c r="AZ483" i="3" s="1"/>
  <c r="BA486" i="3"/>
  <c r="BL489" i="3"/>
  <c r="AZ489" i="3" s="1"/>
  <c r="BL491" i="3"/>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50"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G134" i="3"/>
  <c r="BL134" i="3"/>
  <c r="BA144" i="3"/>
  <c r="AZ144" i="3" s="1"/>
  <c r="BA153" i="3"/>
  <c r="AZ153" i="3" s="1"/>
  <c r="BA481" i="3"/>
  <c r="G484" i="3"/>
  <c r="BA488" i="3"/>
  <c r="AZ488" i="3" s="1"/>
  <c r="BA491" i="3"/>
  <c r="AZ491" i="3" s="1"/>
  <c r="BL324" i="3"/>
  <c r="BA246" i="3"/>
  <c r="AZ270" i="3"/>
  <c r="G488"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5" i="3"/>
  <c r="AZ125" i="3" s="1"/>
  <c r="BL146" i="3"/>
  <c r="AZ146" i="3" s="1"/>
  <c r="AZ177" i="3"/>
  <c r="BL155" i="3"/>
  <c r="BA184" i="3"/>
  <c r="AZ184" i="3" s="1"/>
  <c r="BL187" i="3"/>
  <c r="BL189" i="3"/>
  <c r="AZ189" i="3" s="1"/>
  <c r="BL190" i="3"/>
  <c r="BA192" i="3"/>
  <c r="BL197" i="3"/>
  <c r="BL199" i="3"/>
  <c r="AZ199" i="3" s="1"/>
  <c r="BA200" i="3"/>
  <c r="AZ200" i="3" s="1"/>
  <c r="BA202" i="3"/>
  <c r="BL207" i="3"/>
  <c r="BL18" i="3"/>
  <c r="AZ18" i="3" s="1"/>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BA68" i="3"/>
  <c r="AZ103" i="3"/>
  <c r="B13" i="1"/>
  <c r="E13" i="1" s="1"/>
  <c r="K13" i="1"/>
  <c r="M13" i="1" s="1"/>
  <c r="O13" i="1" s="1"/>
  <c r="P13" i="1" s="1"/>
  <c r="T40" i="71"/>
  <c r="D40" i="71"/>
  <c r="V24" i="71"/>
  <c r="E23" i="71"/>
  <c r="E22" i="71" s="1"/>
  <c r="E21" i="71" s="1"/>
  <c r="E20" i="71" s="1"/>
  <c r="BA130" i="3"/>
  <c r="BL130" i="3"/>
  <c r="BA137" i="3"/>
  <c r="AZ137" i="3" s="1"/>
  <c r="BL138" i="3"/>
  <c r="BA140" i="3"/>
  <c r="BA142" i="3"/>
  <c r="BL149" i="3"/>
  <c r="AZ149" i="3" s="1"/>
  <c r="BL150" i="3"/>
  <c r="BA152" i="3"/>
  <c r="AZ152" i="3" s="1"/>
  <c r="BA154" i="3"/>
  <c r="AZ154" i="3" s="1"/>
  <c r="BA160" i="3"/>
  <c r="AZ160" i="3" s="1"/>
  <c r="BL162" i="3"/>
  <c r="AZ162" i="3" s="1"/>
  <c r="BL165" i="3"/>
  <c r="BL170" i="3"/>
  <c r="BA173" i="3"/>
  <c r="AZ173" i="3" s="1"/>
  <c r="BA174" i="3"/>
  <c r="BL179" i="3"/>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BL60" i="3"/>
  <c r="AZ60" i="3" s="1"/>
  <c r="BA61" i="3"/>
  <c r="AZ61" i="3" s="1"/>
  <c r="BL69" i="3"/>
  <c r="AZ69" i="3" s="1"/>
  <c r="BL70" i="3"/>
  <c r="AZ70" i="3" s="1"/>
  <c r="BL71" i="3"/>
  <c r="BL72" i="3"/>
  <c r="AZ72" i="3" s="1"/>
  <c r="BL79" i="3"/>
  <c r="BL81" i="3"/>
  <c r="BA82" i="3"/>
  <c r="AZ82" i="3" s="1"/>
  <c r="BL83" i="3"/>
  <c r="BA89" i="3"/>
  <c r="BA94" i="3"/>
  <c r="AZ94" i="3" s="1"/>
  <c r="BA98" i="3"/>
  <c r="BL100" i="3"/>
  <c r="AZ100" i="3" s="1"/>
  <c r="BL105" i="3"/>
  <c r="AZ105" i="3" s="1"/>
  <c r="BL107" i="3"/>
  <c r="D31" i="71"/>
  <c r="C32" i="71"/>
  <c r="C47" i="71"/>
  <c r="D47" i="71" s="1"/>
  <c r="D46" i="71"/>
  <c r="C52" i="71"/>
  <c r="D51" i="7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L64" i="3"/>
  <c r="G65" i="3"/>
  <c r="BL65" i="3"/>
  <c r="BL66" i="3"/>
  <c r="BL67" i="3"/>
  <c r="AZ67" i="3" s="1"/>
  <c r="G69" i="3"/>
  <c r="G72" i="3"/>
  <c r="BL99" i="3"/>
  <c r="BA102" i="3"/>
  <c r="AZ102" i="3" s="1"/>
  <c r="C55" i="71"/>
  <c r="D54" i="71"/>
  <c r="C64" i="71"/>
  <c r="D63" i="71"/>
  <c r="G159" i="3"/>
  <c r="BL167" i="3"/>
  <c r="AZ167" i="3" s="1"/>
  <c r="G175" i="3"/>
  <c r="G176" i="3"/>
  <c r="BL178" i="3"/>
  <c r="AZ178" i="3" s="1"/>
  <c r="BA180" i="3"/>
  <c r="AZ180" i="3" s="1"/>
  <c r="BL182" i="3"/>
  <c r="G183" i="3"/>
  <c r="AZ38" i="3"/>
  <c r="AZ52" i="3"/>
  <c r="AZ65" i="3"/>
  <c r="P65" i="71"/>
  <c r="P66" i="71"/>
  <c r="B27" i="71"/>
  <c r="B26" i="71" s="1"/>
  <c r="S28"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AA28" i="71"/>
  <c r="AB27" i="71"/>
  <c r="C87" i="71"/>
  <c r="AB25" i="71"/>
  <c r="C43" i="71"/>
  <c r="X26" i="71"/>
  <c r="Y25" i="71"/>
  <c r="Z25" i="71" s="1"/>
  <c r="C35" i="71"/>
  <c r="Y29" i="71"/>
  <c r="Z29" i="71" s="1"/>
  <c r="AB32" i="71"/>
  <c r="X33" i="71"/>
  <c r="AB37" i="71"/>
  <c r="S72" i="71"/>
  <c r="V80" i="71"/>
  <c r="X28" i="7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A111" i="3"/>
  <c r="AZ111" i="3"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50" i="3"/>
  <c r="G28" i="6"/>
  <c r="U26" i="21"/>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J26" i="43" s="1"/>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J6" i="15" s="1"/>
  <c r="F50" i="15"/>
  <c r="L59" i="15"/>
  <c r="N59" i="15"/>
  <c r="M59" i="15"/>
  <c r="F66" i="15"/>
  <c r="F64" i="15"/>
  <c r="B13" i="70"/>
  <c r="F68" i="15"/>
  <c r="C36" i="68"/>
  <c r="D9" i="68"/>
  <c r="C36" i="69"/>
  <c r="D9" i="69"/>
  <c r="C76" i="67"/>
  <c r="M29" i="67"/>
  <c r="F6" i="67"/>
  <c r="F13" i="67"/>
  <c r="F42" i="67"/>
  <c r="M8" i="67"/>
  <c r="F26" i="67"/>
  <c r="F16" i="67"/>
  <c r="F40" i="67"/>
  <c r="M28" i="67"/>
  <c r="F37" i="67"/>
  <c r="F7" i="67"/>
  <c r="L47" i="67"/>
  <c r="M24" i="67"/>
  <c r="F37" i="15"/>
  <c r="M24" i="15"/>
  <c r="F16" i="15"/>
  <c r="D7" i="73"/>
  <c r="D4" i="73"/>
  <c r="M26" i="67"/>
  <c r="M22" i="67"/>
  <c r="M23" i="67"/>
  <c r="F26" i="15"/>
  <c r="L48" i="15"/>
  <c r="C76" i="15"/>
  <c r="M9" i="67"/>
  <c r="F38" i="67"/>
  <c r="M6" i="67"/>
  <c r="J15" i="67"/>
  <c r="F43" i="15"/>
  <c r="M22" i="15"/>
  <c r="D3" i="73"/>
  <c r="D5" i="73"/>
  <c r="F36" i="67"/>
  <c r="F9" i="67"/>
  <c r="F8" i="67"/>
  <c r="F43" i="67"/>
  <c r="L48" i="67"/>
  <c r="J15" i="15"/>
  <c r="F8" i="15"/>
  <c r="F26" i="43" l="1"/>
  <c r="F68" i="67"/>
  <c r="C27" i="67"/>
  <c r="Q71" i="67"/>
  <c r="M6" i="1"/>
  <c r="O6" i="1" s="1"/>
  <c r="E59" i="40"/>
  <c r="N370" i="46"/>
  <c r="Q16" i="1"/>
  <c r="K16" i="1"/>
  <c r="H16" i="1"/>
  <c r="F31" i="15"/>
  <c r="C6" i="15"/>
  <c r="C32" i="15" s="1"/>
  <c r="F51" i="15"/>
  <c r="C49" i="15" s="1"/>
  <c r="J57" i="67"/>
  <c r="J55" i="67" s="1"/>
  <c r="J58" i="67" s="1"/>
  <c r="Q50" i="67" s="1"/>
  <c r="L56" i="67"/>
  <c r="J53" i="67"/>
  <c r="F1" i="67" s="1"/>
  <c r="I54" i="67"/>
  <c r="F71" i="67"/>
  <c r="C6" i="67"/>
  <c r="C32" i="67" s="1"/>
  <c r="F51" i="67"/>
  <c r="F64" i="67"/>
  <c r="F71" i="15"/>
  <c r="F66" i="67"/>
  <c r="Q71" i="15"/>
  <c r="J53" i="15"/>
  <c r="L56" i="15" s="1"/>
  <c r="L58" i="15"/>
  <c r="Q60" i="15" s="1"/>
  <c r="J57" i="15"/>
  <c r="J55" i="15" s="1"/>
  <c r="J58" i="15" s="1"/>
  <c r="Q50" i="15" s="1"/>
  <c r="I54" i="15"/>
  <c r="C27" i="15"/>
  <c r="F65" i="15"/>
  <c r="L59" i="67"/>
  <c r="Q61" i="67" s="1"/>
  <c r="L58" i="67"/>
  <c r="Q60" i="67" s="1"/>
  <c r="N59" i="67"/>
  <c r="M59" i="67"/>
  <c r="F31" i="67"/>
  <c r="M7" i="67"/>
  <c r="J6" i="67" s="1"/>
  <c r="J18" i="67" s="1"/>
  <c r="F50" i="67"/>
  <c r="F59" i="67" s="1"/>
  <c r="F65" i="67"/>
  <c r="T52" i="71"/>
  <c r="D52" i="71"/>
  <c r="AZ64" i="3"/>
  <c r="W12" i="35"/>
  <c r="AC12" i="35"/>
  <c r="U23" i="35"/>
  <c r="AB23" i="35"/>
  <c r="W31" i="39"/>
  <c r="AC31" i="39"/>
  <c r="AA25" i="37"/>
  <c r="S25" i="37"/>
  <c r="AA33" i="36"/>
  <c r="S33" i="36"/>
  <c r="E26" i="43"/>
  <c r="H26" i="43"/>
  <c r="S9" i="33"/>
  <c r="AZ98" i="3"/>
  <c r="AZ114" i="3"/>
  <c r="AZ474" i="3"/>
  <c r="AZ333" i="3"/>
  <c r="W36" i="39"/>
  <c r="C44" i="71"/>
  <c r="D43" i="71"/>
  <c r="AZ51" i="3"/>
  <c r="AZ274" i="3"/>
  <c r="AZ249" i="3"/>
  <c r="AZ484" i="3"/>
  <c r="U39" i="40"/>
  <c r="AB39" i="40"/>
  <c r="AB9" i="34"/>
  <c r="U9" i="34"/>
  <c r="AB31" i="39"/>
  <c r="U31" i="39"/>
  <c r="U25" i="37"/>
  <c r="AB25" i="37"/>
  <c r="AB33" i="36"/>
  <c r="U33" i="36"/>
  <c r="AA37" i="39"/>
  <c r="S37" i="39"/>
  <c r="G26" i="43"/>
  <c r="G5" i="3"/>
  <c r="B3" i="3" s="1"/>
  <c r="E502" i="3" s="1"/>
  <c r="AZ113" i="3"/>
  <c r="AZ295" i="3"/>
  <c r="C36" i="71"/>
  <c r="D35" i="71"/>
  <c r="AZ58" i="3"/>
  <c r="AZ49" i="3"/>
  <c r="AZ130" i="3"/>
  <c r="AZ41" i="3"/>
  <c r="AZ31" i="3"/>
  <c r="AZ5" i="3" s="1"/>
  <c r="AZ118" i="3"/>
  <c r="AZ332" i="3"/>
  <c r="AZ150" i="3"/>
  <c r="AZ453" i="3"/>
  <c r="AC23" i="36"/>
  <c r="W23" i="36"/>
  <c r="W12" i="34"/>
  <c r="AC12" i="34"/>
  <c r="AB9" i="33"/>
  <c r="U9" i="33"/>
  <c r="AC37" i="39"/>
  <c r="W37" i="39"/>
  <c r="N94" i="46"/>
  <c r="AZ129" i="3"/>
  <c r="AZ213" i="3"/>
  <c r="G16" i="1"/>
  <c r="J10" i="40" s="1"/>
  <c r="AC10" i="40" s="1"/>
  <c r="C26" i="71"/>
  <c r="D26" i="71" s="1"/>
  <c r="D27" i="71"/>
  <c r="C86" i="71"/>
  <c r="D86" i="71" s="1"/>
  <c r="D87" i="71"/>
  <c r="C56" i="71"/>
  <c r="D55" i="71"/>
  <c r="T32" i="71"/>
  <c r="D32" i="71"/>
  <c r="AZ59" i="3"/>
  <c r="AZ271" i="3"/>
  <c r="AZ243" i="3"/>
  <c r="AZ368" i="3"/>
  <c r="AZ353" i="3"/>
  <c r="AZ251" i="3"/>
  <c r="AZ247" i="3"/>
  <c r="AZ405" i="3"/>
  <c r="S36" i="39"/>
  <c r="AA36" i="39"/>
  <c r="AC9" i="33"/>
  <c r="W9" i="33"/>
  <c r="J7" i="37"/>
  <c r="W7" i="37" s="1"/>
  <c r="K1" i="73"/>
  <c r="E510" i="3"/>
  <c r="E539" i="3"/>
  <c r="E449" i="3"/>
  <c r="AP6" i="3"/>
  <c r="E258" i="3"/>
  <c r="E241" i="3"/>
  <c r="E46" i="3"/>
  <c r="E160" i="3"/>
  <c r="E33" i="3"/>
  <c r="E184" i="3"/>
  <c r="E309" i="3"/>
  <c r="E513" i="3"/>
  <c r="E482" i="3"/>
  <c r="E18" i="3"/>
  <c r="E206" i="3"/>
  <c r="AF6" i="3"/>
  <c r="E173" i="3"/>
  <c r="E525" i="3"/>
  <c r="E556" i="3"/>
  <c r="E497" i="3"/>
  <c r="E225" i="3"/>
  <c r="E356" i="3"/>
  <c r="E49" i="3"/>
  <c r="E232" i="3"/>
  <c r="E116" i="3"/>
  <c r="E105" i="3"/>
  <c r="E440" i="3"/>
  <c r="E376" i="3"/>
  <c r="E108" i="3"/>
  <c r="E178" i="3"/>
  <c r="E540" i="3"/>
  <c r="E473" i="3"/>
  <c r="E299" i="3"/>
  <c r="E325" i="3"/>
  <c r="E340" i="3"/>
  <c r="E364" i="3"/>
  <c r="E165" i="3"/>
  <c r="E141" i="3"/>
  <c r="E521" i="3"/>
  <c r="E386" i="3"/>
  <c r="E500" i="3"/>
  <c r="E520" i="3"/>
  <c r="E323" i="3"/>
  <c r="E149" i="3"/>
  <c r="E341" i="3"/>
  <c r="E542" i="3"/>
  <c r="AD6" i="3"/>
  <c r="E459" i="3"/>
  <c r="E307" i="3"/>
  <c r="E127" i="3"/>
  <c r="E313" i="3"/>
  <c r="E529" i="3"/>
  <c r="E168" i="3"/>
  <c r="E208" i="3"/>
  <c r="U6" i="3"/>
  <c r="E411" i="3"/>
  <c r="E126" i="3"/>
  <c r="E291" i="3"/>
  <c r="E328" i="3"/>
  <c r="O6" i="3"/>
  <c r="E338" i="3"/>
  <c r="E321" i="3"/>
  <c r="E221" i="3"/>
  <c r="E159" i="3"/>
  <c r="E434" i="3"/>
  <c r="E128" i="3"/>
  <c r="E481" i="3"/>
  <c r="E424" i="3"/>
  <c r="E203" i="3"/>
  <c r="E256" i="3"/>
  <c r="E252" i="3"/>
  <c r="E164" i="3"/>
  <c r="E581" i="3"/>
  <c r="E444" i="3"/>
  <c r="E334" i="3"/>
  <c r="E30" i="3"/>
  <c r="E239" i="3"/>
  <c r="E516" i="3"/>
  <c r="E551" i="3"/>
  <c r="V6" i="3"/>
  <c r="E415" i="3"/>
  <c r="E395" i="3"/>
  <c r="E382" i="3"/>
  <c r="E578" i="3"/>
  <c r="E85" i="3"/>
  <c r="E314" i="3"/>
  <c r="E519" i="3"/>
  <c r="E458" i="3"/>
  <c r="E571" i="3"/>
  <c r="E450" i="3"/>
  <c r="E150" i="3"/>
  <c r="E279" i="3"/>
  <c r="E567" i="3"/>
  <c r="E269" i="3"/>
  <c r="E515" i="3"/>
  <c r="E478" i="3"/>
  <c r="AS6" i="3"/>
  <c r="E476" i="3"/>
  <c r="E186" i="3"/>
  <c r="E331" i="3"/>
  <c r="E175" i="3"/>
  <c r="E530" i="3"/>
  <c r="E388" i="3"/>
  <c r="E555" i="3"/>
  <c r="E270" i="3"/>
  <c r="AR6" i="3"/>
  <c r="E380" i="3"/>
  <c r="E231" i="3"/>
  <c r="E528" i="3"/>
  <c r="E183" i="3"/>
  <c r="E91" i="3"/>
  <c r="E301" i="3"/>
  <c r="E124" i="3"/>
  <c r="E399" i="3"/>
  <c r="E181" i="3"/>
  <c r="E545" i="3"/>
  <c r="E133" i="3"/>
  <c r="E560" i="3"/>
  <c r="E587" i="3"/>
  <c r="E577" i="3"/>
  <c r="E146" i="3"/>
  <c r="E171" i="3"/>
  <c r="E74" i="3"/>
  <c r="E368" i="3"/>
  <c r="Z6" i="3"/>
  <c r="AO6" i="3"/>
  <c r="E557" i="3"/>
  <c r="E531" i="3"/>
  <c r="E182" i="3"/>
  <c r="E273" i="3"/>
  <c r="E217" i="3"/>
  <c r="E526" i="3"/>
  <c r="E509" i="3"/>
  <c r="E579" i="3"/>
  <c r="E311" i="3"/>
  <c r="E570" i="3"/>
  <c r="E335" i="3"/>
  <c r="E215" i="3"/>
  <c r="E563" i="3"/>
  <c r="E172" i="3"/>
  <c r="E135" i="3"/>
  <c r="E263" i="3"/>
  <c r="E246" i="3"/>
  <c r="X6" i="3"/>
  <c r="E119" i="3"/>
  <c r="E132" i="3"/>
  <c r="E483" i="3"/>
  <c r="AA26" i="37"/>
  <c r="S26" i="37"/>
  <c r="BA5" i="3"/>
  <c r="E27" i="6" s="1"/>
  <c r="K26" i="6" s="1"/>
  <c r="M26" i="6" s="1"/>
  <c r="I26" i="6" s="1"/>
  <c r="S26" i="6" s="1"/>
  <c r="C19" i="71"/>
  <c r="T20" i="71"/>
  <c r="D20" i="71"/>
  <c r="U20" i="71"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U7" i="36"/>
  <c r="F7" i="33"/>
  <c r="E58" i="21"/>
  <c r="AC7" i="36"/>
  <c r="V36" i="36" s="1"/>
  <c r="I36" i="36" s="1"/>
  <c r="W7" i="36"/>
  <c r="F7" i="37"/>
  <c r="M17" i="15"/>
  <c r="F59" i="15"/>
  <c r="P28" i="43"/>
  <c r="B66" i="40" s="1"/>
  <c r="P25" i="43"/>
  <c r="P29" i="43"/>
  <c r="P27" i="43"/>
  <c r="B70" i="39" s="1"/>
  <c r="J18" i="15"/>
  <c r="M11" i="67"/>
  <c r="J10" i="67" s="1"/>
  <c r="F11" i="15"/>
  <c r="M11" i="15"/>
  <c r="J10" i="15" s="1"/>
  <c r="J5" i="15" s="1"/>
  <c r="J24" i="15" s="1"/>
  <c r="F11" i="67"/>
  <c r="Q74" i="15"/>
  <c r="Q61" i="15"/>
  <c r="AE11" i="1"/>
  <c r="AE9" i="1"/>
  <c r="AE7" i="1"/>
  <c r="AE8" i="1"/>
  <c r="AE12" i="1"/>
  <c r="AE10" i="1"/>
  <c r="F27" i="69"/>
  <c r="AE6" i="1"/>
  <c r="C16" i="15"/>
  <c r="C16" i="67"/>
  <c r="F41" i="67"/>
  <c r="G1" i="73"/>
  <c r="C47" i="69" l="1"/>
  <c r="D45" i="69" s="1"/>
  <c r="Q74" i="67"/>
  <c r="P6" i="1"/>
  <c r="C13" i="12" s="1"/>
  <c r="F10" i="39"/>
  <c r="H10" i="40"/>
  <c r="AB10" i="40" s="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583" i="3"/>
  <c r="E290" i="3"/>
  <c r="E230" i="3"/>
  <c r="E151" i="3"/>
  <c r="E553" i="3"/>
  <c r="E166" i="3"/>
  <c r="P6" i="3"/>
  <c r="E32" i="3"/>
  <c r="E496" i="3"/>
  <c r="E330" i="3"/>
  <c r="E280" i="3"/>
  <c r="E565" i="3"/>
  <c r="S6" i="3"/>
  <c r="E319" i="3"/>
  <c r="E403" i="3"/>
  <c r="E196" i="3"/>
  <c r="E537" i="3"/>
  <c r="E352" i="3"/>
  <c r="E413" i="3"/>
  <c r="E163" i="3"/>
  <c r="E375" i="3"/>
  <c r="E354" i="3"/>
  <c r="E244" i="3"/>
  <c r="E90" i="3"/>
  <c r="E265" i="3"/>
  <c r="E112" i="3"/>
  <c r="E170" i="3"/>
  <c r="E372" i="3"/>
  <c r="E401" i="3"/>
  <c r="E427" i="3"/>
  <c r="E329" i="3"/>
  <c r="E220" i="3"/>
  <c r="E26" i="3"/>
  <c r="E512" i="3"/>
  <c r="E22" i="3"/>
  <c r="E383" i="3"/>
  <c r="E391" i="3"/>
  <c r="E63" i="3"/>
  <c r="E492" i="3"/>
  <c r="E409" i="3"/>
  <c r="E479" i="3"/>
  <c r="Q52" i="67"/>
  <c r="F28" i="12"/>
  <c r="C29" i="12" s="1"/>
  <c r="D28" i="12" s="1"/>
  <c r="E212" i="3"/>
  <c r="E286" i="3"/>
  <c r="E442" i="3"/>
  <c r="E255" i="3"/>
  <c r="E491" i="3"/>
  <c r="E95" i="3"/>
  <c r="E292"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536" i="3"/>
  <c r="E466" i="3"/>
  <c r="E554" i="3"/>
  <c r="E37" i="3"/>
  <c r="E349" i="3"/>
  <c r="E484" i="3"/>
  <c r="E267" i="3"/>
  <c r="E84" i="3"/>
  <c r="E233" i="3"/>
  <c r="E81" i="3"/>
  <c r="E494" i="3"/>
  <c r="AL6" i="3"/>
  <c r="E96" i="3"/>
  <c r="E86" i="3"/>
  <c r="E102" i="3"/>
  <c r="E205" i="3"/>
  <c r="T6" i="3"/>
  <c r="E408" i="3"/>
  <c r="E13" i="3"/>
  <c r="E41" i="3"/>
  <c r="E428" i="3"/>
  <c r="E324" i="3"/>
  <c r="E80" i="3"/>
  <c r="E16" i="3"/>
  <c r="E393" i="3"/>
  <c r="E507" i="3"/>
  <c r="AH6" i="3"/>
  <c r="AC6" i="3" s="1"/>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262" i="3"/>
  <c r="Q6" i="3"/>
  <c r="E344" i="3"/>
  <c r="E55" i="3"/>
  <c r="E274" i="3"/>
  <c r="I6" i="3"/>
  <c r="E576" i="3"/>
  <c r="E443" i="3"/>
  <c r="E404" i="3"/>
  <c r="E295" i="3"/>
  <c r="E480" i="3"/>
  <c r="E282" i="3"/>
  <c r="E569" i="3"/>
  <c r="E358" i="3"/>
  <c r="E407" i="3"/>
  <c r="E130" i="3"/>
  <c r="E260" i="3"/>
  <c r="E61" i="3"/>
  <c r="E518" i="3"/>
  <c r="E253" i="3"/>
  <c r="E511" i="3"/>
  <c r="E575" i="3"/>
  <c r="E430" i="3"/>
  <c r="E517" i="3"/>
  <c r="E152" i="3"/>
  <c r="E389" i="3"/>
  <c r="E467"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19" i="3"/>
  <c r="E94" i="3"/>
  <c r="E369" i="3"/>
  <c r="E139" i="3"/>
  <c r="F27" i="68"/>
  <c r="C47" i="68" s="1"/>
  <c r="D45" i="68" s="1"/>
  <c r="J5" i="67"/>
  <c r="J24" i="67" s="1"/>
  <c r="F10" i="40"/>
  <c r="S10" i="40" s="1"/>
  <c r="F27" i="11"/>
  <c r="C29" i="11" s="1"/>
  <c r="D27" i="11" s="1"/>
  <c r="E248" i="3"/>
  <c r="E240" i="3"/>
  <c r="H10" i="39"/>
  <c r="U10" i="39" s="1"/>
  <c r="E378" i="3"/>
  <c r="E118" i="3"/>
  <c r="E275" i="3"/>
  <c r="E100"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336" i="3"/>
  <c r="E117" i="3"/>
  <c r="E294" i="3"/>
  <c r="E229" i="3"/>
  <c r="E366" i="3"/>
  <c r="E121" i="3"/>
  <c r="E448" i="3"/>
  <c r="E580" i="3"/>
  <c r="E429" i="3"/>
  <c r="E177" i="3"/>
  <c r="E353" i="3"/>
  <c r="E304" i="3"/>
  <c r="E97" i="3"/>
  <c r="E53" i="3"/>
  <c r="E547" i="3"/>
  <c r="E93" i="3"/>
  <c r="W6" i="3"/>
  <c r="E136" i="3"/>
  <c r="E154" i="3"/>
  <c r="E462" i="3"/>
  <c r="E297" i="3"/>
  <c r="E138" i="3"/>
  <c r="E222" i="3"/>
  <c r="E460" i="3"/>
  <c r="E176" i="3"/>
  <c r="E36" i="3"/>
  <c r="E38" i="3"/>
  <c r="E346" i="3"/>
  <c r="E419" i="3"/>
  <c r="E543" i="3"/>
  <c r="E326" i="3"/>
  <c r="E190" i="3"/>
  <c r="E420" i="3"/>
  <c r="E456" i="3"/>
  <c r="E308" i="3"/>
  <c r="E235" i="3"/>
  <c r="E281" i="3"/>
  <c r="E68" i="3"/>
  <c r="E310" i="3"/>
  <c r="E544" i="3"/>
  <c r="E417" i="3"/>
  <c r="E499" i="3"/>
  <c r="Q73" i="67"/>
  <c r="F45" i="69"/>
  <c r="F1" i="15"/>
  <c r="C49" i="67"/>
  <c r="C29" i="69"/>
  <c r="D27" i="69" s="1"/>
  <c r="D26" i="43"/>
  <c r="C25" i="43" s="1"/>
  <c r="C33" i="43" s="1"/>
  <c r="C6" i="69" s="1"/>
  <c r="C7" i="69" s="1"/>
  <c r="E300" i="3"/>
  <c r="E103" i="3"/>
  <c r="E425" i="3"/>
  <c r="E76" i="3"/>
  <c r="E363" i="3"/>
  <c r="E192" i="3"/>
  <c r="E56" i="3"/>
  <c r="E435" i="3"/>
  <c r="I3" i="6"/>
  <c r="E541" i="3"/>
  <c r="R6" i="3"/>
  <c r="E199" i="3"/>
  <c r="Q52" i="15"/>
  <c r="AA7" i="36"/>
  <c r="R36" i="36" s="1"/>
  <c r="Q73" i="15"/>
  <c r="AY6" i="3"/>
  <c r="AY83" i="3" s="1"/>
  <c r="E3" i="6"/>
  <c r="D44" i="71"/>
  <c r="T44" i="71"/>
  <c r="M17" i="67"/>
  <c r="J10" i="39"/>
  <c r="W10" i="39" s="1"/>
  <c r="D36" i="71"/>
  <c r="T36"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51" i="3"/>
  <c r="AY66" i="3"/>
  <c r="AY34" i="3"/>
  <c r="AY207" i="3"/>
  <c r="AY176" i="3"/>
  <c r="AY144" i="3"/>
  <c r="AY124" i="3"/>
  <c r="AY115" i="3"/>
  <c r="AY95" i="3"/>
  <c r="AY42" i="3"/>
  <c r="AY188" i="3"/>
  <c r="AY152" i="3"/>
  <c r="AY281" i="3"/>
  <c r="AY276" i="3"/>
  <c r="AY111" i="3"/>
  <c r="AY168" i="3"/>
  <c r="AY297" i="3"/>
  <c r="AY253" i="3"/>
  <c r="AY236" i="3"/>
  <c r="AY225" i="3"/>
  <c r="AY382" i="3"/>
  <c r="AY366" i="3"/>
  <c r="AY335" i="3"/>
  <c r="AY303" i="3"/>
  <c r="AY67" i="3"/>
  <c r="AY50" i="3"/>
  <c r="AY196" i="3"/>
  <c r="AY139" i="3"/>
  <c r="AY289" i="3"/>
  <c r="AY74" i="3"/>
  <c r="AY123" i="3"/>
  <c r="AY261" i="3"/>
  <c r="AY204" i="3"/>
  <c r="AY252" i="3"/>
  <c r="AY209" i="3"/>
  <c r="AY363" i="3"/>
  <c r="AY318" i="3"/>
  <c r="AY473" i="3"/>
  <c r="AY470" i="3"/>
  <c r="AY428" i="3"/>
  <c r="AY441" i="3"/>
  <c r="AY409" i="3"/>
  <c r="AY106" i="3"/>
  <c r="AY26" i="3"/>
  <c r="AY180" i="3"/>
  <c r="AY245" i="3"/>
  <c r="AY260" i="3"/>
  <c r="AY228" i="3"/>
  <c r="AY395" i="3"/>
  <c r="AY372" i="3"/>
  <c r="AY358" i="3"/>
  <c r="AY342" i="3"/>
  <c r="AY310" i="3"/>
  <c r="AY465" i="3"/>
  <c r="AY452" i="3"/>
  <c r="AY420" i="3"/>
  <c r="AY433" i="3"/>
  <c r="AY513" i="3"/>
  <c r="AY549" i="3"/>
  <c r="BK6" i="3"/>
  <c r="AY569" i="3"/>
  <c r="AY533" i="3"/>
  <c r="AY541" i="3"/>
  <c r="AY553" i="3"/>
  <c r="AY97" i="3"/>
  <c r="AY108" i="3"/>
  <c r="AY77" i="3"/>
  <c r="AY61" i="3"/>
  <c r="AY45" i="3"/>
  <c r="AY60" i="3"/>
  <c r="AY44" i="3"/>
  <c r="AY28" i="3"/>
  <c r="AY206" i="3"/>
  <c r="AY190" i="3"/>
  <c r="AY201" i="3"/>
  <c r="AY170" i="3"/>
  <c r="AY154" i="3"/>
  <c r="AY138" i="3"/>
  <c r="AY149" i="3"/>
  <c r="AY133" i="3"/>
  <c r="AY118" i="3"/>
  <c r="AY299" i="3"/>
  <c r="AY283" i="3"/>
  <c r="AY294" i="3"/>
  <c r="AY263" i="3"/>
  <c r="AY247" i="3"/>
  <c r="AY231" i="3"/>
  <c r="AY246" i="3"/>
  <c r="AY230" i="3"/>
  <c r="AY214" i="3"/>
  <c r="AY392" i="3"/>
  <c r="AY397" i="3"/>
  <c r="AY381" i="3"/>
  <c r="AY357" i="3"/>
  <c r="AY360" i="3"/>
  <c r="AY554" i="3"/>
  <c r="BJ6" i="3"/>
  <c r="AY109" i="3"/>
  <c r="AY104" i="3"/>
  <c r="AY41" i="3"/>
  <c r="AY56" i="3"/>
  <c r="AY24" i="3"/>
  <c r="AY197" i="3"/>
  <c r="AY166" i="3"/>
  <c r="AY177" i="3"/>
  <c r="AY114" i="3"/>
  <c r="AY295" i="3"/>
  <c r="AY290" i="3"/>
  <c r="AY274" i="3"/>
  <c r="AY242" i="3"/>
  <c r="AY210" i="3"/>
  <c r="AY377" i="3"/>
  <c r="AY353" i="3"/>
  <c r="AY349" i="3"/>
  <c r="AY317" i="3"/>
  <c r="AY348" i="3"/>
  <c r="AY332" i="3"/>
  <c r="AY491" i="3"/>
  <c r="AY475" i="3"/>
  <c r="AY488" i="3"/>
  <c r="AY457" i="3"/>
  <c r="AY462" i="3"/>
  <c r="AY446" i="3"/>
  <c r="AY414" i="3"/>
  <c r="AY398" i="3"/>
  <c r="AY427" i="3"/>
  <c r="AY581" i="3"/>
  <c r="BQ6" i="3"/>
  <c r="BM6" i="3"/>
  <c r="AY561" i="3"/>
  <c r="AY534" i="3"/>
  <c r="BF6" i="3"/>
  <c r="AY546" i="3"/>
  <c r="AY495" i="3"/>
  <c r="AY510" i="3"/>
  <c r="AY16" i="3"/>
  <c r="AY501" i="3"/>
  <c r="AY98" i="3"/>
  <c r="AY171" i="3"/>
  <c r="AY90" i="3"/>
  <c r="AY163"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15"/>
  <c r="M27" i="67"/>
  <c r="F45" i="68" l="1"/>
  <c r="C29" i="68"/>
  <c r="D27" i="68" s="1"/>
  <c r="F25" i="12"/>
  <c r="C26" i="12" s="1"/>
  <c r="D25" i="12" s="1"/>
  <c r="C48" i="67"/>
  <c r="C66" i="67" s="1"/>
  <c r="C47" i="11"/>
  <c r="D45" i="11" s="1"/>
  <c r="U10" i="40"/>
  <c r="F22" i="68"/>
  <c r="C44" i="68" s="1"/>
  <c r="D41" i="68" s="1"/>
  <c r="AA10" i="40"/>
  <c r="AB10" i="39"/>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H6" i="3"/>
  <c r="E6" i="3" s="1"/>
  <c r="AA10" i="39"/>
  <c r="S10" i="39"/>
  <c r="F24" i="67"/>
  <c r="C24" i="67" s="1"/>
  <c r="F22" i="11"/>
  <c r="C26" i="11" s="1"/>
  <c r="D22" i="11" s="1"/>
  <c r="F24" i="15"/>
  <c r="C24" i="15" s="1"/>
  <c r="F22" i="69"/>
  <c r="F41" i="69" s="1"/>
  <c r="I53" i="34"/>
  <c r="J53" i="34" s="1"/>
  <c r="I46" i="37"/>
  <c r="J46" i="3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4" i="11"/>
  <c r="D10" i="68"/>
  <c r="D10" i="69"/>
  <c r="C34" i="69"/>
  <c r="C17" i="67"/>
  <c r="C14" i="67"/>
  <c r="C17" i="15"/>
  <c r="C26" i="69" l="1"/>
  <c r="D22" i="69" s="1"/>
  <c r="C26" i="68"/>
  <c r="D22" i="68" s="1"/>
  <c r="F41" i="68"/>
  <c r="C60" i="67"/>
  <c r="C23" i="11"/>
  <c r="C44" i="11"/>
  <c r="D41" i="11" s="1"/>
  <c r="C44" i="69"/>
  <c r="D41" i="69" s="1"/>
  <c r="H22" i="6"/>
  <c r="H25" i="6"/>
  <c r="E53" i="34"/>
  <c r="F53" i="34"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5" i="69" l="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C30" i="12" l="1"/>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C20" i="9"/>
  <c r="D2" i="21"/>
  <c r="C56" i="69" l="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1" i="9"/>
  <c r="D22" i="9"/>
  <c r="G19"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9" i="1"/>
  <c r="AO10" i="1"/>
  <c r="AO11" i="1"/>
  <c r="AO6" i="1"/>
  <c r="AO12" i="1"/>
  <c r="AO8" i="1"/>
  <c r="G21" i="9" l="1"/>
  <c r="D14" i="74"/>
  <c r="G14" i="74" s="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119" i="9"/>
  <c r="H5" i="52" s="1"/>
  <c r="F119" i="9"/>
  <c r="F5" i="52" s="1"/>
  <c r="B53" i="72" s="1"/>
  <c r="G118" i="9"/>
  <c r="G4" i="52" s="1"/>
  <c r="B52" i="72" s="1"/>
  <c r="H101" i="9"/>
  <c r="H4" i="52"/>
  <c r="I118" i="9"/>
  <c r="C105" i="9" l="1"/>
  <c r="E118" i="9"/>
  <c r="E4" i="52" s="1"/>
  <c r="B48" i="72" s="1"/>
  <c r="I4" i="52"/>
  <c r="H102" i="9"/>
  <c r="D45" i="9"/>
  <c r="D5" i="53"/>
  <c r="M48" i="9"/>
  <c r="H107" i="9"/>
  <c r="D122" i="9" l="1"/>
  <c r="D13" i="53"/>
  <c r="M49" i="9"/>
  <c r="H108" i="9"/>
  <c r="D7" i="53"/>
  <c r="B21" i="72" s="1"/>
  <c r="C5" i="74"/>
  <c r="D6" i="53"/>
  <c r="B22" i="72" s="1"/>
  <c r="B20" i="72"/>
  <c r="D52" i="9"/>
  <c r="C78" i="9"/>
  <c r="C73" i="9" s="1"/>
  <c r="C93" i="9"/>
  <c r="C86" i="9" s="1"/>
  <c r="D53" i="9"/>
  <c r="D55" i="9"/>
  <c r="M53" i="9" s="1"/>
  <c r="C72" i="9"/>
  <c r="C79" i="9" s="1"/>
  <c r="C85" i="9"/>
  <c r="C64" i="9"/>
  <c r="C63" i="9" s="1"/>
  <c r="C67" i="9" s="1"/>
  <c r="C95" i="9" l="1"/>
  <c r="D59" i="9"/>
  <c r="M55" i="9" s="1"/>
  <c r="C68" i="9"/>
  <c r="D54"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<sst xmlns="http://schemas.openxmlformats.org/spreadsheetml/2006/main" count="7825" uniqueCount="3428">
  <si>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</si>
  <si>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</si>
  <si>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</si>
  <si>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</si>
  <si>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</si>
  <si>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</si>
  <si>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</si>
  <si>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</si>
  <si>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</si>
  <si>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</si>
  <si>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</si>
  <si>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</si>
  <si>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</si>
  <si>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</si>
  <si>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</si>
  <si>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</si>
  <si>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</si>
  <si>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</si>
  <si>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</si>
  <si>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</si>
  <si>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</si>
  <si>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</si>
  <si>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</si>
  <si>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</si>
  <si>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</si>
  <si>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</si>
  <si>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</si>
  <si>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</si>
  <si>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</si>
  <si>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</si>
  <si>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</si>
  <si>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</si>
  <si>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</si>
  <si>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</si>
  <si>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</si>
  <si>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</si>
  <si>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</si>
  <si>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</si>
  <si>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</si>
  <si>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</si>
  <si>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</si>
  <si>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</si>
  <si>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</si>
  <si>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</si>
  <si>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</si>
  <si>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</si>
  <si>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</si>
  <si>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</si>
  <si>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</si>
  <si>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</si>
  <si>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</si>
  <si>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</si>
  <si>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</si>
  <si>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</si>
  <si>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</si>
  <si>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</si>
  <si>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</si>
  <si>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</si>
  <si>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</si>
  <si>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</si>
  <si>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</si>
  <si>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</si>
  <si>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</si>
  <si>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</si>
  <si>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</si>
  <si>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</si>
  <si>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</si>
  <si>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</si>
  <si>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</si>
  <si>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</si>
  <si>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</si>
  <si>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</si>
  <si>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</si>
  <si>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</si>
  <si>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</si>
  <si>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</si>
  <si>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</si>
  <si>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</si>
  <si>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</si>
  <si>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</si>
  <si>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</si>
  <si>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</si>
  <si>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</si>
  <si>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</si>
  <si>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</si>
  <si>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</si>
  <si>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</si>
  <si>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</si>
  <si>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</si>
  <si>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</si>
  <si>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</si>
  <si>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</si>
  <si>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</si>
  <si>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</si>
  <si>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</si>
  <si>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</si>
  <si>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</si>
  <si>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</si>
  <si>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</si>
  <si>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</si>
  <si>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</si>
  <si>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</si>
  <si>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</si>
  <si>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</si>
  <si>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</si>
  <si>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</si>
  <si>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</si>
  <si>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</si>
  <si>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</si>
  <si>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</si>
  <si>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</si>
  <si>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</si>
  <si>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</si>
  <si>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</si>
  <si>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</si>
  <si>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</si>
  <si>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</si>
  <si>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</si>
  <si>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</si>
  <si>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</si>
  <si>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</si>
  <si>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</si>
  <si>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</si>
  <si>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</si>
  <si>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</si>
  <si>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</si>
  <si>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</si>
  <si>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</si>
  <si>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</si>
  <si>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</si>
  <si>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</si>
  <si>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</si>
  <si>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</si>
  <si>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</si>
  <si>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</si>
  <si>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</si>
  <si>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</si>
  <si>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</si>
  <si>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</si>
  <si>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</si>
  <si>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</si>
  <si>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</si>
  <si>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</si>
  <si>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</si>
  <si>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</si>
  <si>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</si>
  <si>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</si>
  <si>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</si>
  <si>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</si>
  <si>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</si>
  <si>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</si>
  <si>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</si>
  <si>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</si>
  <si>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</si>
  <si>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</si>
  <si>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</si>
  <si>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</si>
  <si>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</si>
  <si>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</si>
  <si>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</si>
  <si>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</si>
  <si>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</si>
  <si>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</si>
  <si>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</si>
  <si>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</si>
  <si>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</si>
  <si>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</si>
  <si>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</si>
  <si>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</si>
  <si>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</si>
  <si>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</si>
  <si>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</si>
  <si>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</si>
  <si>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</si>
  <si>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</si>
  <si>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</si>
  <si>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</si>
  <si>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</si>
  <si>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</si>
  <si>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</si>
  <si>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</si>
  <si>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</si>
  <si>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</si>
  <si>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</si>
  <si>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</si>
  <si>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</si>
  <si>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</si>
  <si>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</si>
  <si>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</si>
  <si>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</si>
  <si>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</si>
  <si>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</si>
  <si>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</si>
  <si>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</si>
  <si>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</si>
  <si>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</si>
  <si>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</si>
  <si>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</si>
  <si>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</si>
  <si>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</si>
  <si>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</si>
  <si>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</si>
  <si>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</si>
  <si>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</si>
  <si>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</si>
  <si>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</si>
  <si>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</si>
  <si>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</si>
  <si>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</si>
  <si>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</si>
  <si>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</si>
  <si>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</si>
  <si>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</si>
  <si>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</si>
  <si>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</si>
  <si>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</si>
  <si>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</si>
  <si>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</si>
  <si>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</si>
  <si>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</si>
  <si>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</si>
  <si>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</si>
  <si>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</si>
  <si>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</si>
  <si>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</si>
  <si>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</si>
  <si>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</si>
  <si>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</si>
  <si>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</si>
  <si>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</si>
  <si>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</si>
  <si>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</si>
  <si>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</si>
  <si>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</si>
  <si>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</si>
  <si>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</si>
  <si>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</si>
  <si>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</si>
  <si>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</si>
  <si>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</si>
  <si>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</si>
  <si>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</si>
  <si>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</si>
  <si>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</si>
  <si>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</si>
  <si>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</si>
  <si>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</si>
  <si>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</si>
  <si>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</si>
  <si>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</si>
  <si>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</si>
  <si>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</si>
  <si>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</si>
  <si>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</si>
  <si>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</si>
  <si>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</si>
  <si>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</si>
  <si>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</si>
  <si>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</si>
  <si>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</si>
  <si>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</si>
  <si>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</si>
  <si>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</si>
  <si>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</si>
  <si>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</si>
  <si>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</si>
  <si>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</si>
  <si>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</si>
  <si>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</si>
  <si>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</si>
  <si>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</si>
  <si>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</si>
  <si>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</si>
  <si>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</si>
  <si>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</si>
  <si>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</si>
  <si>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</si>
  <si>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</si>
  <si>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</si>
  <si>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</si>
  <si>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</si>
  <si>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</si>
  <si>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</si>
  <si>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</si>
  <si>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</si>
  <si>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</si>
  <si>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</si>
  <si>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</si>
  <si>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</si>
  <si>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</si>
  <si>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</si>
  <si>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</si>
  <si>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</si>
  <si>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</si>
  <si>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</si>
  <si>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</si>
  <si>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</si>
  <si>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</si>
  <si>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</si>
  <si>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</si>
  <si>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</si>
  <si>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</si>
  <si>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</si>
  <si>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</si>
  <si>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</si>
  <si>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</si>
  <si>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</si>
  <si>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</si>
  <si>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</si>
  <si>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</si>
  <si>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</si>
  <si>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</si>
  <si>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</si>
  <si>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</si>
  <si>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</si>
  <si>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</si>
  <si>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</si>
  <si>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</si>
  <si>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</si>
  <si>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</si>
  <si>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</si>
  <si>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</si>
  <si>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</si>
  <si>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</si>
  <si>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</si>
  <si>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</si>
  <si>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</si>
  <si>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</si>
  <si>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</si>
  <si>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</si>
  <si>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</si>
  <si>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</si>
  <si>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</si>
  <si>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</si>
  <si>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</si>
  <si>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</si>
  <si>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</si>
  <si>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</si>
  <si>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</si>
  <si>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</si>
  <si>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</si>
  <si>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</si>
  <si>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</si>
  <si>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</si>
  <si>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</si>
  <si>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</si>
  <si>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</si>
  <si>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</si>
  <si>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</si>
  <si>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</si>
  <si>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</si>
  <si>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</si>
  <si>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</si>
  <si>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</si>
  <si>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</si>
  <si>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</si>
  <si>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</si>
  <si>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</si>
  <si>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</si>
  <si>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</si>
  <si>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</si>
  <si>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</si>
  <si>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</si>
  <si>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</si>
  <si>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</si>
  <si>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</si>
  <si>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</si>
  <si>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</si>
  <si>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</si>
  <si>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</si>
  <si>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</si>
  <si>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</si>
  <si>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</si>
  <si>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</si>
  <si>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</si>
  <si>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</si>
  <si>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</si>
  <si>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</si>
  <si>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</si>
  <si>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</si>
  <si>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</si>
  <si>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</si>
  <si>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</si>
  <si>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</si>
  <si>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</si>
  <si>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</si>
  <si>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</si>
  <si>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</si>
  <si>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</si>
  <si>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</si>
  <si>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</si>
  <si>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</si>
  <si>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</si>
  <si>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</si>
  <si>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</si>
  <si>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</si>
  <si>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</si>
  <si>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</si>
  <si>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</si>
  <si>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</si>
  <si>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</si>
  <si>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</si>
  <si>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</si>
  <si>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</si>
  <si>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</si>
  <si>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</si>
  <si>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</si>
  <si>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</si>
  <si>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</si>
  <si>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</si>
  <si>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</si>
  <si>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</si>
  <si>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</si>
  <si>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</si>
  <si>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</si>
  <si>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</si>
  <si>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</si>
  <si>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</si>
  <si>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</si>
  <si>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</si>
  <si>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</si>
  <si>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</si>
  <si>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</si>
  <si>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</si>
  <si>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</si>
  <si>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</si>
  <si>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</si>
  <si>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</si>
  <si>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</si>
  <si>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</si>
  <si>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</si>
  <si>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</si>
  <si>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</si>
  <si>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</si>
  <si>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</si>
  <si>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</si>
  <si>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</si>
  <si>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</si>
  <si>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</si>
  <si>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</si>
  <si>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</si>
  <si>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</si>
  <si>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</si>
  <si>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</si>
  <si>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</si>
  <si>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</si>
  <si>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</si>
  <si>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</si>
  <si>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</si>
  <si>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</si>
  <si>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</si>
  <si>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</si>
  <si>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</si>
  <si>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</si>
  <si>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</si>
  <si>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</si>
  <si>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</si>
  <si>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</si>
  <si>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</si>
  <si>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</si>
  <si>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</si>
  <si>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</si>
  <si>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</si>
  <si>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</si>
  <si>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</si>
  <si>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</si>
  <si>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</si>
  <si>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</si>
  <si>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</si>
  <si>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</si>
  <si>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</si>
  <si>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</si>
  <si>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</si>
  <si>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</si>
  <si>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</si>
  <si>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</si>
  <si>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</si>
  <si>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</si>
  <si>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</si>
  <si>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</si>
  <si>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</si>
  <si>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</si>
  <si>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</si>
  <si>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</si>
  <si>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</si>
  <si>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</si>
  <si>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</si>
  <si>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</si>
  <si>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</si>
  <si>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</si>
  <si>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</si>
  <si>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</si>
  <si>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</si>
  <si>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</si>
  <si>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</si>
  <si>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</si>
  <si>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</si>
  <si>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</si>
  <si>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</si>
  <si>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</si>
  <si>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</si>
  <si>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</si>
  <si>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</si>
  <si>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</si>
  <si>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</si>
  <si>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</si>
  <si>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</si>
  <si>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</si>
  <si>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</si>
  <si>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</si>
  <si>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</si>
  <si>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</si>
  <si>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</si>
  <si>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</si>
  <si>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</si>
  <si>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</si>
  <si>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</si>
  <si>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</si>
  <si>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</si>
  <si>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</si>
  <si>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</si>
  <si>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</si>
  <si>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</si>
  <si>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</si>
  <si>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</si>
  <si>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</si>
  <si>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</si>
  <si>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</si>
  <si>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</si>
  <si>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</si>
  <si>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</si>
  <si>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</si>
  <si>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</si>
  <si>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</si>
  <si>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</si>
  <si>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</si>
  <si>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</si>
  <si>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</si>
  <si>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</si>
  <si>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</si>
  <si>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</si>
  <si>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</si>
  <si>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</si>
  <si>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</si>
  <si>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</si>
  <si>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</si>
  <si>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</si>
  <si>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</si>
  <si>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</si>
  <si>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</si>
  <si>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</si>
  <si>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</si>
  <si>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</si>
  <si>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</si>
  <si>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</si>
  <si>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</si>
  <si>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</si>
  <si>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</si>
  <si>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</si>
  <si>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</si>
  <si>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</si>
  <si>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</si>
  <si>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</si>
  <si>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</si>
  <si>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</si>
  <si>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</si>
  <si>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</si>
  <si>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</si>
  <si>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</si>
  <si>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</si>
  <si>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</si>
  <si>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</si>
  <si>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</si>
  <si>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</si>
  <si>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</si>
  <si>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</si>
  <si>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</si>
  <si>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</si>
  <si>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</si>
  <si>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</si>
  <si>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</si>
  <si>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</si>
  <si>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</si>
  <si>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</si>
  <si>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</si>
  <si>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</si>
  <si>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</si>
  <si>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</si>
  <si>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</si>
  <si>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</si>
  <si>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</si>
  <si>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</si>
  <si>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</si>
  <si>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</si>
  <si>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</si>
  <si>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</si>
  <si>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</si>
  <si>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</si>
  <si>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</si>
  <si>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</si>
  <si>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</si>
  <si>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</si>
  <si>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</si>
  <si>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</si>
  <si>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</si>
  <si>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</si>
  <si>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</si>
  <si>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</si>
  <si>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</si>
  <si>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</si>
  <si>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</si>
  <si>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</si>
  <si>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</si>
  <si>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</si>
  <si>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</si>
  <si>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</si>
  <si>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</si>
  <si>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</si>
  <si>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</si>
  <si>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</si>
  <si>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</si>
  <si>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</si>
  <si>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</si>
  <si>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</si>
  <si>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</si>
  <si>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</si>
  <si>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</si>
  <si>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</si>
  <si>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</si>
  <si>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</si>
  <si>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</si>
  <si>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</si>
  <si>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</si>
  <si>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</si>
  <si>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</si>
  <si>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</si>
  <si>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</si>
  <si>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</si>
  <si>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</si>
  <si>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</si>
  <si>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</si>
  <si>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</si>
  <si>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</si>
  <si>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</si>
  <si>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</si>
  <si>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</si>
  <si>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</si>
  <si>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</si>
  <si>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</si>
  <si>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</si>
  <si>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</si>
  <si>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</si>
  <si>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</si>
  <si>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</si>
  <si>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</si>
  <si>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</si>
  <si>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</si>
  <si>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</si>
  <si>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</si>
  <si>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</si>
  <si>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</si>
  <si>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</si>
  <si>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</si>
  <si>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</si>
  <si>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</si>
  <si>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</si>
  <si>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</si>
  <si>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</si>
  <si>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</si>
  <si>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</si>
  <si>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</si>
  <si>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</si>
  <si>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</si>
  <si>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</si>
  <si>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</si>
  <si>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</si>
  <si>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</si>
  <si>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</si>
  <si>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</si>
  <si>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</si>
  <si>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</si>
  <si>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</si>
  <si>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</si>
  <si>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</si>
  <si>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</si>
  <si>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</si>
  <si>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</si>
  <si>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</si>
  <si>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</si>
  <si>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</si>
  <si>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</si>
  <si>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</si>
  <si>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</si>
  <si>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</si>
  <si>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</si>
  <si>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</si>
  <si>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</si>
  <si>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</si>
  <si>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</si>
  <si>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</si>
  <si>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</si>
  <si>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</si>
  <si>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</si>
  <si>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</si>
  <si>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</si>
  <si>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</si>
  <si>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</si>
  <si>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</si>
  <si>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</si>
  <si>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</si>
  <si>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</si>
  <si>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</si>
  <si>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</si>
  <si>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</si>
  <si>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</si>
  <si>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</si>
  <si>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</si>
  <si>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</si>
  <si>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</si>
  <si>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</si>
  <si>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</si>
  <si>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</si>
  <si>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</si>
  <si>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</si>
  <si>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</si>
  <si>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</si>
  <si>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</si>
  <si>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</si>
  <si>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</si>
  <si>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</si>
  <si>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</si>
  <si>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</si>
  <si>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</si>
  <si>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</si>
  <si>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</si>
  <si>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</si>
  <si>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</si>
  <si>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</si>
  <si>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</si>
  <si>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</si>
  <si>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</si>
  <si>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</si>
  <si>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</si>
  <si>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</si>
  <si>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</si>
  <si>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</si>
  <si>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</si>
  <si>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</si>
  <si>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</si>
  <si>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</si>
  <si>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</si>
  <si>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</si>
  <si>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</si>
  <si>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</si>
  <si>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</si>
  <si>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</si>
  <si>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</si>
  <si>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</si>
  <si>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</si>
  <si>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</si>
  <si>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</si>
  <si>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</si>
  <si>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</si>
  <si>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</si>
  <si>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</si>
  <si>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</si>
  <si>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</si>
  <si>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</si>
  <si>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</si>
  <si>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</si>
  <si>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</si>
  <si>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</si>
  <si>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</si>
  <si>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</si>
  <si>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</si>
  <si>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</si>
  <si>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</si>
  <si>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</si>
  <si>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</si>
  <si>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</si>
  <si>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</si>
  <si>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</si>
  <si>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</si>
  <si>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</si>
  <si>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</si>
  <si>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</si>
  <si>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</si>
  <si>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</si>
  <si>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</si>
  <si>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</si>
  <si>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</si>
  <si>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</si>
  <si>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</si>
  <si>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</si>
  <si>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</si>
  <si>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</si>
  <si>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</si>
  <si>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</si>
  <si>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</si>
  <si>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</si>
  <si>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</si>
  <si>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</si>
  <si>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</si>
  <si>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</si>
  <si>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</si>
  <si>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</si>
  <si>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</si>
  <si>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</si>
  <si>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</si>
  <si>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</si>
  <si>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</si>
  <si>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</si>
  <si>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</si>
  <si>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</si>
  <si>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</si>
  <si>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</si>
  <si>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</si>
  <si>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</si>
  <si>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</si>
  <si>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</si>
  <si>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</si>
  <si>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</si>
  <si>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</si>
  <si>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</si>
  <si>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</si>
  <si>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</si>
  <si>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</si>
  <si>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</si>
  <si>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</si>
  <si>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</si>
  <si>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</si>
  <si>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</si>
  <si>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</si>
  <si>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</si>
  <si>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</si>
  <si>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</si>
  <si>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</si>
  <si>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</si>
  <si>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</si>
  <si>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</si>
  <si>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</si>
  <si>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</si>
  <si>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</si>
  <si>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</si>
  <si>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</si>
  <si>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</si>
  <si>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</si>
  <si>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</si>
  <si>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</si>
  <si>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</si>
  <si>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</si>
  <si>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</si>
  <si>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</si>
  <si>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</si>
  <si>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</si>
  <si>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</si>
  <si>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</si>
  <si>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</si>
  <si>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</si>
  <si>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</si>
  <si>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</si>
  <si>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</si>
  <si>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</si>
  <si>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</si>
  <si>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</si>
  <si>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</si>
  <si>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</si>
  <si>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</si>
  <si>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</si>
  <si>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</si>
  <si>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</si>
  <si>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</si>
  <si>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</si>
  <si>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</si>
  <si>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</si>
  <si>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</si>
  <si>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</si>
  <si>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</si>
  <si>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</si>
  <si>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</si>
  <si>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</si>
  <si>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</si>
  <si>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</si>
  <si>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</si>
  <si>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</si>
  <si>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</si>
  <si>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</si>
  <si>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</si>
  <si>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</si>
  <si>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</si>
  <si>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</si>
  <si>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</si>
  <si>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</si>
  <si>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</si>
  <si>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</si>
  <si>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</si>
  <si>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</si>
  <si>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</si>
  <si>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</si>
  <si>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</si>
  <si>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</si>
  <si>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</si>
  <si>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</si>
  <si>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</si>
  <si>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</si>
  <si>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</si>
  <si>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</si>
  <si>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</si>
  <si>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</si>
  <si>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</si>
  <si>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</si>
  <si>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</si>
  <si>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</si>
  <si>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</si>
  <si>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</si>
  <si>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</si>
  <si>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</si>
  <si>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</si>
  <si>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</si>
  <si>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</si>
  <si>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</si>
  <si>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</si>
  <si>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</si>
  <si>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</si>
  <si>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</si>
  <si>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</si>
  <si>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</si>
  <si>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</si>
  <si>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</si>
  <si>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</si>
  <si>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</si>
  <si>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</si>
  <si>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</si>
  <si>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</si>
  <si>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</si>
  <si>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</si>
  <si>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</si>
  <si>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</si>
  <si>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</si>
  <si>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</si>
  <si>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</si>
  <si>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</si>
  <si>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</si>
  <si>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</si>
  <si>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</si>
  <si>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</si>
  <si>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</si>
  <si>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</si>
  <si>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</si>
  <si>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</si>
  <si>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</si>
  <si>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</si>
  <si>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</si>
  <si>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</si>
  <si>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</si>
  <si>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</si>
  <si>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</si>
  <si>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</si>
  <si>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</si>
  <si>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</si>
  <si>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</si>
  <si>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</si>
  <si>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</si>
  <si>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</si>
  <si>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</si>
  <si>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</si>
  <si>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</si>
  <si>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</si>
  <si>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</si>
  <si>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</si>
  <si>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</si>
  <si>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</si>
  <si>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</si>
  <si>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</si>
  <si>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</si>
  <si>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</si>
  <si>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</si>
  <si>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</si>
  <si>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</si>
  <si>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</si>
  <si>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</si>
  <si>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</si>
  <si>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</si>
  <si>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</si>
  <si>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</si>
  <si>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</si>
  <si>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</si>
  <si>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</si>
  <si>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</si>
  <si>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</si>
  <si>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</si>
  <si>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</si>
  <si>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</si>
  <si>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</si>
  <si>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</si>
  <si>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</si>
  <si>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</si>
  <si>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</si>
  <si>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</si>
  <si>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</si>
  <si>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</si>
  <si>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</si>
  <si>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</si>
  <si>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</si>
  <si>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</si>
  <si>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</si>
  <si>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</si>
  <si>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</si>
  <si>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</si>
  <si>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</si>
  <si>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</si>
  <si>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</si>
  <si>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</si>
  <si>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</si>
  <si>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</si>
  <si>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</si>
  <si>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</si>
  <si>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</si>
  <si>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</si>
  <si>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</si>
  <si>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</si>
  <si>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</si>
  <si>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</si>
  <si>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</si>
  <si>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</si>
  <si>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</si>
  <si>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</si>
  <si>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</si>
  <si>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</si>
  <si>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</si>
  <si>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</si>
  <si>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</si>
  <si>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</si>
  <si>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</si>
  <si>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</si>
  <si>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</si>
  <si>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</si>
  <si>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</si>
  <si>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</si>
  <si>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</si>
  <si>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</si>
  <si>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</si>
  <si>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</si>
  <si>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</si>
  <si>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</si>
  <si>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</si>
  <si>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</si>
  <si>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</si>
  <si>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</si>
  <si>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</si>
  <si>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</si>
  <si>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</si>
  <si>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</si>
  <si>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</si>
  <si>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</si>
  <si>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</si>
  <si>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</si>
  <si>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</si>
  <si>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</si>
  <si>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</si>
  <si>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</si>
  <si>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</si>
  <si>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</si>
  <si>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</si>
  <si>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</si>
  <si>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</si>
  <si>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</si>
  <si>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</si>
  <si>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</si>
  <si>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</si>
  <si>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</si>
  <si>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</si>
  <si>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</si>
  <si>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</si>
  <si>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</si>
  <si>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</si>
  <si>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</si>
  <si>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</si>
  <si>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</si>
  <si>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</si>
  <si>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</si>
  <si>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</si>
  <si>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</si>
  <si>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</si>
  <si>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</si>
  <si>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</si>
  <si>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</si>
  <si>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</si>
  <si>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</si>
  <si>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</si>
  <si>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</si>
  <si>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</si>
  <si>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</si>
  <si>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</si>
  <si>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</si>
  <si>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</si>
  <si>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</si>
  <si>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</si>
  <si>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</si>
  <si>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</si>
  <si>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</si>
  <si>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</si>
  <si>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</si>
  <si>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</si>
  <si>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</si>
  <si>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</si>
  <si>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</si>
  <si>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</si>
  <si>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</si>
  <si>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</si>
  <si>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</si>
  <si>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</si>
  <si>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</si>
  <si>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</si>
  <si>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</si>
  <si>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</si>
  <si>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</si>
  <si>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</si>
  <si>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</si>
  <si>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</si>
  <si>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</si>
  <si>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</si>
  <si>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</si>
  <si>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</si>
  <si>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</si>
  <si>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</si>
  <si>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</si>
  <si>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</si>
  <si>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</si>
  <si>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</si>
  <si>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</si>
  <si>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</si>
  <si>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</si>
  <si>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</si>
  <si>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</si>
  <si>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</si>
  <si>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</si>
  <si>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</si>
  <si>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</si>
  <si>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</si>
  <si>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</si>
  <si>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</si>
  <si>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</si>
  <si>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</si>
  <si>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</si>
  <si>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</si>
  <si>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</si>
  <si>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</si>
  <si>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</si>
  <si>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</si>
  <si>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</si>
  <si>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</si>
  <si>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</si>
  <si>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</si>
  <si>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</si>
  <si>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</si>
  <si>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</si>
  <si>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</si>
  <si>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</si>
  <si>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</si>
  <si>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</si>
  <si>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</si>
  <si>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</si>
  <si>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</si>
  <si>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</si>
  <si>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</si>
  <si>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</si>
  <si>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</si>
  <si>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</si>
  <si>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</si>
  <si>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</si>
  <si>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</si>
  <si>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</si>
  <si>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</si>
  <si>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</si>
  <si>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</si>
  <si>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</si>
  <si>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</si>
  <si>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</si>
  <si>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</si>
  <si>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</si>
  <si>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</si>
  <si>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</si>
  <si>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</si>
  <si>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</si>
  <si>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</si>
  <si>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</si>
  <si>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</si>
  <si>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</si>
  <si>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</si>
  <si>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</si>
  <si>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</si>
  <si>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</si>
  <si>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</si>
  <si>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</si>
  <si>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</si>
  <si>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</si>
  <si>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</si>
  <si>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</si>
  <si>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</si>
  <si>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</si>
  <si>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</si>
  <si>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</si>
  <si>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</si>
  <si>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</si>
  <si>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</si>
  <si>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</si>
  <si>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</si>
  <si>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</si>
  <si>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</si>
  <si>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</si>
  <si>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</si>
  <si>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</si>
  <si>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</si>
  <si>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</si>
  <si>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</si>
  <si>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</si>
  <si>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</si>
  <si>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</si>
  <si>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</si>
  <si>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</si>
  <si>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</si>
  <si>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</si>
  <si>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</si>
  <si>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</si>
  <si>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</si>
  <si>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</si>
  <si>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</si>
  <si>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</si>
  <si>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</si>
  <si>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</si>
  <si>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</si>
  <si>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</si>
  <si>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</si>
  <si>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</si>
  <si>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</si>
  <si>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</si>
  <si>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</si>
  <si>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</si>
  <si>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</si>
  <si>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</si>
  <si>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</si>
  <si>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</si>
  <si>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</si>
  <si>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</si>
  <si>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</si>
  <si>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</si>
  <si>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</si>
  <si>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</si>
  <si>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</si>
  <si>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</si>
  <si>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</si>
  <si>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</si>
  <si>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</si>
  <si>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</si>
  <si>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</si>
  <si>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</si>
  <si>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</si>
  <si>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</si>
  <si>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</si>
  <si>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</si>
  <si>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</si>
  <si>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</si>
  <si>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</si>
  <si>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</si>
  <si>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</si>
  <si>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</si>
  <si>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</si>
  <si>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</si>
  <si>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</si>
  <si>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</si>
  <si>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</si>
  <si>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</si>
  <si>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</si>
  <si>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</si>
  <si>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</si>
  <si>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</si>
  <si>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</si>
  <si>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</si>
  <si>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</si>
  <si>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</si>
  <si>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</si>
  <si>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</si>
  <si>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</si>
  <si>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</si>
  <si>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</si>
  <si>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</si>
  <si>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</si>
  <si>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</si>
  <si>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</si>
  <si>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</si>
  <si>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</si>
  <si>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</si>
  <si>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</si>
  <si>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</si>
  <si>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</si>
  <si>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</si>
  <si>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</si>
  <si>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</si>
  <si>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</si>
  <si>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</si>
  <si>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</si>
  <si>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</si>
  <si>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</si>
  <si>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</si>
  <si>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</si>
  <si>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</si>
  <si>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</si>
  <si>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</si>
  <si>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</si>
  <si>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</si>
  <si>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</si>
  <si>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</si>
  <si>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</si>
  <si>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</si>
  <si>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</si>
  <si>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</si>
  <si>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</si>
  <si>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</si>
  <si>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</si>
  <si>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</si>
  <si>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</si>
  <si>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</si>
  <si>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</si>
  <si>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</si>
  <si>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</si>
  <si>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</si>
  <si>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</si>
  <si>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</si>
  <si>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</si>
  <si>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</si>
  <si>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</si>
  <si>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</si>
  <si>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</si>
  <si>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</si>
  <si>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</si>
  <si>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</si>
  <si>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</si>
  <si>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</si>
  <si>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</si>
  <si>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</si>
  <si>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</si>
  <si>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</si>
  <si>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</si>
  <si>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</si>
  <si>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</si>
  <si>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</si>
  <si>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</si>
  <si>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</si>
  <si>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</si>
  <si>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</si>
  <si>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</si>
  <si>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</si>
  <si>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</si>
  <si>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</si>
  <si>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</si>
  <si>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</si>
  <si>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</si>
  <si>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</si>
  <si>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</si>
  <si>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</si>
  <si>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</si>
  <si>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</si>
  <si>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</si>
  <si>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</si>
  <si>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</si>
  <si>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</si>
  <si>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</si>
  <si>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</si>
  <si>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</si>
  <si>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</si>
  <si>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</si>
  <si>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</si>
  <si>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</si>
  <si>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</si>
  <si>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</si>
  <si>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</si>
  <si>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</si>
  <si>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</si>
  <si>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</si>
  <si>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</si>
  <si>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</si>
  <si>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</si>
  <si>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</si>
  <si>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</si>
  <si>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</si>
  <si>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</si>
  <si>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</si>
  <si>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</si>
  <si>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</si>
  <si>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</si>
  <si>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</si>
  <si>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</si>
  <si>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</si>
  <si>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</si>
  <si>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</si>
  <si>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</si>
  <si>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</si>
  <si>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</si>
  <si>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</si>
  <si>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</si>
  <si>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</si>
  <si>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</si>
  <si>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</si>
  <si>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</si>
  <si>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</si>
  <si>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</si>
  <si>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</si>
  <si>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</si>
  <si>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</si>
  <si>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</si>
  <si>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</si>
  <si>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</si>
  <si>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</si>
  <si>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</si>
  <si>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</si>
  <si>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</si>
  <si>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</si>
  <si>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</si>
  <si>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</si>
  <si>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</si>
  <si>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</si>
  <si>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</si>
  <si>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</si>
  <si>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</si>
  <si>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</si>
  <si>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</si>
  <si>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</si>
  <si>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</si>
  <si>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</si>
  <si>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</si>
  <si>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</si>
  <si>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</si>
  <si>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</si>
  <si>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</si>
  <si>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</si>
  <si>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</si>
  <si>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</si>
  <si>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</si>
  <si>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</si>
  <si>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</si>
  <si>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</si>
  <si>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</si>
  <si>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</si>
  <si>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</si>
  <si>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</si>
  <si>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</si>
  <si>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</si>
  <si>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</si>
  <si>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</si>
  <si>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</si>
  <si>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</si>
  <si>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</si>
  <si>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</si>
  <si>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</si>
  <si>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</si>
  <si>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</si>
  <si>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</si>
  <si>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</si>
  <si>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</si>
  <si>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</si>
  <si>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</si>
  <si>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</si>
  <si>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</si>
  <si>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</si>
  <si>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</si>
  <si>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</si>
  <si>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</si>
  <si>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</si>
  <si>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</si>
  <si>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</si>
  <si>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</si>
  <si>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</si>
  <si>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</si>
  <si>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</si>
  <si>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</si>
  <si>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</si>
  <si>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</si>
  <si>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</si>
  <si>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</si>
  <si>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</si>
  <si>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</si>
  <si>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</si>
  <si>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</si>
  <si>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</si>
  <si>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</si>
  <si>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</si>
  <si>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</si>
  <si>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</si>
  <si>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</si>
  <si>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</si>
  <si>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</si>
  <si>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</si>
  <si>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</si>
  <si>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</si>
  <si>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</si>
  <si>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</si>
  <si>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</si>
  <si>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</si>
  <si>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</si>
  <si>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</si>
  <si>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</si>
  <si>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</si>
  <si>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</si>
  <si>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</si>
  <si>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</si>
  <si>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</si>
  <si>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</si>
  <si>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</si>
  <si>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</si>
  <si>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</si>
  <si>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</si>
  <si>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</si>
  <si>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</si>
  <si>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</si>
  <si>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</si>
  <si>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</si>
  <si>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</si>
  <si>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</si>
  <si>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</si>
  <si>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</si>
  <si>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</si>
  <si>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</si>
  <si>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</si>
  <si>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</si>
  <si>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</si>
  <si>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</si>
  <si>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</si>
  <si>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</si>
  <si>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</si>
  <si>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</si>
  <si>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</si>
  <si>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</si>
  <si>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</si>
  <si>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</si>
  <si>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</si>
  <si>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</si>
  <si>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</si>
  <si>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</si>
  <si>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</si>
  <si>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</si>
  <si>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</si>
  <si>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</si>
  <si>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</si>
  <si>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</si>
  <si>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</si>
  <si>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</si>
  <si>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</si>
  <si>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</si>
  <si>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</si>
  <si>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</si>
  <si>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</si>
  <si>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</si>
  <si>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</si>
  <si>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</si>
  <si>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</si>
  <si>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</si>
  <si>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</si>
  <si>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</si>
  <si>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</si>
  <si>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</si>
  <si>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</si>
  <si>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</si>
  <si>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</si>
  <si>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</si>
  <si>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</si>
  <si>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</si>
  <si>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</si>
  <si>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</si>
  <si>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</si>
  <si>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</si>
  <si>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</si>
  <si>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</si>
  <si>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</si>
  <si>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</si>
  <si>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</si>
  <si>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</si>
  <si>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</si>
  <si>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</si>
  <si>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</si>
  <si>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</si>
  <si>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</si>
  <si>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</si>
  <si>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</si>
  <si>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</si>
  <si>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</si>
  <si>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</si>
  <si>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</si>
  <si>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</si>
  <si>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</si>
  <si>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</si>
  <si>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</si>
  <si>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</si>
  <si>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</si>
  <si>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</si>
  <si>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</si>
  <si>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</si>
  <si>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</si>
  <si>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</si>
  <si>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</si>
  <si>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</si>
  <si>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</si>
  <si>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</si>
  <si>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</si>
  <si>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</si>
  <si>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</si>
  <si>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</si>
  <si>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</si>
  <si>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</si>
  <si>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</si>
  <si>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</si>
  <si>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</si>
  <si>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</si>
  <si>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</si>
  <si>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</si>
  <si>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</si>
  <si>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</si>
  <si>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</si>
  <si>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</si>
  <si>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</si>
  <si>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</si>
  <si>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</si>
  <si>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</si>
  <si>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</si>
  <si>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</si>
  <si>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</si>
  <si>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</si>
  <si>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</si>
  <si>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</si>
  <si>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</si>
  <si>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</si>
  <si>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</si>
  <si>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</si>
  <si>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</si>
  <si>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</si>
  <si>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</si>
  <si>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</si>
  <si>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</si>
  <si>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</si>
  <si>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</si>
  <si>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</si>
  <si>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</si>
  <si>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</si>
  <si>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</si>
  <si>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</si>
  <si>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</si>
  <si>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</si>
  <si>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</si>
  <si>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</si>
  <si>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</si>
  <si>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</si>
  <si>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</si>
  <si>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</si>
  <si>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</si>
  <si>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</si>
  <si>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</si>
  <si>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</si>
  <si>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</si>
  <si>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</si>
  <si>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</si>
  <si>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</si>
  <si>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</si>
  <si>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</si>
  <si>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</si>
  <si>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</si>
  <si>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</si>
  <si>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</si>
  <si>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</si>
  <si>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</si>
  <si>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</si>
  <si>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</si>
  <si>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</si>
  <si>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</si>
  <si>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</si>
  <si>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</si>
  <si>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</si>
  <si>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</si>
  <si>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</si>
  <si>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</si>
  <si>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</si>
  <si>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</si>
  <si>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</si>
  <si>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</si>
  <si>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</si>
  <si>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</si>
  <si>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</si>
  <si>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</si>
  <si>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</si>
  <si>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</si>
  <si>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</si>
  <si>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</si>
  <si>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</si>
  <si>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</si>
  <si>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</si>
  <si>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</si>
  <si>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</si>
  <si>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</si>
  <si>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</si>
  <si>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</si>
  <si>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</si>
  <si>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</si>
  <si>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</si>
  <si>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</si>
  <si>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</si>
  <si>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</si>
  <si>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</si>
  <si>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</si>
  <si>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</si>
  <si>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</si>
  <si>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</si>
  <si>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</si>
  <si>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</si>
  <si>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</si>
  <si>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</si>
  <si>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</si>
  <si>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</si>
  <si>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</si>
  <si>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</si>
  <si>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</si>
  <si>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</si>
  <si>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</si>
  <si>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</si>
  <si>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</si>
  <si>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</si>
  <si>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</si>
  <si>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</si>
  <si>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</si>
  <si>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</si>
  <si>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</si>
  <si>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</si>
  <si>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</si>
  <si>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</si>
  <si>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</si>
  <si>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</si>
  <si>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</si>
  <si>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</si>
  <si>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</si>
  <si>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</si>
  <si>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</si>
  <si>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</si>
  <si>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</si>
  <si>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</si>
  <si>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</si>
  <si>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</si>
  <si>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</si>
  <si>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</si>
  <si>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</si>
  <si>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</si>
  <si>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</si>
  <si>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</si>
  <si>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</si>
  <si>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</si>
  <si>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</si>
  <si>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</si>
  <si>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</si>
  <si>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</si>
  <si>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</si>
  <si>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</si>
  <si>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</si>
  <si>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</si>
  <si>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</si>
  <si>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</si>
  <si>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</si>
  <si>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</si>
  <si>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</si>
  <si>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</si>
  <si>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</si>
  <si>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</si>
  <si>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</si>
  <si>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</si>
  <si>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</si>
  <si>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</si>
  <si>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</si>
  <si>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</si>
  <si>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</si>
  <si>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</si>
  <si>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</si>
  <si>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</si>
  <si>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</si>
  <si>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</si>
  <si>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</si>
  <si>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</si>
  <si>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</si>
  <si>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</si>
  <si>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</si>
  <si>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</si>
  <si>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</si>
  <si>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</si>
  <si>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</si>
  <si>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</si>
  <si>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</si>
  <si>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</si>
  <si>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</si>
  <si>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</si>
  <si>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</si>
  <si>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</si>
  <si>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</si>
  <si>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</si>
  <si>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</si>
  <si>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</si>
  <si>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</si>
  <si>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</si>
  <si>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</si>
  <si>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</si>
  <si>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</si>
  <si>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</si>
  <si>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</si>
  <si>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</si>
  <si>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</si>
  <si>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</si>
  <si>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</si>
  <si>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</si>
  <si>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</si>
  <si>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</si>
  <si>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</si>
  <si>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</si>
  <si>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</si>
  <si>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</si>
  <si>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</si>
  <si>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</si>
  <si>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</si>
  <si>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</si>
  <si>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</si>
  <si>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</si>
  <si>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</si>
  <si>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</si>
  <si>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</si>
  <si>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</si>
  <si>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</si>
  <si>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</si>
  <si>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</si>
  <si>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</si>
  <si>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</si>
  <si>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</si>
  <si>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</si>
  <si>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</si>
  <si>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</si>
  <si>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</si>
  <si>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</si>
  <si>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</si>
  <si>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</si>
  <si>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</si>
  <si>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</si>
  <si>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</si>
  <si>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</si>
  <si>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</si>
  <si>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</si>
  <si>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</si>
  <si>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</si>
  <si>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</si>
  <si>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</si>
  <si>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</si>
  <si>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</si>
  <si>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</si>
  <si>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</si>
  <si>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</si>
  <si>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</si>
  <si>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</si>
  <si>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</si>
  <si>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</si>
  <si>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</si>
  <si>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</si>
  <si>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</si>
  <si>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</si>
  <si>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</si>
  <si>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</si>
  <si>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</si>
  <si>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</si>
  <si>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</si>
  <si>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</si>
  <si>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</si>
  <si>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</si>
  <si>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</si>
  <si>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</si>
  <si>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</si>
  <si>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</si>
  <si>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</si>
  <si>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</si>
  <si>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</si>
  <si>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</si>
  <si>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</si>
  <si>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</si>
  <si>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</si>
  <si>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</si>
  <si>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</si>
  <si>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</si>
  <si>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</si>
  <si>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</si>
  <si>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</si>
  <si>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</si>
  <si>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</si>
  <si>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</si>
  <si>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</si>
  <si>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</si>
  <si>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</si>
  <si>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</si>
  <si>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</si>
  <si>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</si>
  <si>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</si>
  <si>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</si>
  <si>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</si>
  <si>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</si>
  <si>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</si>
  <si>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</si>
  <si>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</si>
  <si>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</si>
  <si>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</si>
  <si>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</si>
  <si>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</si>
  <si>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</si>
  <si>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</si>
  <si>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</si>
  <si>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</si>
  <si>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</si>
  <si>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</si>
  <si>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</si>
  <si>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</si>
  <si>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</si>
  <si>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</si>
  <si>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</si>
  <si>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</si>
  <si>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</si>
  <si>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</si>
  <si>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</si>
  <si>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</si>
  <si>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</si>
  <si>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</si>
  <si>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</si>
  <si>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</si>
  <si>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</si>
  <si>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</si>
  <si>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</si>
  <si>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</si>
  <si>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</si>
  <si>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</si>
  <si>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</si>
  <si>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</si>
  <si>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</si>
  <si>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</si>
  <si>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</si>
  <si>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</si>
  <si>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</si>
  <si>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</si>
  <si>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</si>
  <si>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</si>
  <si>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</si>
  <si>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</si>
  <si>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</si>
  <si>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</si>
  <si>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</si>
  <si>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</si>
  <si>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</si>
  <si>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</si>
  <si>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</si>
  <si>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</si>
  <si>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</si>
  <si>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</si>
  <si>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</si>
  <si>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</si>
  <si>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</si>
  <si>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</si>
  <si>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</si>
  <si>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</si>
  <si>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</si>
  <si>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</si>
  <si>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</si>
  <si>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</si>
  <si>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</si>
  <si>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</si>
  <si>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</si>
  <si>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</si>
  <si>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</si>
  <si>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</si>
  <si>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</si>
  <si>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</si>
  <si>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</si>
  <si>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</si>
  <si>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</si>
  <si>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</si>
  <si>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</si>
  <si>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</si>
  <si>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</si>
  <si>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</si>
  <si>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</si>
  <si>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</si>
  <si>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</si>
  <si>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</si>
  <si>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</si>
  <si>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</si>
  <si>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</si>
  <si>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</si>
  <si>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</si>
  <si>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</si>
  <si>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</si>
  <si>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</si>
  <si>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</si>
  <si>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</si>
  <si>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</si>
  <si>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</si>
  <si>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</si>
  <si>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</si>
  <si>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</si>
  <si>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</si>
  <si>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</si>
  <si>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</si>
  <si>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</si>
  <si>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</si>
  <si>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</si>
  <si>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</si>
  <si>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</si>
  <si>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</si>
  <si>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</si>
  <si>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</si>
  <si>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</si>
  <si>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</si>
  <si>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</si>
  <si>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</si>
  <si>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</si>
  <si>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</si>
  <si>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</si>
  <si>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</si>
  <si>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</si>
  <si>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</si>
  <si>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</si>
  <si>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</si>
  <si>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</si>
  <si>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</si>
  <si>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</si>
  <si>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</si>
  <si>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</si>
  <si>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</si>
  <si>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</si>
  <si>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</si>
  <si>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</si>
  <si>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</si>
  <si>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</si>
  <si>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</si>
  <si>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</si>
  <si>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</si>
  <si>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</si>
  <si>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</si>
  <si>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</si>
  <si>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</si>
  <si>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</si>
  <si>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</si>
  <si>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</si>
  <si>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</si>
  <si>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</si>
  <si>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</si>
  <si>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</si>
  <si>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</si>
  <si>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</si>
  <si>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</si>
  <si>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</si>
  <si>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</si>
  <si>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</si>
  <si>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</si>
  <si>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</si>
  <si>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</si>
  <si>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</si>
  <si>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</si>
  <si>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</si>
  <si>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</si>
  <si>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</si>
  <si>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</si>
  <si>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</si>
  <si>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</si>
  <si>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</si>
  <si>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</si>
  <si>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</si>
  <si>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</si>
  <si>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</si>
  <si>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</si>
  <si>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</si>
  <si>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</si>
  <si>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</si>
  <si>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</si>
  <si>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</si>
  <si>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</si>
  <si>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</si>
  <si>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</si>
  <si>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</si>
  <si>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</si>
  <si>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</si>
  <si>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</si>
  <si>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</si>
  <si>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</si>
  <si>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</si>
  <si>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</si>
  <si>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</si>
  <si>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</si>
  <si>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</si>
  <si>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</si>
  <si>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</si>
  <si>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</si>
  <si>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</si>
  <si>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</si>
  <si>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</si>
  <si>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</si>
  <si>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</si>
  <si>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</si>
  <si>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</si>
  <si>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</si>
  <si>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</si>
  <si>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</si>
  <si>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</si>
  <si>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</si>
  <si>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</si>
  <si>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</si>
  <si>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</si>
  <si>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</si>
  <si>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</si>
  <si>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</si>
  <si>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</si>
  <si>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</si>
  <si>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</si>
  <si>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</si>
  <si>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</si>
  <si>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</si>
  <si>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</si>
  <si>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</si>
  <si>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</si>
  <si>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</si>
  <si>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</si>
  <si>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</si>
  <si>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</si>
  <si>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</si>
  <si>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</si>
  <si>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</si>
  <si>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</si>
  <si>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</si>
  <si>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</si>
  <si>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</si>
  <si>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</si>
  <si>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</si>
  <si>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</si>
  <si>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</si>
  <si>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</si>
  <si>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</si>
  <si>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</si>
  <si>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</si>
  <si>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</si>
  <si>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</si>
  <si>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</si>
  <si>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</si>
  <si>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</si>
  <si>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</si>
  <si>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</si>
  <si>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</si>
  <si>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</si>
  <si>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</si>
  <si>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</si>
  <si>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</si>
  <si>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</si>
  <si>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</si>
  <si>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</si>
  <si>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</si>
  <si>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</si>
  <si>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</si>
  <si>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</si>
  <si>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</si>
  <si>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</si>
  <si>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</si>
  <si>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</si>
  <si>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</si>
  <si>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</si>
  <si>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</si>
  <si>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</si>
  <si>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</si>
  <si>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</si>
  <si>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</si>
  <si>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</si>
  <si>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</si>
  <si>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</si>
  <si>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</si>
  <si>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</si>
  <si>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</si>
  <si>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</si>
  <si>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</si>
  <si>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</si>
  <si>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</si>
  <si>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</si>
  <si>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</si>
  <si>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</si>
  <si>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</si>
  <si>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</si>
  <si>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</si>
  <si>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</si>
  <si>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</si>
  <si>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</si>
  <si>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</si>
  <si>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</si>
  <si>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</si>
  <si>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</si>
  <si>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</si>
  <si>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</si>
  <si>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</si>
  <si>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</si>
  <si>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</si>
  <si>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</si>
  <si>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</si>
  <si>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</si>
  <si>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</si>
  <si>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</si>
  <si>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</si>
  <si>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</si>
  <si>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</si>
  <si>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</si>
  <si>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</si>
  <si>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</si>
  <si>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</si>
  <si>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</si>
  <si>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</si>
  <si>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</si>
  <si>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</si>
  <si>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</si>
  <si>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</si>
  <si>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</si>
  <si>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</si>
  <si>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</si>
  <si>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</si>
  <si>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</si>
  <si>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</si>
  <si>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</si>
  <si>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</si>
  <si>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</si>
  <si>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</si>
  <si>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</si>
  <si>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</si>
  <si>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</si>
  <si>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</si>
  <si>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</si>
  <si>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</si>
  <si>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</si>
  <si>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</si>
  <si>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</si>
  <si>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</si>
  <si>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</si>
  <si>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</si>
  <si>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</si>
  <si>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</si>
  <si>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</si>
  <si>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</si>
  <si>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</si>
  <si>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</si>
  <si>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</si>
  <si>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</si>
  <si>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</si>
  <si>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</si>
  <si>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</si>
  <si>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</si>
  <si>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</si>
  <si>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</si>
  <si>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</si>
  <si>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</si>
  <si>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</si>
  <si>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</si>
  <si>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</si>
  <si>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</si>
  <si>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</si>
  <si>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</si>
  <si>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</si>
  <si>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</si>
  <si>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</si>
  <si>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</si>
  <si>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</si>
  <si>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</si>
  <si>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</si>
  <si>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</si>
  <si>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</si>
  <si>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</si>
  <si>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</si>
  <si>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</si>
  <si>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</si>
  <si>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</si>
  <si>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</si>
  <si>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</si>
  <si>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</si>
  <si>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</si>
  <si>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</si>
  <si>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</si>
  <si>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</si>
  <si>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</si>
  <si>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</si>
  <si>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</si>
  <si>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</si>
  <si>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</si>
  <si>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</si>
  <si>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</si>
  <si>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</si>
  <si>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</si>
  <si>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</si>
  <si>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</si>
  <si>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</si>
  <si>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</si>
  <si>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</si>
  <si>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</si>
  <si>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</si>
  <si>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</si>
  <si>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</si>
  <si>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</si>
  <si>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</si>
  <si>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</si>
  <si>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</si>
  <si>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</si>
  <si>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</si>
  <si>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</si>
  <si>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</si>
  <si>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</si>
  <si>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</si>
  <si>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</si>
  <si>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</si>
  <si>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</si>
  <si>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</si>
  <si>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</si>
  <si>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</si>
  <si>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</si>
  <si>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</si>
  <si>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</si>
  <si>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</si>
  <si>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</si>
  <si>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</si>
  <si>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</si>
  <si>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</si>
  <si>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</si>
  <si>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</si>
  <si>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</si>
  <si>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</si>
  <si>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</si>
  <si>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</si>
  <si>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</si>
  <si>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</si>
  <si>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</si>
  <si>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</si>
  <si>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</si>
  <si>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</si>
  <si>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</si>
  <si>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</si>
  <si>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</si>
  <si>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</si>
  <si>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</si>
  <si>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</si>
  <si>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</si>
  <si>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</si>
  <si>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</si>
  <si>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</si>
  <si>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</si>
  <si>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</si>
  <si>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</si>
  <si>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</si>
  <si>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</si>
  <si>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</si>
  <si>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</si>
  <si>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</si>
  <si>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</si>
  <si>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</si>
  <si>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</si>
  <si>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</si>
  <si>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</si>
  <si>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</si>
  <si>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</si>
  <si>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</si>
  <si>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</si>
  <si>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</si>
  <si>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</si>
  <si>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</si>
  <si>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</si>
  <si>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</si>
  <si>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</si>
  <si>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</si>
  <si>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</si>
  <si>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</si>
  <si>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</si>
  <si>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</si>
  <si>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</si>
  <si>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</si>
  <si>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</si>
  <si>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</si>
  <si>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</si>
  <si>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</si>
  <si>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</si>
  <si>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</si>
  <si>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</si>
  <si>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</si>
  <si>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</si>
  <si>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</si>
  <si>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</si>
  <si>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</si>
  <si>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</si>
  <si>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</si>
  <si>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</si>
  <si>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</si>
  <si>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</si>
  <si>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</si>
  <si>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</si>
  <si>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</si>
  <si>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</si>
  <si>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</si>
  <si>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</si>
  <si>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</si>
  <si>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</si>
  <si>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</si>
  <si>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</si>
  <si>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</si>
  <si>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</si>
  <si>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</si>
  <si>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</si>
  <si>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</si>
  <si>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</si>
  <si>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</si>
  <si>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</si>
  <si>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</si>
  <si>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</si>
  <si>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</si>
  <si>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</si>
  <si>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</si>
  <si>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</si>
  <si>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</si>
  <si>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</si>
  <si>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</si>
  <si>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</si>
  <si>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</si>
  <si>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</si>
  <si>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</si>
  <si>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</si>
  <si>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</si>
  <si>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</si>
  <si>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</si>
  <si>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</si>
  <si>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</si>
  <si>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</si>
  <si>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</si>
  <si>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</si>
  <si>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</si>
  <si>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</si>
  <si>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</si>
  <si>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</si>
  <si>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</si>
  <si>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</si>
  <si>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</si>
  <si>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</si>
  <si>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</si>
  <si>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</si>
  <si>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</si>
  <si>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</si>
  <si>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</si>
  <si>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</si>
  <si>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</si>
  <si>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</si>
  <si>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</si>
  <si>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</si>
  <si>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</si>
  <si>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</si>
  <si>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</si>
  <si>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</si>
  <si>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</si>
  <si>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</si>
  <si>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</si>
  <si>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</si>
  <si>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</si>
  <si>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</si>
  <si>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</si>
  <si>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</si>
  <si>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</si>
  <si>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</si>
  <si>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</si>
  <si>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</si>
  <si>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</si>
  <si>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</si>
  <si>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</si>
  <si>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</si>
  <si>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</si>
  <si>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</si>
  <si>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</si>
  <si>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</si>
  <si>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</si>
  <si>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</si>
  <si>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</si>
  <si>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</si>
  <si>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</si>
  <si>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</si>
  <si>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</si>
  <si>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</si>
  <si>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</si>
  <si>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</si>
  <si>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</si>
  <si>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</si>
  <si>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</si>
  <si>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</si>
  <si>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</si>
  <si>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</si>
  <si>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</si>
  <si>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</si>
  <si>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</si>
  <si>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</si>
  <si>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</si>
  <si>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</si>
  <si>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</si>
  <si>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</si>
  <si>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</si>
  <si>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</si>
  <si>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</si>
  <si>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</si>
  <si>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</si>
  <si>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</si>
  <si>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</si>
  <si>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</si>
  <si>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</si>
  <si>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</si>
  <si>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</si>
  <si>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</si>
  <si>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</si>
  <si>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</si>
  <si>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</si>
  <si>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</si>
  <si>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</si>
  <si>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</si>
  <si>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</si>
  <si>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</si>
  <si>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</si>
  <si>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</si>
  <si>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</si>
  <si>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</si>
  <si>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</si>
  <si>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</si>
  <si>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</si>
  <si>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</si>
  <si>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</si>
  <si>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</si>
  <si>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</si>
  <si>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</si>
  <si>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</si>
  <si>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</si>
  <si>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</si>
  <si>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</si>
  <si>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</si>
  <si>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</si>
  <si>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</si>
  <si>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</si>
  <si>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</si>
  <si>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</si>
  <si>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</si>
  <si>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</si>
  <si>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</si>
  <si>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</si>
  <si>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</si>
  <si>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</si>
  <si>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</si>
  <si>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</si>
  <si>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</si>
  <si>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</si>
  <si>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</si>
  <si>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</si>
  <si>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</si>
  <si>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</si>
  <si>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</si>
  <si>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</si>
  <si>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</si>
  <si>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</si>
  <si>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</si>
  <si>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</si>
  <si>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</si>
  <si>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</si>
  <si>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</si>
  <si>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</si>
  <si>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</si>
  <si>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</si>
  <si>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</si>
  <si>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</si>
  <si>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</si>
  <si>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</si>
  <si>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</si>
  <si>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</si>
  <si>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</si>
  <si>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</si>
  <si>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</si>
  <si>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</si>
  <si>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</si>
  <si>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</si>
  <si>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</si>
  <si>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</si>
  <si>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</si>
  <si>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</si>
  <si>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</si>
  <si>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</si>
  <si>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</si>
  <si>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</si>
  <si>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</si>
  <si>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</si>
  <si>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</si>
  <si>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</si>
  <si>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</si>
  <si>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</si>
  <si>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</si>
  <si>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</si>
  <si>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</si>
  <si>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</si>
  <si>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</si>
  <si>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</si>
  <si>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</si>
  <si>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</si>
  <si>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</si>
  <si>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</si>
  <si>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</si>
  <si>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</si>
  <si>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</si>
  <si>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</si>
  <si>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</si>
  <si>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</si>
  <si>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</si>
  <si>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</si>
  <si>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</si>
  <si>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</si>
  <si>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</si>
  <si>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</si>
  <si>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</si>
  <si>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</si>
  <si>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</si>
  <si>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</si>
  <si>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</si>
  <si>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</si>
  <si>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</si>
  <si>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</si>
  <si>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</si>
  <si>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</si>
  <si>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</si>
  <si>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</si>
  <si>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</si>
  <si>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</si>
  <si>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</si>
  <si>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</si>
  <si>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</si>
  <si>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</si>
  <si>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</si>
  <si>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</si>
  <si>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</si>
  <si>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</si>
  <si>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</si>
  <si>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</si>
  <si>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</si>
  <si>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</si>
  <si>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</si>
  <si>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</si>
  <si>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</si>
  <si>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</si>
  <si>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</si>
  <si>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</si>
  <si>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</si>
  <si>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</si>
  <si>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</si>
  <si>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</si>
  <si>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</si>
  <si>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</si>
  <si>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</si>
  <si>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</si>
  <si>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</si>
  <si>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</si>
  <si>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</si>
  <si>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</si>
  <si>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</si>
  <si>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</si>
  <si>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</si>
  <si>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</si>
  <si>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</si>
  <si>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</si>
  <si>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</si>
  <si>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</si>
  <si>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</si>
  <si>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</si>
  <si>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</si>
  <si>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</si>
  <si>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</si>
  <si>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</si>
  <si>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</si>
  <si>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</si>
  <si>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</si>
  <si>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</si>
  <si>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</si>
  <si>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</si>
  <si>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</si>
  <si>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</si>
  <si>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</si>
  <si>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</si>
  <si>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</si>
  <si>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</si>
  <si>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</si>
  <si>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</si>
  <si>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</si>
  <si>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</si>
  <si>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</si>
  <si>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</si>
  <si>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</si>
  <si>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</si>
  <si>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</si>
  <si>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</si>
  <si>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</si>
  <si>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</si>
  <si>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</si>
  <si>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</si>
  <si>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</si>
  <si>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</si>
  <si>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</si>
  <si>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</si>
  <si>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</si>
  <si>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</si>
  <si>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</si>
  <si>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</si>
  <si>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</si>
  <si>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</si>
  <si>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</si>
  <si>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</si>
  <si>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</si>
  <si>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</si>
  <si>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</si>
  <si>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</si>
  <si>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</si>
  <si>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</si>
  <si>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</si>
  <si>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</si>
  <si>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</si>
  <si>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</si>
  <si>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</si>
  <si>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</si>
  <si>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</si>
  <si>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</si>
  <si>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</si>
  <si>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</si>
  <si>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</si>
  <si>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</si>
  <si>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</si>
  <si>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</si>
  <si>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</si>
  <si>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</si>
  <si>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</si>
  <si>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</si>
  <si>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</si>
  <si>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</si>
  <si>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</si>
  <si>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</si>
  <si>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</si>
  <si>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</si>
  <si>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</si>
  <si>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</si>
  <si>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</si>
  <si>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</si>
  <si>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</si>
  <si>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</si>
  <si>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</si>
  <si>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</si>
  <si>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</si>
  <si>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</si>
  <si>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</si>
  <si>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</si>
  <si>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</si>
  <si>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</si>
  <si>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</si>
  <si>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</si>
  <si>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</si>
  <si>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</si>
  <si>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</si>
  <si>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</si>
  <si>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</si>
  <si>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</si>
  <si>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</si>
  <si>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</si>
  <si>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</si>
  <si>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</si>
  <si>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</si>
  <si>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</si>
  <si>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</si>
  <si>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</si>
  <si>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</si>
  <si>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</si>
  <si>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</si>
  <si>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</si>
  <si>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</si>
  <si>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</si>
  <si>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</si>
  <si>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</si>
  <si>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</si>
  <si>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</si>
  <si>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</si>
  <si>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</si>
  <si>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</si>
  <si>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</si>
  <si>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</si>
  <si>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</si>
  <si>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</si>
  <si>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</si>
  <si>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</si>
  <si>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</si>
  <si>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</si>
  <si>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</si>
  <si>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</si>
  <si>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</si>
  <si>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</si>
  <si>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</si>
  <si>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</si>
  <si>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</si>
  <si>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</si>
  <si>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</si>
  <si>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</si>
  <si>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</si>
  <si>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</si>
  <si>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</si>
  <si>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</si>
  <si>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</si>
  <si>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</si>
  <si>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</si>
  <si>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</si>
  <si>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</si>
  <si>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</si>
  <si>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</si>
  <si>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</si>
  <si>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</si>
  <si>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</si>
  <si>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</si>
  <si>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</si>
  <si>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</si>
  <si>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</si>
  <si>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</si>
  <si>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</si>
  <si>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</si>
  <si>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</si>
  <si>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</si>
  <si>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</si>
  <si>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</si>
  <si>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</si>
  <si>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</si>
  <si>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</si>
  <si>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</si>
  <si>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</si>
  <si>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</si>
  <si>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</si>
  <si>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</si>
  <si>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</si>
  <si>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</si>
  <si>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</si>
  <si>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</si>
  <si>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</si>
  <si>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</si>
  <si>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</si>
  <si>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</si>
  <si>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</si>
  <si>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</si>
  <si>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</si>
  <si>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</si>
  <si>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</si>
  <si>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</si>
  <si>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</si>
  <si>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</si>
  <si>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</si>
  <si>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</si>
  <si>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</si>
  <si>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</si>
  <si>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</si>
  <si>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</si>
  <si>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</si>
  <si>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</si>
  <si>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</si>
  <si>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</si>
  <si>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</si>
  <si>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</si>
  <si>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</si>
  <si>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</si>
  <si>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</si>
  <si>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</si>
  <si>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</si>
  <si>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</si>
  <si>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</si>
  <si>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</si>
  <si>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</si>
  <si>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</si>
  <si>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</si>
  <si>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</si>
  <si>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</si>
  <si>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</si>
  <si>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</si>
  <si>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</si>
  <si>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</si>
  <si>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</si>
  <si>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</si>
  <si>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</si>
  <si>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</si>
  <si>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</si>
  <si>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</si>
  <si>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</si>
  <si>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</si>
  <si>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</si>
  <si>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</si>
  <si>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</si>
  <si>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</si>
  <si>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</si>
  <si>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</si>
  <si>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</si>
  <si>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</si>
  <si>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</si>
  <si>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</si>
  <si>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</si>
  <si>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</si>
  <si>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</si>
  <si>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</si>
  <si>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</si>
  <si>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</si>
  <si>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</si>
  <si>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</si>
  <si>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</si>
  <si>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</si>
  <si>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</si>
  <si>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</si>
  <si>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</si>
  <si>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</si>
  <si>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</si>
  <si>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</si>
  <si>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</si>
  <si>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</si>
  <si>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</si>
  <si>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</si>
  <si>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</si>
  <si>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</si>
  <si>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</si>
  <si>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</si>
  <si>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</si>
  <si>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</si>
  <si>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</si>
  <si>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</si>
  <si>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</si>
  <si>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</si>
  <si>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</si>
  <si>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</si>
  <si>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</si>
  <si>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</si>
  <si>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</si>
  <si>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</si>
  <si>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</si>
  <si>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</si>
  <si>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</si>
  <si>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</si>
  <si>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</si>
  <si>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</si>
  <si>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</si>
  <si>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</si>
  <si>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</si>
  <si>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</si>
  <si>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</si>
  <si>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</si>
  <si>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</si>
  <si>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</si>
  <si>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</si>
  <si>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</si>
  <si>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</si>
  <si>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</si>
  <si>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</si>
  <si>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</si>
  <si>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</si>
  <si>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</si>
  <si>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</si>
  <si>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</si>
  <si>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</si>
  <si>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</si>
  <si>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</si>
  <si>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</si>
  <si>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</si>
  <si>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</si>
  <si>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</si>
  <si>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</si>
  <si>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</si>
  <si>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</si>
  <si>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</si>
  <si>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</si>
  <si>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</si>
  <si>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</si>
  <si>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</si>
  <si>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</si>
  <si>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</si>
  <si>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</si>
  <si>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</si>
  <si>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</si>
  <si>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</si>
  <si>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</si>
  <si>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</si>
  <si>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</si>
  <si>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</si>
  <si>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</si>
  <si>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</si>
  <si>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</si>
  <si>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</si>
  <si>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</si>
  <si>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</si>
  <si>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</si>
  <si>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</si>
  <si>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</si>
  <si>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</si>
  <si>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</si>
  <si>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</si>
  <si>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</si>
  <si>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</si>
  <si>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</si>
  <si>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</si>
  <si>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</si>
  <si>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</si>
  <si>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</si>
  <si>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</si>
  <si>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</si>
  <si>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</si>
  <si>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</si>
  <si>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</si>
  <si>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</si>
  <si>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</si>
  <si>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</si>
  <si>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</si>
  <si>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</si>
  <si>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</si>
  <si>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</si>
  <si>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</si>
  <si>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</si>
  <si>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</si>
  <si>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</si>
  <si>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</si>
  <si>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</si>
  <si>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</si>
  <si>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</si>
  <si>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</si>
  <si>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</si>
  <si>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</si>
  <si>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</si>
  <si>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</si>
  <si>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</si>
  <si>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</si>
  <si>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</si>
  <si>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</si>
  <si>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</si>
  <si>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</si>
  <si>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</si>
  <si>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</si>
  <si>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</si>
  <si>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</si>
  <si>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</si>
  <si>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</si>
  <si>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</si>
  <si>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</si>
  <si>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</si>
  <si>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</si>
  <si>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</si>
  <si>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</si>
  <si>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</si>
  <si>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</si>
  <si>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</si>
  <si>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</si>
  <si>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</si>
  <si>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</si>
  <si>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</si>
  <si>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</si>
  <si>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</si>
  <si>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</si>
  <si>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</si>
  <si>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</si>
  <si>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</si>
  <si>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</si>
  <si>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</si>
  <si>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</si>
  <si>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</si>
  <si>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</si>
  <si>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</si>
  <si>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</si>
  <si>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</si>
  <si>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</si>
  <si>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</si>
  <si>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</si>
  <si>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</si>
  <si>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</si>
  <si>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</si>
  <si>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</si>
  <si>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</si>
  <si>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</si>
  <si>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</si>
  <si>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</si>
  <si>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</si>
  <si>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</si>
  <si>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</si>
  <si>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</si>
  <si>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</si>
  <si>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</si>
  <si>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</si>
  <si>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</si>
  <si>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</si>
  <si>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</si>
  <si>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</si>
  <si>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</si>
  <si>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</si>
  <si>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</si>
  <si>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</si>
  <si>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</si>
  <si>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</si>
  <si>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</si>
  <si>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</si>
  <si>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</si>
  <si>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</si>
  <si>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</si>
  <si>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</si>
  <si>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</si>
  <si>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</si>
  <si>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</si>
  <si>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</si>
  <si>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</si>
  <si>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</si>
  <si>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</si>
  <si>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</si>
  <si>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</si>
  <si>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</si>
  <si>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</si>
  <si>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</si>
  <si>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</si>
  <si>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</si>
  <si>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</si>
  <si>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</si>
  <si>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</si>
  <si>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</si>
  <si>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</si>
  <si>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</si>
  <si>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</si>
  <si>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</si>
  <si>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</si>
  <si>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</si>
  <si>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</si>
  <si>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</si>
  <si>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</si>
  <si>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</si>
  <si>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</si>
  <si>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</si>
  <si>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</si>
  <si>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</si>
  <si>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</si>
  <si>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</si>
  <si>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</si>
  <si>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</si>
  <si>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</si>
  <si>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</si>
  <si>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</si>
  <si>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</si>
  <si>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</si>
  <si>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</si>
  <si>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</si>
  <si>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</si>
  <si>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</si>
  <si>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</si>
  <si>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</si>
  <si>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</si>
  <si>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</si>
  <si>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</si>
  <si>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</si>
  <si>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</si>
  <si>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</si>
  <si>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</si>
  <si>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</si>
  <si>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</si>
  <si>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</si>
  <si>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</si>
  <si>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</si>
  <si>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</si>
  <si>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</si>
  <si>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</si>
  <si>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</si>
  <si>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</si>
  <si>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</si>
  <si>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</si>
  <si>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</si>
  <si>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</si>
  <si>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</si>
  <si>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</si>
  <si>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</si>
  <si>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</si>
  <si>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</si>
  <si>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</si>
  <si>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</si>
  <si>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</si>
  <si>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</si>
  <si>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</si>
  <si>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</si>
  <si>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</si>
  <si>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</si>
  <si>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</si>
  <si>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</si>
  <si>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</si>
  <si>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</si>
  <si>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</si>
  <si>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</si>
  <si>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</si>
  <si>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</si>
  <si>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</si>
  <si>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</si>
  <si>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</si>
  <si>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</si>
  <si>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</si>
  <si>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</si>
  <si>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</si>
  <si>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</si>
  <si>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</si>
  <si>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</si>
  <si>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</si>
  <si>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</si>
  <si>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</si>
  <si>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</si>
  <si>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</si>
  <si>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</si>
  <si>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</si>
  <si>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</si>
  <si>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</si>
  <si>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</si>
  <si>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</si>
  <si>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</si>
  <si>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</si>
  <si>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</si>
  <si>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</si>
  <si>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</si>
  <si>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</si>
  <si>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</si>
  <si>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</si>
  <si>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</si>
  <si>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</si>
  <si>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</si>
  <si>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</si>
  <si>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</si>
  <si>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</si>
  <si>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</si>
  <si>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</si>
  <si>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</si>
  <si>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</si>
  <si>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</si>
  <si>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</si>
  <si>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</si>
  <si>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</si>
  <si>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</si>
  <si>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</si>
  <si>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</si>
  <si>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</si>
  <si>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</si>
  <si>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</si>
  <si>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</si>
  <si>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</si>
  <si>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</si>
  <si>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</si>
  <si>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</si>
  <si>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</si>
  <si>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</si>
  <si>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</si>
  <si>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</si>
  <si>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</si>
  <si>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</si>
  <si>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</si>
  <si>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</si>
  <si>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</si>
  <si>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</si>
  <si>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</si>
  <si>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</si>
  <si>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</si>
  <si>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</si>
  <si>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</si>
  <si>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</si>
  <si>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</si>
  <si>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</si>
  <si>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</si>
  <si>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</si>
  <si>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</si>
  <si>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</si>
  <si>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</si>
  <si>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</si>
  <si>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</si>
  <si>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</si>
  <si>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</si>
  <si>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</si>
  <si>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</si>
  <si>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</si>
  <si>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</si>
  <si>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</si>
  <si>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</si>
  <si>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</si>
  <si>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</si>
  <si>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</si>
  <si>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</si>
  <si>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</si>
  <si>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</si>
  <si>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</si>
  <si>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</si>
  <si>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</si>
  <si>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</si>
  <si>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</si>
  <si>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</si>
  <si>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</si>
  <si>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</si>
  <si>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</si>
  <si>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</si>
  <si>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</si>
  <si>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</si>
  <si>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</si>
  <si>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</si>
  <si>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</si>
  <si>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</si>
  <si>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</si>
  <si>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</si>
  <si>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</si>
  <si>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</si>
  <si>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</si>
  <si>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</si>
  <si>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</si>
  <si>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</si>
  <si>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</si>
  <si>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</si>
  <si>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</si>
  <si>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</si>
  <si>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</si>
  <si>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</si>
  <si>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</si>
  <si>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</si>
  <si>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</si>
  <si>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</si>
  <si>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</si>
  <si>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</si>
  <si>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</si>
  <si>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</si>
  <si>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</si>
  <si>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</si>
  <si>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</si>
  <si>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</si>
  <si>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</si>
  <si>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</si>
  <si>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</si>
  <si>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</si>
  <si>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</si>
  <si>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</si>
  <si>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</si>
  <si>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</si>
  <si>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</si>
  <si>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</si>
  <si>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</si>
  <si>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</si>
  <si>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</si>
  <si>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</si>
  <si>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</si>
  <si>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</si>
  <si>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</si>
  <si>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</si>
  <si>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</si>
  <si>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</si>
  <si>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</si>
  <si>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</si>
  <si>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</si>
  <si>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</si>
  <si>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</si>
  <si>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</si>
  <si>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</si>
  <si>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</si>
  <si>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</si>
  <si>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</si>
  <si>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</si>
  <si>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</si>
  <si>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</si>
  <si>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</si>
  <si>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</si>
  <si>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</si>
  <si>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</si>
  <si>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</si>
  <si>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</si>
  <si>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</si>
  <si>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</si>
  <si>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</si>
  <si>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</si>
  <si>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</si>
  <si>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</si>
  <si>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</si>
  <si>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</si>
  <si>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</si>
  <si>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</si>
  <si>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</si>
  <si>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</si>
  <si>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</si>
  <si>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</si>
  <si>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</si>
  <si>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</si>
  <si>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</si>
  <si>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</si>
  <si>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</si>
  <si>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</si>
  <si>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</si>
  <si>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</si>
  <si>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</si>
  <si>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</si>
  <si>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</si>
  <si>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</si>
  <si>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</si>
  <si>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</si>
  <si>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</si>
  <si>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</si>
  <si>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</si>
  <si>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</si>
  <si>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</si>
  <si>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</si>
  <si>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</si>
  <si>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</si>
  <si>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</si>
  <si>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Ⅸ-八达岭开发区</t>
  </si>
  <si>
    <t>工业</t>
    <phoneticPr fontId="3" type="noConversion"/>
  </si>
  <si>
    <t>是</t>
  </si>
  <si>
    <t>地上</t>
  </si>
  <si>
    <t>成新度</t>
  </si>
  <si>
    <t>面积</t>
    <phoneticPr fontId="3" type="noConversion"/>
  </si>
  <si>
    <t>钢</t>
  </si>
  <si>
    <t>钢</t>
    <phoneticPr fontId="3" type="noConversion"/>
  </si>
  <si>
    <t>混合</t>
    <phoneticPr fontId="3" type="noConversion"/>
  </si>
  <si>
    <t>租金</t>
    <phoneticPr fontId="3" type="noConversion"/>
  </si>
  <si>
    <t>建筑物</t>
    <phoneticPr fontId="3" type="noConversion"/>
  </si>
  <si>
    <t>土地</t>
    <phoneticPr fontId="3" type="noConversion"/>
  </si>
  <si>
    <t>收益法 (元)</t>
  </si>
  <si>
    <t>自定义容积率</t>
  </si>
  <si>
    <t>未包含在土地购买价格中</t>
  </si>
  <si>
    <t>已包含在土地取得成本中</t>
  </si>
  <si>
    <t>不临65条商业街</t>
  </si>
  <si>
    <t>较好</t>
  </si>
  <si>
    <t>一般</t>
  </si>
  <si>
    <t>押一</t>
  </si>
  <si>
    <t>生产用房</t>
  </si>
  <si>
    <t>否</t>
  </si>
  <si>
    <t>成本法 (元)</t>
  </si>
  <si>
    <t>现房</t>
  </si>
  <si>
    <t>项目全部</t>
  </si>
  <si>
    <t>总价</t>
  </si>
  <si>
    <t>成本比率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</si>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</sst>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104419</xdr:colOff>
      <xdr:row>15</xdr:row>
      <xdr:rowOff>56821</xdr:rowOff>
    </xdr:to>
    <xdr:pic>
      <xdr:nvPicPr>
        <xdr:cNvPr id="2" name="图片 1">
          <a:extLst>
            <a:ext uri="{FF2B5EF4-FFF2-40B4-BE49-F238E27FC236}">
              <a16:creationId xmlns:a16="http://schemas.microsoft.com/office/drawing/2014/main" id="{CBAAAE19-F6D5-7D1D-799B-85D12E8C32D4}"/>
            </a:ext>
          </a:extLst>
        </xdr:cNvPr>
        <xdr:cNvPicPr>
          <a:picLocks noChangeAspect="1"/>
        </xdr:cNvPicPr>
      </xdr:nvPicPr>
      <xdr:blipFill>
        <a:blip xmlns:r="http://schemas.openxmlformats.org/officeDocument/2006/relationships" r:embed="rId1"/>
        <a:stretch>
          <a:fillRect/>
        </a:stretch>
      </xdr:blipFill>
      <xdr:spPr>
        <a:xfrm>
          <a:off x="0" y="0"/>
          <a:ext cx="2847619" cy="2628571"/>
        </a:xfrm>
        <a:prstGeom prst="rect">
          <a:avLst/>
        </a:prstGeom>
      </xdr:spPr>
    </xdr:pic>
    <xdr:clientData/>
  </xdr:twoCellAnchor>
  <xdr:twoCellAnchor editAs="oneCell">
    <xdr:from>
      <xdr:col>5</xdr:col>
      <xdr:colOff>428625</xdr:colOff>
      <xdr:row>0</xdr:row>
      <xdr:rowOff>0</xdr:rowOff>
    </xdr:from>
    <xdr:to>
      <xdr:col>14</xdr:col>
      <xdr:colOff>370711</xdr:colOff>
      <xdr:row>27</xdr:row>
      <xdr:rowOff>8945</xdr:rowOff>
    </xdr:to>
    <xdr:pic>
      <xdr:nvPicPr>
        <xdr:cNvPr id="3" name="图片 2">
          <a:extLst>
            <a:ext uri="{FF2B5EF4-FFF2-40B4-BE49-F238E27FC236}">
              <a16:creationId xmlns:a16="http://schemas.microsoft.com/office/drawing/2014/main" id="{44BA94EB-3702-5524-D33F-7134D8CAA956}"/>
            </a:ext>
          </a:extLst>
        </xdr:cNvPr>
        <xdr:cNvPicPr>
          <a:picLocks noChangeAspect="1"/>
        </xdr:cNvPicPr>
      </xdr:nvPicPr>
      <xdr:blipFill>
        <a:blip xmlns:r="http://schemas.openxmlformats.org/officeDocument/2006/relationships" r:embed="rId2"/>
        <a:stretch>
          <a:fillRect/>
        </a:stretch>
      </xdr:blipFill>
      <xdr:spPr>
        <a:xfrm>
          <a:off x="3857625" y="0"/>
          <a:ext cx="6114286" cy="4638095"/>
        </a:xfrm>
        <a:prstGeom prst="rect">
          <a:avLst/>
        </a:prstGeom>
      </xdr:spPr>
    </xdr:pic>
    <xdr:clientData/>
  </xdr:twoCellAnchor>
  <xdr:twoCellAnchor editAs="oneCell">
    <xdr:from>
      <xdr:col>0</xdr:col>
      <xdr:colOff>0</xdr:colOff>
      <xdr:row>15</xdr:row>
      <xdr:rowOff>57150</xdr:rowOff>
    </xdr:from>
    <xdr:to>
      <xdr:col>5</xdr:col>
      <xdr:colOff>351952</xdr:colOff>
      <xdr:row>25</xdr:row>
      <xdr:rowOff>133126</xdr:rowOff>
    </xdr:to>
    <xdr:pic>
      <xdr:nvPicPr>
        <xdr:cNvPr id="4" name="图片 3">
          <a:extLst>
            <a:ext uri="{FF2B5EF4-FFF2-40B4-BE49-F238E27FC236}">
              <a16:creationId xmlns:a16="http://schemas.microsoft.com/office/drawing/2014/main" id="{60F0DD12-3CDB-F420-CACD-B6BDE86DCBFF}"/>
            </a:ext>
          </a:extLst>
        </xdr:cNvPr>
        <xdr:cNvPicPr>
          <a:picLocks noChangeAspect="1"/>
        </xdr:cNvPicPr>
      </xdr:nvPicPr>
      <xdr:blipFill>
        <a:blip xmlns:r="http://schemas.openxmlformats.org/officeDocument/2006/relationships" r:embed="rId3"/>
        <a:stretch>
          <a:fillRect/>
        </a:stretch>
      </xdr:blipFill>
      <xdr:spPr>
        <a:xfrm>
          <a:off x="0" y="2628900"/>
          <a:ext cx="3780952"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估价对象为北京市房地产，为所有。根据《国有土地使用证》[]，估价对象（分摊）出让国有建设用地使用权面积为17852.8平方米，建筑面积为1534.92平方米。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估价对象为北京市房地产,为开发建设的，该项目尚在开发建设中。根据《国有土地使用证》[]，估价对象（分摊）出让国有建设用地使用权面积为17852.8平方米，规划建筑面积为1534.92平方米。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2025年2月13日（评估专业人员实地查勘之日）</v>
      </c>
    </row>
    <row r="13" spans="1:2">
      <c r="A13" s="1119" t="s">
        <v>529</v>
      </c>
      <c r="B13" s="1120"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1262</v>
      </c>
    </row>
    <row r="21" spans="1:2">
      <c r="A21" s="1119" t="s">
        <v>537</v>
      </c>
      <c r="B21" s="1120">
        <f ca="1">'预评函-2'!D7</f>
        <v>8222</v>
      </c>
    </row>
    <row r="22" spans="1:2">
      <c r="A22" s="1119" t="s">
        <v>538</v>
      </c>
      <c r="B22" s="1120" t="str">
        <f ca="1">'预评函-2'!D6</f>
        <v>壹仟贰佰陆拾贰万元整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1262</v>
      </c>
    </row>
    <row r="31" spans="1:2">
      <c r="A31" s="1119" t="s">
        <v>576</v>
      </c>
      <c r="B31" s="1120">
        <f ca="1">'预评函-2'!D15</f>
        <v>8222</v>
      </c>
    </row>
    <row r="32" spans="1:2">
      <c r="A32" s="1119" t="s">
        <v>543</v>
      </c>
      <c r="B32" s="1120" t="str">
        <f ca="1">'预评函-2'!D14</f>
        <v>壹仟贰佰陆拾贰万元整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1534.92</v>
      </c>
    </row>
    <row r="44" spans="1:2">
      <c r="A44" s="1119" t="s">
        <v>575</v>
      </c>
      <c r="B44" s="1120" t="str">
        <f>'预评函-3'!C2</f>
        <v>(分摊)土地面积</v>
      </c>
    </row>
    <row r="45" spans="1:2">
      <c r="A45" s="1119" t="s">
        <v>547</v>
      </c>
      <c r="B45" s="1120">
        <f>'预评函-3'!C4</f>
        <v>17852.8</v>
      </c>
    </row>
    <row r="46" spans="1:2">
      <c r="A46" s="1119" t="s">
        <v>573</v>
      </c>
      <c r="B46" s="1120" t="str">
        <f>'预评函-3'!D2</f>
        <v>出让国有建设用地使用权价值</v>
      </c>
    </row>
    <row r="47" spans="1:2">
      <c r="A47" s="1119" t="s">
        <v>548</v>
      </c>
      <c r="B47" s="1120">
        <f ca="1">'预评函-3'!D4</f>
        <v>1021</v>
      </c>
    </row>
    <row r="48" spans="1:2">
      <c r="A48" s="1119" t="s">
        <v>549</v>
      </c>
      <c r="B48" s="1120">
        <f ca="1">'预评函-3'!E4</f>
        <v>6652</v>
      </c>
    </row>
    <row r="49" spans="1:2">
      <c r="A49" s="1119" t="s">
        <v>550</v>
      </c>
      <c r="B49" s="1120" t="str">
        <f ca="1">'预评函-3'!D5</f>
        <v>壹仟零贰拾壹万元整</v>
      </c>
    </row>
    <row r="50" spans="1:2">
      <c r="A50" s="1119" t="s">
        <v>574</v>
      </c>
      <c r="B50" s="1120" t="str">
        <f>'预评函-3'!F2</f>
        <v>在建建筑物价值</v>
      </c>
    </row>
    <row r="51" spans="1:2">
      <c r="A51" s="1119" t="s">
        <v>551</v>
      </c>
      <c r="B51" s="1120">
        <f ca="1">'预评函-3'!F4</f>
        <v>241</v>
      </c>
    </row>
    <row r="52" spans="1:2">
      <c r="A52" s="1119" t="s">
        <v>552</v>
      </c>
      <c r="B52" s="1120">
        <f ca="1">'预评函-3'!G4</f>
        <v>1570</v>
      </c>
    </row>
    <row r="53" spans="1:2">
      <c r="A53" s="1119" t="s">
        <v>580</v>
      </c>
      <c r="B53" s="1120" t="str">
        <f ca="1">'预评函-3'!F5</f>
        <v>贰佰肆拾壹万元整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45701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45701</v>
      </c>
      <c r="C3" s="2186" t="s">
        <v>2171</v>
      </c>
      <c r="D3" s="2185">
        <v>45701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6"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53315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20.86</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1534.92</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17852.8</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17852.8</v>
      </c>
      <c r="B3" s="11">
        <f>IF(C3="否",G5-AT5,G5)</f>
        <v>1534.92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1534.92</v>
      </c>
      <c r="H5" s="13">
        <f t="shared" ref="H5:AT5" si="0">SUM(H13:H656)</f>
        <v>1534.92</v>
      </c>
      <c r="I5" s="13">
        <f t="shared" si="0"/>
        <v>1534.92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1534.92</v>
      </c>
      <c r="BA5" s="15">
        <f t="shared" si="1"/>
        <v>1534.92</v>
      </c>
      <c r="BB5" s="15">
        <f t="shared" si="1"/>
        <v>1534.92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17852.8</v>
      </c>
      <c r="F6" s="13" t="s">
        <v>0</v>
      </c>
      <c r="G6" s="13" t="s">
        <v>1</v>
      </c>
      <c r="H6" s="17">
        <f>SUMIF(I$12:AB$12,"总值",I6:AB6)</f>
        <v>17852.8</v>
      </c>
      <c r="I6" s="13">
        <f t="shared" ref="I6:AB6" si="2">ROUND($A$3*I5/$B$3,2)</f>
        <v>17852.8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17852.8</v>
      </c>
      <c r="AZ6" s="13" t="s">
        <v>2</v>
      </c>
      <c r="BA6" s="13">
        <f>ROUND($AY$6*BA5/$AZ$5,2)</f>
        <v>17852.8</v>
      </c>
      <c r="BB6" s="13">
        <f>ROUND($AY$6*BB5/$AZ$5,2)</f>
        <v>17852.8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3401</v>
      </c>
      <c r="D13" s="1513" t="s">
        <v>3402</v>
      </c>
      <c r="E13" s="13">
        <f>IF($C$3="是",ROUND($A$3*G13/$B$3,2),ROUND($A$3*(G13-AT13)/$B$3,2))</f>
        <v>17852.8</v>
      </c>
      <c r="F13" s="29"/>
      <c r="G13" s="30">
        <f>H13+AC13+AT13</f>
        <v>1534.92</v>
      </c>
      <c r="H13" s="17">
        <f>SUMIF(I$12:AB$12,"总值",I13:AB13)</f>
        <v>1534.92</v>
      </c>
      <c r="I13" s="1514">
        <v>1534.92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17852.8</v>
      </c>
      <c r="AZ13" s="13">
        <f>BA13+BL13</f>
        <v>1534.92</v>
      </c>
      <c r="BA13" s="13">
        <f>SUM(BB13:BK13)</f>
        <v>1534.92</v>
      </c>
      <c r="BB13" s="13">
        <f>IF($D13="是",I13-J13,0)</f>
        <v>1534.92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12" sqref="L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17852.8</v>
      </c>
      <c r="E3" s="41">
        <f>'数据-基础表'!AZ5</f>
        <v>1534.92</v>
      </c>
      <c r="F3" s="2439"/>
      <c r="G3" s="42"/>
      <c r="H3" s="43" t="s">
        <v>1106</v>
      </c>
      <c r="I3" s="802">
        <f>ROUND('数据-基础表'!B3/'数据-基础表'!A3,2)</f>
        <v>0.09</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0.09</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0.09</v>
      </c>
      <c r="J5" s="2439"/>
      <c r="K5" s="2439"/>
      <c r="L5" s="2439"/>
      <c r="M5" s="2439"/>
      <c r="N5" s="2439"/>
      <c r="O5" s="2439"/>
      <c r="P5" s="2439"/>
    </row>
    <row r="6" spans="1:16" ht="15" thickBot="1">
      <c r="A6" s="1527"/>
      <c r="B6" s="3239" t="s">
        <v>1111</v>
      </c>
      <c r="C6" s="3239"/>
      <c r="D6" s="43">
        <f>ROUND($D$3*E6/$E$3,2)</f>
        <v>17852.8</v>
      </c>
      <c r="E6" s="44">
        <f>E3-E5</f>
        <v>1534.92</v>
      </c>
      <c r="F6" s="2439"/>
      <c r="G6" s="1529" t="s">
        <v>1112</v>
      </c>
      <c r="H6" s="45" t="s">
        <v>1113</v>
      </c>
      <c r="I6" s="2435">
        <f>ROUND(F31/D31,2)</f>
        <v>0.09</v>
      </c>
      <c r="J6" s="2439"/>
      <c r="K6" s="2439"/>
      <c r="L6" s="2439"/>
      <c r="M6" s="2439"/>
      <c r="N6" s="2439"/>
      <c r="O6" s="2439"/>
      <c r="P6" s="2439"/>
    </row>
    <row r="7" spans="1:16" ht="15.75" thickBot="1">
      <c r="A7" s="3231"/>
      <c r="B7" s="3232"/>
      <c r="C7" s="3233"/>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17852.8</v>
      </c>
      <c r="E8" s="46">
        <f>SUMIF('数据-基础表'!BB10:BK10,"地上",'数据-基础表'!BB5:BK5)</f>
        <v>1534.92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17852.8</v>
      </c>
      <c r="E16" s="48">
        <f>SUM(E8:E15)</f>
        <v>1534.92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17852.8</v>
      </c>
      <c r="E19" s="51">
        <f t="shared" ref="E19:E26" si="1">SUM(F19:G19)</f>
        <v>1534.92</v>
      </c>
      <c r="F19" s="2558">
        <f>'数据-基础表'!I13</f>
        <v>1534.92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17852.8</v>
      </c>
      <c r="S19" s="51">
        <f t="shared" si="5"/>
        <v>1534.92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17852.8</v>
      </c>
      <c r="E27" s="1073">
        <f>IF(SUM(E19:E26)='数据-基础表'!BA5,SUM(E19:E26),IF(F27="地上面积有误","面积有误","地下面积有误"))</f>
        <v>1534.92</v>
      </c>
      <c r="F27" s="1072">
        <f>IF(SUM(F19:F26)=E8,SUM(F19:F26),"地上面积有误")</f>
        <v>1534.92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17852.8</v>
      </c>
      <c r="S27" s="43">
        <f>IF(SUM(S19:S26)=$E$3,SUM(S19:S26),SUM(S19:S26)&amp;"误差"&amp;ROUND(SUM(S19:S26)-E3,2))</f>
        <v>1534.92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17852.8</v>
      </c>
      <c r="E31" s="643">
        <f>E27+E30</f>
        <v>1534.92</v>
      </c>
      <c r="F31" s="644">
        <f>F27+F30</f>
        <v>1534.92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29"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53315</v>
      </c>
      <c r="F6" s="61">
        <f>SUMIF(项目基本情况!C$12:I$12,C6,项目基本情况!C$15:I$15)</f>
        <v>20.86</v>
      </c>
      <c r="G6" s="62">
        <f>IF(ISERROR(ROUND(POWER(1+H6,D6-F6)*(POWER(1+H6,F6)-1)/(POWER(1+H6,D6)-1),3)),0,ROUND(POWER(1+H6,D6-F6)*(POWER(1+H6,F6)-1)/(POWER(1+H6,D6)-1),3))</f>
        <v>0.67600000000000005</v>
      </c>
      <c r="H6" s="691">
        <v>4.4999999999999998E-2</v>
      </c>
      <c r="I6" s="691">
        <v>0.05</v>
      </c>
      <c r="J6" s="63">
        <v>7.0000000000000007E-2</v>
      </c>
      <c r="K6" s="970">
        <f>SUMIF('数据-汇总表'!C$19:C$33,A6,'数据-汇总表'!E$19:E$33)</f>
        <v>1534.92</v>
      </c>
      <c r="L6" s="692">
        <v>2500</v>
      </c>
      <c r="M6" s="64">
        <f t="shared" ref="M6:M14" si="0">ROUND(K6*L6/10000,0)</f>
        <v>384</v>
      </c>
      <c r="N6" s="690">
        <v>0.63</v>
      </c>
      <c r="O6" s="64" t="str">
        <f>IF($N$5="成新度","——",ROUND(M6*N6,0))</f>
        <v>——</v>
      </c>
      <c r="P6" s="65" t="str">
        <f>IF($N$5="成新度","——",M6-O6)</f>
        <v>——</v>
      </c>
      <c r="Q6" s="693">
        <v>0.05</v>
      </c>
      <c r="R6" s="66">
        <f ca="1">SUMIF('数据-汇总表'!C$19:C$33,A6,'数据-汇总表'!R$19:R$27)</f>
        <v>17852.8</v>
      </c>
      <c r="S6" s="49">
        <f>IF('数据-汇总表'!$I$17="按面积比例",SUMIF('数据-汇总表'!C$19:C$33,A6,'数据-汇总表'!K$19:K$33),SUMIF('数据-汇总表'!C$19:C$33,A6,'数据-汇总表'!N$19:N$33))</f>
        <v>0</v>
      </c>
      <c r="T6" s="1092">
        <f>ROUND($L$14*S6/10000,0)</f>
        <v>0</v>
      </c>
      <c r="U6" s="3127">
        <v>1.66</v>
      </c>
      <c r="V6" s="67">
        <v>1.4999999999999999E-2</v>
      </c>
      <c r="W6" s="67">
        <v>0.1</v>
      </c>
      <c r="X6" s="979"/>
      <c r="Y6" s="68">
        <f>N6</f>
        <v>0.63</v>
      </c>
      <c r="Z6" s="69"/>
      <c r="AA6" s="63"/>
      <c r="AB6" s="63"/>
      <c r="AC6" s="979"/>
      <c r="AD6" s="70"/>
      <c r="AE6" s="980">
        <f ca="1">IF(AN6="",0,SUMIF(INDIRECT("'"&amp;AN6&amp;"'"&amp;"!E:E"),$AE$5,INDIRECT("'"&amp;AN6&amp;"'"&amp;"!F:F")))</f>
        <v>20.86</v>
      </c>
      <c r="AF6" s="74"/>
      <c r="AG6" s="130">
        <f>IF(AF6="",0,AE6-AF6)</f>
        <v>0</v>
      </c>
      <c r="AH6" s="71"/>
      <c r="AI6" s="73">
        <v>365</v>
      </c>
      <c r="AJ6" s="74"/>
      <c r="AK6" s="75">
        <v>2E-3</v>
      </c>
      <c r="AL6" s="76">
        <v>1E-3</v>
      </c>
      <c r="AM6" s="77">
        <v>0.01</v>
      </c>
      <c r="AN6" s="1589" t="s">
        <v>3412</v>
      </c>
      <c r="AO6" s="50">
        <f ca="1">SUMIF(INDIRECT("'"&amp;AN6&amp;"'"&amp;"!A:A"),"总价",INDIRECT("'"&amp;AN6&amp;"'"&amp;"!B:B"))</f>
        <v>986.55200000000002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0.67600000000000005</v>
      </c>
      <c r="H16" s="84">
        <f>ROUND(SUMPRODUCT(H6:H13,K6:K13)/SUMPRODUCT((H6:H13&gt;0)*(K6:K13)),3)</f>
        <v>4.4999999999999998E-2</v>
      </c>
      <c r="I16" s="85"/>
      <c r="J16" s="85"/>
      <c r="K16" s="86">
        <f>SUM(K6:K15)</f>
        <v>1534.92</v>
      </c>
      <c r="L16" s="87">
        <f>ROUND(M16*10000/SUM(K6:K14),0)</f>
        <v>2502</v>
      </c>
      <c r="M16" s="87">
        <f>SUM(M6:M14)</f>
        <v>384</v>
      </c>
      <c r="N16" s="88">
        <f>ROUND(SUMPRODUCT(M6:M14,N6:N14)/M16,3)</f>
        <v>0.63</v>
      </c>
      <c r="O16" s="87">
        <f>SUM(O6:O14)</f>
        <v>0</v>
      </c>
      <c r="P16" s="87">
        <f>SUM(P6:P14)</f>
        <v>0</v>
      </c>
      <c r="Q16" s="89">
        <f>ROUND(SUMPRODUCT(Q6:Q13,K6:K13)/SUMPRODUCT((Q6:Q13&gt;0)*(K6:K13)),2)</f>
        <v>0.05</v>
      </c>
      <c r="R16" s="974">
        <f ca="1">SUM(R6:R13)</f>
        <v>17852.8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490" t="s">
        <v>3405</v>
      </c>
      <c r="N18" s="2449"/>
      <c r="O18" s="2449"/>
      <c r="P18" s="2449"/>
      <c r="Q18" s="2449"/>
      <c r="R18" s="2449"/>
      <c r="S18" s="2449"/>
      <c r="T18" s="2449"/>
      <c r="U18" s="3490" t="s">
        <v>3409</v>
      </c>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v>1449.97</v>
      </c>
      <c r="N19" s="3490" t="s">
        <v>3407</v>
      </c>
      <c r="O19" s="2449">
        <v>70</v>
      </c>
      <c r="P19" s="2449">
        <v>2001</v>
      </c>
      <c r="Q19" s="2449">
        <f>ROUND(1*0.98-(2025-2001)/70,2)</f>
        <v>0.64</v>
      </c>
      <c r="R19" s="2449">
        <f>Q19*M19</f>
        <v>927.98080000000004</v>
      </c>
      <c r="S19" s="2449"/>
      <c r="T19" s="3490" t="s">
        <v>3410</v>
      </c>
      <c r="U19" s="2449">
        <v>0.5</v>
      </c>
      <c r="V19" s="2449">
        <f>U19*(M19+M20)</f>
        <v>767.46</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v>84.95</v>
      </c>
      <c r="N20" s="3490" t="s">
        <v>3408</v>
      </c>
      <c r="O20" s="2449">
        <v>50</v>
      </c>
      <c r="P20" s="2449">
        <v>2001</v>
      </c>
      <c r="Q20" s="2449">
        <f>ROUND(1-(2025-2001)/50,2)</f>
        <v>0.52</v>
      </c>
      <c r="R20" s="2449">
        <f>Q20*M20</f>
        <v>44.173999999999999</v>
      </c>
      <c r="S20" s="2449"/>
      <c r="T20" s="3490" t="s">
        <v>3411</v>
      </c>
      <c r="U20" s="2449">
        <v>0.1</v>
      </c>
      <c r="V20" s="2449">
        <f>U20*'数据-汇总表'!D3</f>
        <v>1785.28</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f>(R19+R20)/(M19+M20)</f>
        <v>0.63335861152372763</v>
      </c>
      <c r="S21" s="2449"/>
      <c r="T21" s="2449"/>
      <c r="U21" s="2449"/>
      <c r="V21" s="2449">
        <f>(V19+V20)/(M19+M20)</f>
        <v>1.6631094780183981</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100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150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230238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8"/>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1534.92</v>
      </c>
      <c r="C1" s="2462"/>
      <c r="D1" s="2462"/>
      <c r="E1" s="2462"/>
      <c r="F1" s="2462"/>
      <c r="G1" s="2463"/>
      <c r="H1" s="2463"/>
      <c r="I1" s="2463"/>
      <c r="J1" s="2463"/>
      <c r="K1" s="2463"/>
    </row>
    <row r="2" spans="1:11" ht="16.5">
      <c r="A2" s="2300" t="s">
        <v>653</v>
      </c>
      <c r="B2" s="2300">
        <f>SUM(C14:C23)</f>
        <v>17852.8</v>
      </c>
      <c r="C2" s="2462"/>
      <c r="D2" s="2462"/>
      <c r="E2" s="2462"/>
      <c r="F2" s="2462"/>
      <c r="G2" s="2463"/>
      <c r="H2" s="2463"/>
      <c r="I2" s="2463"/>
      <c r="J2" s="2463"/>
      <c r="K2" s="2463"/>
    </row>
    <row r="3" spans="1:11" ht="16.5">
      <c r="A3" s="2300" t="s">
        <v>662</v>
      </c>
      <c r="B3" s="2302">
        <f>项目基本情况!D3</f>
        <v>45701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1262</v>
      </c>
      <c r="C5" s="2300">
        <f ca="1">IF(B5=D14,结果表!H102,ROUND(B5*10000/$B$1,0))</f>
        <v>8222</v>
      </c>
      <c r="D5" s="2300">
        <f ca="1">ROUND(B5*10000/$B$2,0)</f>
        <v>707</v>
      </c>
      <c r="E5" s="2462"/>
      <c r="F5" s="2463"/>
      <c r="G5" s="2463"/>
      <c r="H5" s="2463"/>
      <c r="I5" s="2463"/>
      <c r="J5" s="2463"/>
      <c r="K5" s="2463"/>
    </row>
    <row r="6" spans="1:11" ht="16.5">
      <c r="A6" s="2300" t="s">
        <v>656</v>
      </c>
      <c r="B6" s="2300">
        <f ca="1">SUM(G14:G23)</f>
        <v>1262</v>
      </c>
      <c r="C6" s="2300">
        <f ca="1">IF(B6=G14,结果表!H108,ROUND(B6*10000/$B$1,0))</f>
        <v>8222</v>
      </c>
      <c r="D6" s="2300">
        <f ca="1">ROUND(B6*10000/$B$2,0)</f>
        <v>707</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1534.92</v>
      </c>
      <c r="C14" s="2306">
        <f>'数据-汇总表'!D3</f>
        <v>17852.8</v>
      </c>
      <c r="D14" s="2306">
        <f ca="1">结果表!G19</f>
        <v>1262</v>
      </c>
      <c r="E14" s="2306">
        <f ca="1">ROUND(D14*10000/B14,0)</f>
        <v>8222</v>
      </c>
      <c r="F14" s="2306">
        <f ca="1">ROUND(D14*10000/C14,0)</f>
        <v>707</v>
      </c>
      <c r="G14" s="2306">
        <f ca="1">D14</f>
        <v>1262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3423</v>
      </c>
      <c r="H1" s="1621" t="str">
        <f>IF(G1="现房","——","估价对象范围")</f>
        <v>——</v>
      </c>
      <c r="I1" s="1622" t="s">
        <v>3424</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3422</v>
      </c>
      <c r="D4" s="1626" t="s">
        <v>3412</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4</v>
      </c>
      <c r="D14" s="3279">
        <v>6</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6" t="s">
        <v>2131</v>
      </c>
      <c r="F18" s="3267"/>
      <c r="G18" s="3267"/>
      <c r="H18" s="3267"/>
      <c r="I18" s="3267"/>
      <c r="K18" s="294" t="s">
        <v>1289</v>
      </c>
      <c r="L18" s="294">
        <f>IF(C1="",'数据-汇总表'!E3,SUMIF(项目类型,C1,'数据-汇总表'!E17:E26)+SUMIF(项目类型,C1,'数据-汇总表'!I17:I26))</f>
        <v>1534.92</v>
      </c>
      <c r="M18" s="294">
        <f>IF(C1="",'数据-汇总表'!E3,SUMIF(项目类型,C1,'数据-汇总表'!E17:E26))</f>
        <v>1534.92</v>
      </c>
    </row>
    <row r="19" spans="1:36" ht="15">
      <c r="A19" s="1630" t="s">
        <v>1290</v>
      </c>
      <c r="B19" s="1631" t="s">
        <v>1291</v>
      </c>
      <c r="C19" s="126">
        <f ca="1">SUMIF(INDIRECT("'"&amp;C4&amp;"'"&amp;"!A:A"),结果表!B19,INDIRECT("'"&amp;C4&amp;"'"&amp;"!B:B"))</f>
        <v>1674.6315999999999</v>
      </c>
      <c r="D19" s="127">
        <f ca="1">SUMIF(INDIRECT("'"&amp;D4&amp;"'"&amp;"!A:A"),结果表!B19,INDIRECT("'"&amp;D4&amp;"'"&amp;"!B:B"))</f>
        <v>986.55200000000002</v>
      </c>
      <c r="E19" s="1630" t="s">
        <v>1292</v>
      </c>
      <c r="F19" s="1631" t="s">
        <v>1291</v>
      </c>
      <c r="G19" s="128">
        <f ca="1">ROUND(C19*$C$18+D19*$D$18,0)</f>
        <v>1262</v>
      </c>
      <c r="H19" s="1632" t="s">
        <v>1293</v>
      </c>
      <c r="I19" s="121"/>
      <c r="K19" s="294" t="s">
        <v>1294</v>
      </c>
      <c r="L19" s="294">
        <f>IF(C1="",'数据-汇总表'!D3,SUMIF(项目类型,C1,'数据-汇总表'!D17:D26)+SUMIF(项目类型,C1,'数据-汇总表'!H17:H27))</f>
        <v>17852.8</v>
      </c>
      <c r="M19" s="294">
        <f>IF(C1="",'数据-汇总表'!D3,SUMIF(项目类型,C1,'数据-汇总表'!D17:D26))</f>
        <v>17852.8</v>
      </c>
    </row>
    <row r="20" spans="1:36" ht="15">
      <c r="A20" s="1633"/>
      <c r="B20" s="43" t="s">
        <v>1295</v>
      </c>
      <c r="C20" s="129">
        <f ca="1">SUMIF(INDIRECT("'"&amp;C4&amp;"'"&amp;"!A:A"),结果表!B20,INDIRECT("'"&amp;C4&amp;"'"&amp;"!B:B"))</f>
        <v>10910</v>
      </c>
      <c r="D20" s="130">
        <f ca="1">SUMIF(INDIRECT("'"&amp;D4&amp;"'"&amp;"!A:A"),结果表!B20,INDIRECT("'"&amp;D4&amp;"'"&amp;"!B:B"))</f>
        <v>6427</v>
      </c>
      <c r="E20" s="1633"/>
      <c r="F20" s="43" t="s">
        <v>1295</v>
      </c>
      <c r="G20" s="131">
        <f ca="1">ROUND(C20*$C$18+D20*$D$18,0)</f>
        <v>8220</v>
      </c>
      <c r="H20" s="760" t="s">
        <v>1296</v>
      </c>
      <c r="I20" s="121"/>
    </row>
    <row r="21" spans="1:36" ht="15" customHeight="1" thickBot="1">
      <c r="A21" s="449"/>
      <c r="B21" s="93" t="s">
        <v>1297</v>
      </c>
      <c r="C21" s="678">
        <f ca="1">ROUND(C19*10000/L19,0)</f>
        <v>938</v>
      </c>
      <c r="D21" s="679">
        <f ca="1">ROUND(D19*10000/L19,0)</f>
        <v>553</v>
      </c>
      <c r="E21" s="449"/>
      <c r="F21" s="93" t="s">
        <v>1297</v>
      </c>
      <c r="G21" s="132">
        <f ca="1">ROUND(G19*10000/L19,0)</f>
        <v>707</v>
      </c>
      <c r="H21" s="1634" t="s">
        <v>1296</v>
      </c>
      <c r="I21" s="121"/>
    </row>
    <row r="22" spans="1:36" ht="15" thickBot="1">
      <c r="A22" s="1564" t="s">
        <v>1298</v>
      </c>
      <c r="B22" s="1635"/>
      <c r="C22" s="1636"/>
      <c r="D22" s="680">
        <f ca="1">IF(C19&lt;D19,D19/C19-1,C19/D19-1)</f>
        <v>0.69745902902229173</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1262</v>
      </c>
      <c r="D32" s="1641" t="s">
        <v>3425</v>
      </c>
      <c r="E32" s="121"/>
      <c r="F32" s="121"/>
      <c r="G32" s="121"/>
      <c r="H32" s="121"/>
      <c r="I32" s="121"/>
    </row>
    <row r="33" spans="1:15" ht="15">
      <c r="A33" s="740" t="s">
        <v>1306</v>
      </c>
      <c r="B33" s="123"/>
      <c r="C33" s="1642" t="s">
        <v>3426</v>
      </c>
      <c r="D33" s="1643" t="s">
        <v>3422</v>
      </c>
      <c r="E33" s="1644" t="s">
        <v>1307</v>
      </c>
      <c r="F33" s="1645" t="str">
        <f>IF(D32="楼面单价","取值（单价）","取值（总价）")</f>
        <v>取值（总价）</v>
      </c>
      <c r="G33" s="121"/>
      <c r="H33" s="121"/>
      <c r="I33" s="121"/>
    </row>
    <row r="34" spans="1:15" ht="15">
      <c r="A34" s="1646"/>
      <c r="B34" s="1647" t="s">
        <v>1308</v>
      </c>
      <c r="C34" s="140">
        <f ca="1">IF(C33="自定义",F34,C32-C35)</f>
        <v>1021</v>
      </c>
      <c r="D34" s="808">
        <f ca="1">IF(C33="自定义",ROUND(C34/C32,3),IF(C33="收益比率",SUMIF(INDIRECT("'"&amp;D33&amp;"'"&amp;"!b:b"),"土地收益比率",INDIRECT("'"&amp;D33&amp;"'"&amp;"!c:c")),SUMIF(INDIRECT("'"&amp;D33&amp;"'"&amp;"!b:b"),"土地成本比率",INDIRECT("'"&amp;D33&amp;"'"&amp;"!c:c"))))</f>
        <v>0.80899999999999994</v>
      </c>
      <c r="E34" s="1648" t="s">
        <v>1309</v>
      </c>
      <c r="F34" s="1243"/>
      <c r="G34" s="121"/>
      <c r="H34" s="121"/>
      <c r="I34" s="121"/>
    </row>
    <row r="35" spans="1:15" ht="15.75" thickBot="1">
      <c r="A35" s="1649"/>
      <c r="B35" s="1650" t="s">
        <v>1310</v>
      </c>
      <c r="C35" s="1090">
        <f ca="1">IF(C33="自定义",F35,ROUND(C32*D35,0))</f>
        <v>241</v>
      </c>
      <c r="D35" s="1091">
        <f ca="1">IF(C33="自定义",ROUND(C35/C32,3),IF(C33="收益比率",SUMIF(INDIRECT("'"&amp;D33&amp;"'"&amp;"!b:b"),"建筑物收益比率",INDIRECT("'"&amp;D33&amp;"'"&amp;"!c:c")),SUMIF(INDIRECT("'"&amp;D33&amp;"'"&amp;"!b:b"),"建筑物成本比率",INDIRECT("'"&amp;D33&amp;"'"&amp;"!c:c"))))</f>
        <v>0.191</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1262</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45701</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6" t="s">
        <v>1340</v>
      </c>
      <c r="L48" s="3306"/>
      <c r="M48" s="3328">
        <f ca="1">H101</f>
        <v>1262</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1262</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66</v>
      </c>
      <c r="E52" s="1256" t="s">
        <v>1354</v>
      </c>
      <c r="F52" s="2340">
        <f>'数据-取费表'!B41</f>
        <v>5.5000000000000007E-2</v>
      </c>
      <c r="G52" s="2341"/>
      <c r="H52" s="2331"/>
      <c r="I52" s="1669"/>
      <c r="J52" s="2310">
        <v>1</v>
      </c>
      <c r="K52" s="3307" t="s">
        <v>1355</v>
      </c>
      <c r="L52" s="3307"/>
      <c r="M52" s="2312" t="b">
        <f>D48</f>
        <v>0</v>
      </c>
      <c r="N52" s="2310" t="str">
        <f>E48</f>
        <v>销售额×税（费）率</v>
      </c>
      <c r="O52" s="2313">
        <f>F48</f>
        <v>5.5000000000000007E-2</v>
      </c>
    </row>
    <row r="53" spans="1:35" ht="12" customHeight="1">
      <c r="A53" s="2153" t="s">
        <v>1356</v>
      </c>
      <c r="B53" s="3268" t="s">
        <v>2282</v>
      </c>
      <c r="C53" s="3269"/>
      <c r="D53" s="1024">
        <f ca="1">ROUND(D45*'数据-取费表'!B41/(1+'数据-取费表'!C42),0)</f>
        <v>66</v>
      </c>
      <c r="E53" s="1256" t="s">
        <v>1354</v>
      </c>
      <c r="F53" s="2340">
        <f>'数据-取费表'!B41</f>
        <v>5.5000000000000007E-2</v>
      </c>
      <c r="G53" s="2341"/>
      <c r="H53" s="2331"/>
      <c r="I53" s="1669"/>
      <c r="J53" s="2310">
        <v>2</v>
      </c>
      <c r="K53" s="3307" t="s">
        <v>1357</v>
      </c>
      <c r="L53" s="3307"/>
      <c r="M53" s="2312">
        <f t="shared" ref="M53:O54" ca="1" si="0">D55</f>
        <v>1</v>
      </c>
      <c r="N53" s="2310" t="str">
        <f t="shared" si="0"/>
        <v>销售额×税（费）率</v>
      </c>
      <c r="O53" s="2313" t="str">
        <f t="shared" si="0"/>
        <v>免征</v>
      </c>
    </row>
    <row r="54" spans="1:35" ht="12" customHeight="1">
      <c r="A54" s="2153" t="s">
        <v>1358</v>
      </c>
      <c r="B54" s="3268" t="s">
        <v>2283</v>
      </c>
      <c r="C54" s="3269"/>
      <c r="D54" s="1024">
        <f ca="1">C68</f>
        <v>66</v>
      </c>
      <c r="E54" s="319" t="s">
        <v>1359</v>
      </c>
      <c r="F54" s="2340">
        <f>'数据-取费表'!B41</f>
        <v>5.5000000000000007E-2</v>
      </c>
      <c r="G54" s="2341"/>
      <c r="H54" s="2342"/>
      <c r="I54" s="1669"/>
      <c r="J54" s="2310">
        <v>3</v>
      </c>
      <c r="K54" s="3307" t="s">
        <v>1360</v>
      </c>
      <c r="L54" s="3307"/>
      <c r="M54" s="2312">
        <f t="shared" ca="1" si="0"/>
        <v>716</v>
      </c>
      <c r="N54" s="2310" t="str">
        <f t="shared" si="0"/>
        <v>增值额×税（费）率</v>
      </c>
      <c r="O54" s="2314" t="str">
        <f t="shared" si="0"/>
        <v>免征</v>
      </c>
    </row>
    <row r="55" spans="1:35" ht="24" customHeight="1">
      <c r="A55" s="3257" t="s">
        <v>1361</v>
      </c>
      <c r="B55" s="3258"/>
      <c r="C55" s="3258"/>
      <c r="D55" s="12">
        <f ca="1">IF(H55="个人住宅",0,ROUND(D45*I55,0))</f>
        <v>1</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12</v>
      </c>
      <c r="N55" s="1883" t="str">
        <f>E59</f>
        <v>差额计税</v>
      </c>
      <c r="O55" s="2316">
        <f>F59</f>
        <v>0.01</v>
      </c>
    </row>
    <row r="56" spans="1:35" ht="24.75">
      <c r="A56" s="3257" t="s">
        <v>1363</v>
      </c>
      <c r="B56" s="3258"/>
      <c r="C56" s="3258"/>
      <c r="D56" s="12">
        <f ca="1">IF(H56="个人住宅",D57,D58)</f>
        <v>716</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729</v>
      </c>
      <c r="O57" s="2320"/>
      <c r="P57" s="2465">
        <f ca="1">N57/M49</f>
        <v>0.57765451664025358</v>
      </c>
    </row>
    <row r="58" spans="1:35" ht="24.75">
      <c r="A58" s="2153" t="s">
        <v>1352</v>
      </c>
      <c r="B58" s="3268" t="s">
        <v>1369</v>
      </c>
      <c r="C58" s="3242"/>
      <c r="D58" s="12">
        <f ca="1">IF(H58="转让取得",C81,C97)</f>
        <v>716</v>
      </c>
      <c r="E58" s="1256" t="s">
        <v>1364</v>
      </c>
      <c r="F58" s="294" t="s">
        <v>28</v>
      </c>
      <c r="G58" s="2341"/>
      <c r="H58" s="2344"/>
      <c r="I58" s="1670"/>
      <c r="J58" s="3307"/>
      <c r="K58" s="3307"/>
      <c r="L58" s="2317" t="s">
        <v>1370</v>
      </c>
      <c r="M58" s="2321"/>
      <c r="N58" s="2322" t="str">
        <f ca="1">NUMBERSTRING(INT(N57*10000),2)&amp;"元整"</f>
        <v>柒佰贰拾玖万元整</v>
      </c>
      <c r="O58" s="2323"/>
    </row>
    <row r="59" spans="1:35" ht="24.75" thickBot="1">
      <c r="A59" s="3310" t="s">
        <v>1371</v>
      </c>
      <c r="B59" s="3311"/>
      <c r="C59" s="3311"/>
      <c r="D59" s="2346">
        <f ca="1">IF(H59="非个人房产","——",IF(H59="个人住宅（满五唯一有凭证）",0,IF(H59="个人其他（无凭证）",ROUND(D45*F59,0),ROUND(C67*F59,0))))</f>
        <v>12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533</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伍佰叁拾叁万元整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3472</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1202</v>
      </c>
      <c r="D63" s="159"/>
      <c r="E63" s="160"/>
      <c r="F63" s="1670"/>
      <c r="G63" s="1670"/>
      <c r="H63" s="151"/>
      <c r="I63" s="121"/>
      <c r="J63" s="3332" t="s">
        <v>1379</v>
      </c>
      <c r="K63" s="1245" t="s">
        <v>1380</v>
      </c>
      <c r="L63" s="1245">
        <f ca="1">IF(M49&gt;10000,M49*0.5%,IF(AND(M49&gt;1000,M49&lt;=10000),M49*1%,IF(AND(M49&gt;100,M49&lt;=1000),M49*3%,IF(AND(M49&gt;10,M49&lt;=100),M49*5%,M49*8%))))</f>
        <v>12.620000000000001</v>
      </c>
      <c r="M63" s="294">
        <f ca="1">ROUND(L63,1)</f>
        <v>12.6</v>
      </c>
      <c r="N63" s="2330"/>
      <c r="Z63" s="1623"/>
      <c r="AI63" s="1561"/>
    </row>
    <row r="64" spans="1:35" ht="14.25" customHeight="1">
      <c r="A64" s="161" t="s">
        <v>325</v>
      </c>
      <c r="B64" s="162" t="s">
        <v>1381</v>
      </c>
      <c r="C64" s="2351">
        <f ca="1">D45</f>
        <v>1262</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7.5720000000000001</v>
      </c>
      <c r="M64" s="294">
        <f t="shared" ref="M64:M65" ca="1" si="1">ROUND(L64,1)</f>
        <v>7.6</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1.262</v>
      </c>
      <c r="M65" s="294">
        <f t="shared" ca="1" si="1"/>
        <v>1.3</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6.3100000000000005</v>
      </c>
      <c r="M66" s="294">
        <f ca="1">IF(L66&gt;0.5,0.5,ROUND(L66,0))</f>
        <v>0.5</v>
      </c>
      <c r="N66" s="2331" t="s">
        <v>1388</v>
      </c>
      <c r="Z66" s="1623"/>
      <c r="AI66" s="1561"/>
    </row>
    <row r="67" spans="1:35" ht="14.25" customHeight="1">
      <c r="A67" s="165" t="s">
        <v>328</v>
      </c>
      <c r="B67" s="166" t="s">
        <v>1389</v>
      </c>
      <c r="C67" s="2354">
        <f ca="1">C63-C66</f>
        <v>1202</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3.1429999999999998</v>
      </c>
      <c r="M67" s="294">
        <f ca="1">ROUND(L67*0.9,1)</f>
        <v>2.8</v>
      </c>
      <c r="N67" s="2330"/>
      <c r="Z67" s="1623"/>
      <c r="AI67" s="1561"/>
    </row>
    <row r="68" spans="1:35" ht="14.25" customHeight="1" thickBot="1">
      <c r="A68" s="168" t="s">
        <v>329</v>
      </c>
      <c r="B68" s="169" t="s">
        <v>1391</v>
      </c>
      <c r="C68" s="2355">
        <f ca="1">IF(C67&lt;=0,0,ROUND(C67*D68,0))</f>
        <v>66</v>
      </c>
      <c r="D68" s="2356">
        <f>'数据-取费表'!B41</f>
        <v>5.5000000000000007E-2</v>
      </c>
      <c r="E68" s="170"/>
      <c r="F68" s="1670"/>
      <c r="G68" s="1670"/>
      <c r="H68" s="151"/>
      <c r="I68" s="121"/>
      <c r="J68" s="3332"/>
      <c r="K68" s="1245" t="s">
        <v>1392</v>
      </c>
      <c r="L68" s="1245">
        <f ca="1">IF(M49&gt;10000,M49*0.5%,IF(AND(M49&gt;5000,M49&lt;=10000),M49*1%,IF(AND(M49&gt;1000,M49&lt;=5000),M49*2%,IF(AND(M49&gt;200,M49&lt;=1000),M49*3%,M49*5%))))</f>
        <v>25.240000000000002</v>
      </c>
      <c r="M68" s="294">
        <f ca="1">ROUND(L68,1)</f>
        <v>25.2</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50</v>
      </c>
      <c r="N69" s="2332">
        <f ca="1">M69/M49</f>
        <v>3.9619651347068144E-2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1202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5.000000000000001E-3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1196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716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1202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5.000000000000001E-3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716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 (元)</v>
      </c>
      <c r="D101" s="2372" t="str">
        <f>D4</f>
        <v>收益法 (元)</v>
      </c>
      <c r="E101" s="3329" t="s">
        <v>1431</v>
      </c>
      <c r="F101" s="3286"/>
      <c r="G101" s="1687" t="s">
        <v>1432</v>
      </c>
      <c r="H101" s="2381">
        <f ca="1">H118</f>
        <v>1262</v>
      </c>
      <c r="I101" s="121"/>
    </row>
    <row r="102" spans="1:35" ht="18.75" customHeight="1">
      <c r="A102" s="3288" t="s">
        <v>1433</v>
      </c>
      <c r="B102" s="2370" t="s">
        <v>1432</v>
      </c>
      <c r="C102" s="2371">
        <f ca="1">IF(D32="楼面单价",ROUND(C19,0),C19)</f>
        <v>1674.6315999999999</v>
      </c>
      <c r="D102" s="2372">
        <f ca="1">IF(D32="楼面单价",ROUND(D19,0),D19)</f>
        <v>986.55200000000002</v>
      </c>
      <c r="E102" s="3329"/>
      <c r="F102" s="3286"/>
      <c r="G102" s="1687" t="s">
        <v>1434</v>
      </c>
      <c r="H102" s="2341">
        <f ca="1">I118</f>
        <v>8222</v>
      </c>
      <c r="I102" s="121"/>
    </row>
    <row r="103" spans="1:35" ht="42.75" customHeight="1">
      <c r="A103" s="3288"/>
      <c r="B103" s="2370" t="s">
        <v>1434</v>
      </c>
      <c r="C103" s="2373">
        <f ca="1">C20</f>
        <v>10910</v>
      </c>
      <c r="D103" s="2374">
        <f ca="1">D20</f>
        <v>6427</v>
      </c>
      <c r="E103" s="3323" t="s">
        <v>1435</v>
      </c>
      <c r="F103" s="3324"/>
      <c r="G103" s="1688" t="s">
        <v>1436</v>
      </c>
      <c r="H103" s="2381">
        <f>IF(D36="正常操作",H104+H105+H106,H105+H106)</f>
        <v>0</v>
      </c>
      <c r="I103" s="121"/>
    </row>
    <row r="104" spans="1:35" ht="18.75" customHeight="1">
      <c r="A104" s="3288" t="s">
        <v>1437</v>
      </c>
      <c r="B104" s="2375" t="s">
        <v>1432</v>
      </c>
      <c r="C104" s="2376">
        <f ca="1">H118</f>
        <v>1262</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8222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1262</v>
      </c>
      <c r="I107" s="121"/>
    </row>
    <row r="108" spans="1:35" ht="18.75" customHeight="1">
      <c r="A108" s="121"/>
      <c r="B108" s="121"/>
      <c r="C108" s="121"/>
      <c r="D108" s="121"/>
      <c r="E108" s="3285"/>
      <c r="F108" s="3286"/>
      <c r="G108" s="1687" t="s">
        <v>1434</v>
      </c>
      <c r="H108" s="2341">
        <f ca="1">IF(H107=H101,H102,ROUND(H107*10000/'数据-汇总表'!E3,0))</f>
        <v>8222</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1534.92</v>
      </c>
      <c r="C118" s="2150">
        <f>M19</f>
        <v>17852.8</v>
      </c>
      <c r="D118" s="2150">
        <f ca="1">ROUND(IF(D32="总价",C34,E118*B118/10000),0)</f>
        <v>1021</v>
      </c>
      <c r="E118" s="2150">
        <f ca="1">ROUND(IF(C33="自定义",IF(D32="楼面单价",C34,D118*10000/B118),I118-G118),0)</f>
        <v>6652</v>
      </c>
      <c r="F118" s="2150">
        <f ca="1">ROUND(IF(D32="总价",C35,G118*B118/10000),0)</f>
        <v>241</v>
      </c>
      <c r="G118" s="2150">
        <f ca="1">ROUND(IF(D32="楼面单价",C35,F118*10000/B118),0)</f>
        <v>1570</v>
      </c>
      <c r="H118" s="2150">
        <f ca="1">ROUND(IF(D32="总价",C32,I118*B118/10000),0)</f>
        <v>1262</v>
      </c>
      <c r="I118" s="2150">
        <f ca="1">ROUND(IF(D32="楼面单价",C32,H118*10000/B118),0)</f>
        <v>8222</v>
      </c>
    </row>
    <row r="119" spans="1:27" ht="18.75" customHeight="1">
      <c r="A119" s="3256" t="s">
        <v>1452</v>
      </c>
      <c r="B119" s="3256"/>
      <c r="C119" s="3256"/>
      <c r="D119" s="3296" t="str">
        <f ca="1">NUMBERSTRING(INT(D118*10000),2)&amp;"元整"</f>
        <v>壹仟零贰拾壹万元整</v>
      </c>
      <c r="E119" s="3298"/>
      <c r="F119" s="3296" t="str">
        <f ca="1">NUMBERSTRING(INT(F118*10000),2)&amp;"元整"</f>
        <v>贰佰肆拾壹万元整</v>
      </c>
      <c r="G119" s="3298"/>
      <c r="H119" s="3296" t="str">
        <f ca="1">NUMBERSTRING(INT(H118*10000),2)&amp;"元整"</f>
        <v>壹仟贰佰陆拾贰万元整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1262</v>
      </c>
      <c r="E122" s="3321"/>
      <c r="F122" s="3321"/>
      <c r="G122" s="3321"/>
      <c r="H122" s="3321"/>
      <c r="I122" s="3322"/>
      <c r="AA122" s="684"/>
    </row>
    <row r="123" spans="1:27" ht="18.75" customHeight="1">
      <c r="A123" s="3256" t="s">
        <v>1452</v>
      </c>
      <c r="B123" s="3256"/>
      <c r="C123" s="3256"/>
      <c r="D123" s="3296" t="str">
        <f ca="1">NUMBERSTRING(INT(D122*10000),2)&amp;"元整"</f>
        <v>壹仟贰佰陆拾贰万元整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274344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1787350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230238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230238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100</v>
      </c>
      <c r="F9" s="213"/>
      <c r="G9" s="1715"/>
      <c r="H9" s="1070"/>
      <c r="I9" s="1716" t="s">
        <v>1479</v>
      </c>
    </row>
    <row r="10" spans="1:9" s="206" customFormat="1" ht="13.5" customHeight="1">
      <c r="A10" s="733" t="s">
        <v>356</v>
      </c>
      <c r="B10" s="216" t="s">
        <v>1480</v>
      </c>
      <c r="C10" s="217">
        <f ca="1">ROUND(D10*E10/10000,0)</f>
        <v>23</v>
      </c>
      <c r="D10" s="795">
        <f ca="1">IF(B1="",'数据-汇总表'!E6,IF(INDIRECT("'数据-取费表'!c"&amp;$G$1)="住宅",INDIRECT("'数据-取费表'!s"&amp;$G$1),INDIRECT("'数据-取费表'!k"&amp;$G$1)+INDIRECT("'数据-取费表'!s"&amp;$G$1)))</f>
        <v>1534.92</v>
      </c>
      <c r="E10" s="217">
        <f>'数据-取费表'!B28</f>
        <v>150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1534.92</v>
      </c>
      <c r="E19" s="203">
        <f>'数据-取费表'!B31</f>
        <v>200</v>
      </c>
      <c r="F19" s="223"/>
      <c r="G19" s="1714"/>
    </row>
    <row r="20" spans="1:7" s="206" customFormat="1" ht="13.5" customHeight="1">
      <c r="A20" s="247" t="s">
        <v>1493</v>
      </c>
      <c r="B20" s="202" t="s">
        <v>1494</v>
      </c>
      <c r="C20" s="224">
        <f ca="1">ROUND((C5+C19)*F20,0)</f>
        <v>4605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7209</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7137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71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11744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11744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274022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384</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31</v>
      </c>
      <c r="D37" s="209">
        <f ca="1">D19</f>
        <v>1534.92</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7</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2.9999999999999997E-4</v>
      </c>
      <c r="D44" s="230"/>
      <c r="E44" s="230"/>
      <c r="F44" s="231"/>
      <c r="G44" s="3338"/>
    </row>
    <row r="45" spans="1:7" s="206" customFormat="1" ht="13.5" customHeight="1">
      <c r="A45" s="247" t="s">
        <v>1547</v>
      </c>
      <c r="B45" s="236" t="s">
        <v>1513</v>
      </c>
      <c r="C45" s="237">
        <f ca="1">C46</f>
        <v>22</v>
      </c>
      <c r="D45" s="227">
        <f ca="1">C47</f>
        <v>1E-3</v>
      </c>
      <c r="E45" s="228" t="s">
        <v>1539</v>
      </c>
      <c r="F45" s="238">
        <f ca="1">F27</f>
        <v>0.05</v>
      </c>
      <c r="G45" s="239" t="s">
        <v>1548</v>
      </c>
    </row>
    <row r="46" spans="1:7" s="206" customFormat="1" ht="13.5" customHeight="1">
      <c r="A46" s="734" t="s">
        <v>346</v>
      </c>
      <c r="B46" s="240" t="s">
        <v>1549</v>
      </c>
      <c r="C46" s="241">
        <f ca="1">ROUND((C33+C39)*F27,0)</f>
        <v>22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511</v>
      </c>
      <c r="D49" s="224"/>
      <c r="E49" s="224"/>
      <c r="F49" s="256"/>
      <c r="G49" s="226" t="s">
        <v>1554</v>
      </c>
    </row>
    <row r="50" spans="1:7" s="250" customFormat="1" ht="24">
      <c r="A50" s="247" t="s">
        <v>1555</v>
      </c>
      <c r="B50" s="202" t="s">
        <v>1556</v>
      </c>
      <c r="C50" s="224"/>
      <c r="D50" s="224"/>
      <c r="E50" s="224"/>
      <c r="F50" s="256">
        <f>IF('数据-取费表'!B24=0,'数据-取费表'!N16,1)</f>
        <v>0.63</v>
      </c>
      <c r="G50" s="239" t="s">
        <v>1557</v>
      </c>
    </row>
    <row r="51" spans="1:7" ht="16.5" customHeight="1">
      <c r="A51" s="247" t="s">
        <v>1558</v>
      </c>
      <c r="B51" s="202" t="s">
        <v>1559</v>
      </c>
      <c r="C51" s="224">
        <f ca="1">ROUND(C49*F50,0)</f>
        <v>322</v>
      </c>
      <c r="D51" s="224"/>
      <c r="E51" s="224"/>
      <c r="F51" s="256"/>
      <c r="G51" s="226" t="s">
        <v>1560</v>
      </c>
    </row>
    <row r="52" spans="1:7" s="200" customFormat="1" ht="16.5" thickBot="1">
      <c r="A52" s="257" t="s">
        <v>1561</v>
      </c>
      <c r="B52" s="258"/>
      <c r="C52" s="259">
        <f ca="1">C31+C51</f>
        <v>274344</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1674.6315999999999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10910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11379007.799999999</v>
      </c>
      <c r="D5" s="203" t="s">
        <v>1469</v>
      </c>
      <c r="E5" s="204" t="s">
        <v>1470</v>
      </c>
      <c r="F5" s="204" t="s">
        <v>1471</v>
      </c>
      <c r="G5" s="205"/>
    </row>
    <row r="6" spans="1:8" s="206" customFormat="1" ht="13.5" customHeight="1">
      <c r="A6" s="732" t="s">
        <v>1472</v>
      </c>
      <c r="B6" s="207" t="s">
        <v>1473</v>
      </c>
      <c r="C6" s="208">
        <f>基准地价修正!C33*基准地价修正!D33</f>
        <v>10818796.799999999</v>
      </c>
      <c r="D6" s="209"/>
      <c r="E6" s="210"/>
      <c r="F6" s="210"/>
      <c r="G6" s="211"/>
    </row>
    <row r="7" spans="1:8" s="206" customFormat="1" ht="13.5" customHeight="1">
      <c r="A7" s="732" t="s">
        <v>1474</v>
      </c>
      <c r="B7" s="207" t="s">
        <v>1475</v>
      </c>
      <c r="C7" s="212">
        <f>ROUND(C6*F7,0)</f>
        <v>329973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230238</v>
      </c>
      <c r="D8" s="214"/>
      <c r="E8" s="212"/>
      <c r="F8" s="213"/>
      <c r="G8" s="1714" t="s">
        <v>3414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100</v>
      </c>
      <c r="F9" s="213"/>
      <c r="G9" s="218"/>
    </row>
    <row r="10" spans="1:8" s="206" customFormat="1" ht="13.5" customHeight="1">
      <c r="A10" s="733" t="s">
        <v>356</v>
      </c>
      <c r="B10" s="216" t="s">
        <v>1480</v>
      </c>
      <c r="C10" s="217">
        <f ca="1">ROUND(D10*E10,0)</f>
        <v>230238</v>
      </c>
      <c r="D10" s="795">
        <f ca="1">IF(B1="",'数据-汇总表'!E6,IF(INDIRECT("'数据-取费表'!c"&amp;$G$1)="住宅",INDIRECT("'数据-取费表'!s"&amp;$G$1),INDIRECT("'数据-取费表'!k"&amp;$G$1)+INDIRECT("'数据-取费表'!s"&amp;$G$1)))</f>
        <v>1534.92</v>
      </c>
      <c r="E10" s="217">
        <f>'数据-取费表'!B28</f>
        <v>150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1534.92</v>
      </c>
      <c r="E19" s="203">
        <f>'数据-取费表'!B31</f>
        <v>200</v>
      </c>
      <c r="F19" s="223"/>
      <c r="G19" s="1714" t="s">
        <v>3415</v>
      </c>
    </row>
    <row r="20" spans="1:7" s="206" customFormat="1" ht="13.5" customHeight="1">
      <c r="A20" s="247" t="s">
        <v>1574</v>
      </c>
      <c r="B20" s="202" t="s">
        <v>1575</v>
      </c>
      <c r="C20" s="224">
        <f ca="1">ROUND((C5+C19)*F20,0)</f>
        <v>227580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356276</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352749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3527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580329</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580329</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13541178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4336149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3837300</v>
      </c>
      <c r="D34" s="209"/>
      <c r="E34" s="212"/>
      <c r="F34" s="249"/>
      <c r="G34" s="211"/>
    </row>
    <row r="35" spans="1:7" ht="13.5" customHeight="1">
      <c r="A35" s="734" t="s">
        <v>351</v>
      </c>
      <c r="B35" s="207" t="s">
        <v>1527</v>
      </c>
      <c r="C35" s="212">
        <f ca="1">ROUND(C34*F35,0)</f>
        <v>115119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306984</v>
      </c>
      <c r="D37" s="209">
        <f ca="1">D19</f>
        <v>1534.92</v>
      </c>
      <c r="E37" s="241">
        <f>'数据-取费表'!B35</f>
        <v>200</v>
      </c>
      <c r="F37" s="251"/>
      <c r="G37" s="253"/>
    </row>
    <row r="38" spans="1:7" ht="13.5" customHeight="1">
      <c r="A38" s="734" t="s">
        <v>354</v>
      </c>
      <c r="B38" s="207" t="s">
        <v>1533</v>
      </c>
      <c r="C38" s="212">
        <f ca="1">ROUND(C34*F38,0)</f>
        <v>76746</v>
      </c>
      <c r="D38" s="212"/>
      <c r="E38" s="212"/>
      <c r="F38" s="251">
        <f>'数据-取费表'!B36</f>
        <v>0.02</v>
      </c>
      <c r="G38" s="211" t="s">
        <v>1528</v>
      </c>
    </row>
    <row r="39" spans="1:7" s="206" customFormat="1" ht="13.5" customHeight="1">
      <c r="A39" s="247" t="s">
        <v>1534</v>
      </c>
      <c r="B39" s="202" t="s">
        <v>1535</v>
      </c>
      <c r="C39" s="224">
        <f ca="1">ROUND(C33*F20,0)</f>
        <v>86723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68554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67210</v>
      </c>
      <c r="D42" s="230"/>
      <c r="E42" s="230"/>
      <c r="F42" s="231"/>
      <c r="G42" s="3336" t="s">
        <v>1591</v>
      </c>
    </row>
    <row r="43" spans="1:7" ht="13.5" customHeight="1">
      <c r="A43" s="734" t="s">
        <v>347</v>
      </c>
      <c r="B43" s="207" t="s">
        <v>1545</v>
      </c>
      <c r="C43" s="230">
        <f ca="1">ROUND(IF('数据-取费表'!B22&lt;=1,C39*F22*'数据-取费表'!B20/2,C39*(POWER((1+F22),'数据-取费表'!B20/2)-1)),0)</f>
        <v>1344</v>
      </c>
      <c r="D43" s="230"/>
      <c r="E43" s="230"/>
      <c r="F43" s="231"/>
      <c r="G43" s="3337"/>
    </row>
    <row r="44" spans="1:7" ht="13.5" customHeight="1">
      <c r="A44" s="734" t="s">
        <v>348</v>
      </c>
      <c r="B44" s="207" t="s">
        <v>1546</v>
      </c>
      <c r="C44" s="230">
        <f ca="1">ROUND(IF('数据-取费表'!B22&lt;=1,C40*F22*'数据-取费表'!B20/2,C40*(POWER((1+F22),'数据-取费表'!B20/2)-1)),4)</f>
        <v>2.9999999999999997E-4</v>
      </c>
      <c r="D44" s="230"/>
      <c r="E44" s="230"/>
      <c r="F44" s="231"/>
      <c r="G44" s="3338"/>
    </row>
    <row r="45" spans="1:7" s="206" customFormat="1" ht="13.5" customHeight="1">
      <c r="A45" s="247" t="s">
        <v>1547</v>
      </c>
      <c r="B45" s="236" t="s">
        <v>1513</v>
      </c>
      <c r="C45" s="237">
        <f ca="1">C46</f>
        <v>221144</v>
      </c>
      <c r="D45" s="227">
        <f ca="1">C47</f>
        <v>1E-3</v>
      </c>
      <c r="E45" s="228" t="s">
        <v>1539</v>
      </c>
      <c r="F45" s="238">
        <f ca="1">F27</f>
        <v>0.05</v>
      </c>
      <c r="G45" s="239" t="s">
        <v>1548</v>
      </c>
    </row>
    <row r="46" spans="1:7" s="206" customFormat="1" ht="13.5" customHeight="1">
      <c r="A46" s="734" t="s">
        <v>346</v>
      </c>
      <c r="B46" s="240" t="s">
        <v>1549</v>
      </c>
      <c r="C46" s="241">
        <f ca="1">ROUND((C33+C39)*F27,0)</f>
        <v>221144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5087520</v>
      </c>
      <c r="D49" s="224"/>
      <c r="E49" s="224"/>
      <c r="F49" s="256"/>
      <c r="G49" s="226" t="s">
        <v>1554</v>
      </c>
    </row>
    <row r="50" spans="1:7" s="250" customFormat="1">
      <c r="A50" s="247" t="s">
        <v>1555</v>
      </c>
      <c r="B50" s="202" t="s">
        <v>1556</v>
      </c>
      <c r="C50" s="224"/>
      <c r="D50" s="224"/>
      <c r="E50" s="224"/>
      <c r="F50" s="256">
        <f>IF('数据-取费表'!B24=0,'数据-取费表'!N16,1)</f>
        <v>0.63</v>
      </c>
      <c r="G50" s="239"/>
    </row>
    <row r="51" spans="1:7" ht="16.5" customHeight="1">
      <c r="A51" s="247" t="s">
        <v>1558</v>
      </c>
      <c r="B51" s="202" t="s">
        <v>1593</v>
      </c>
      <c r="C51" s="224">
        <f ca="1">ROUND(C49*F50,0)</f>
        <v>3205138</v>
      </c>
      <c r="D51" s="224"/>
      <c r="E51" s="224"/>
      <c r="F51" s="256"/>
      <c r="G51" s="226" t="s">
        <v>1560</v>
      </c>
    </row>
    <row r="52" spans="1:7" s="200" customFormat="1" ht="16.5" thickBot="1">
      <c r="A52" s="257" t="s">
        <v>1561</v>
      </c>
      <c r="B52" s="258"/>
      <c r="C52" s="259">
        <f ca="1">C31+C51</f>
        <v>16746316</v>
      </c>
      <c r="D52" s="258"/>
      <c r="E52" s="258"/>
      <c r="F52" s="258"/>
      <c r="G52" s="260"/>
    </row>
    <row r="55" spans="1:7" ht="15">
      <c r="B55" s="262" t="s">
        <v>1562</v>
      </c>
      <c r="C55" s="263"/>
    </row>
    <row r="56" spans="1:7">
      <c r="B56" s="265" t="s">
        <v>802</v>
      </c>
      <c r="C56" s="267">
        <f ca="1">1-C57</f>
        <v>0.80899999999999994</v>
      </c>
    </row>
    <row r="57" spans="1:7">
      <c r="B57" s="265" t="s">
        <v>803</v>
      </c>
      <c r="C57" s="266">
        <f ca="1">ROUND(C51/C52,3)</f>
        <v>0.191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85" zoomScaleNormal="80" zoomScaleSheetLayoutView="85" workbookViewId="0">
      <selection activeCell="H8" sqref="H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17852.8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1082</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Ⅸ-八达岭开发区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935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606</v>
      </c>
      <c r="C3" s="1846" t="s">
        <v>1941</v>
      </c>
      <c r="D3" s="162" t="s">
        <v>1942</v>
      </c>
      <c r="E3" s="3119" t="s">
        <v>2470</v>
      </c>
      <c r="F3" s="1848" t="s">
        <v>3413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721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588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790</v>
      </c>
      <c r="D5" s="1252">
        <f>ROUND(C6*C17+C20,0)</f>
        <v>790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499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455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25.5">
      <c r="A8" s="3010"/>
      <c r="B8" s="162" t="s">
        <v>1957</v>
      </c>
      <c r="C8" s="1870" t="s">
        <v>3416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790</v>
      </c>
      <c r="N9" s="813">
        <f>SUMPRODUCT((因素修正幅度!B277:B326=I2)*(因素修正幅度!C3:G3=E2)*(因素修正幅度!C277:G326))</f>
        <v>0.05</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45701</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0.6996</v>
      </c>
      <c r="D24" s="1902" t="s">
        <v>2007</v>
      </c>
      <c r="E24" s="1248">
        <f>存贷款利率!E27/100</f>
        <v>4.3499999999999997E-2</v>
      </c>
      <c r="F24" s="1902" t="s">
        <v>1999</v>
      </c>
      <c r="G24" s="724">
        <f>SUMIF(M30:Q30,E2,M33:Q33)</f>
        <v>0.05</v>
      </c>
      <c r="H24" s="1902" t="s">
        <v>2008</v>
      </c>
      <c r="I24" s="725">
        <f>SUMIF('数据-取费表'!C6:C15,E2,'数据-取费表'!F6:F15)/COUNTIF('数据-取费表'!C6:C15,E2)</f>
        <v>20.86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1082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606</v>
      </c>
      <c r="D33" s="1940">
        <f>'数据-汇总表'!D3</f>
        <v>17852.8</v>
      </c>
      <c r="E33" s="727">
        <f>ROUND(C33*D33/10000,0)</f>
        <v>1082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91</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303</v>
      </c>
      <c r="D37" s="1940"/>
      <c r="E37" s="163">
        <f>ROUND(C37*D37/10000,0)</f>
        <v>0</v>
      </c>
      <c r="F37" s="163">
        <f>SUMIF(修正!A57:A68,G2,修正!B57:B68)</f>
        <v>0.5</v>
      </c>
      <c r="G37" s="163">
        <f>ROUND(IF(E2="工业",C37*$M$42,C37*$M$41),0)</f>
        <v>45</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121</v>
      </c>
      <c r="D38" s="1940"/>
      <c r="E38" s="163">
        <f t="shared" ref="E38:E42" si="4">ROUND(C38*D38/10000,0)</f>
        <v>0</v>
      </c>
      <c r="F38" s="163">
        <f>SUMIF(修正!A57:A68,G2,修正!C57:C68)</f>
        <v>0.2</v>
      </c>
      <c r="G38" s="163">
        <f>ROUND(IF(E2="工业",C38*$M$42,C38*$M$41),0)</f>
        <v>18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121</v>
      </c>
      <c r="D39" s="1940"/>
      <c r="E39" s="163">
        <f t="shared" si="4"/>
        <v>0</v>
      </c>
      <c r="F39" s="163">
        <f>SUMIF(修正!A57:A68,G2,修正!D57:D68)</f>
        <v>0.2</v>
      </c>
      <c r="G39" s="163">
        <f>ROUND(IF(E2="工业",C39*$M$42,C39*$M$41),0)</f>
        <v>18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121</v>
      </c>
      <c r="D40" s="1940"/>
      <c r="E40" s="163">
        <f t="shared" si="4"/>
        <v>0</v>
      </c>
      <c r="F40" s="167">
        <f>SUMIF(修正!A57:A68,G2,修正!E57:E68)</f>
        <v>0.2</v>
      </c>
      <c r="G40" s="163">
        <f>ROUND(IF(E2="工业",C40*$M$42,C40*$M$41),0)</f>
        <v>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1.0135000000000001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3417</v>
      </c>
      <c r="D83" s="1002">
        <f t="shared" ref="D83:D90" si="22">SUMIF($J$82:$N$82,C83,J83:N83)</f>
        <v>6.4999999999999997E-3</v>
      </c>
      <c r="E83" s="702">
        <f>ROUND(SUM(D83:D90),4)</f>
        <v>1.35E-2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3418</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3417</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3418</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3418</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3417</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3417</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3418</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0.57150000000000001</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239611</v>
      </c>
      <c r="C2" s="268" t="s">
        <v>1595</v>
      </c>
      <c r="D2" s="268"/>
      <c r="E2" s="2568"/>
      <c r="F2" s="2568"/>
      <c r="G2" s="2568"/>
      <c r="H2" s="2568"/>
      <c r="I2" s="2568"/>
      <c r="J2" s="2568"/>
      <c r="K2" s="2568"/>
    </row>
    <row r="3" spans="1:33" ht="18" customHeight="1" thickBot="1">
      <c r="A3" s="195" t="s">
        <v>1464</v>
      </c>
      <c r="B3" s="196">
        <f ca="1">ROUND(B2*10000/IF(C1="",'数据-汇总表'!E3,INDIRECT("'数据-取费表'!K"&amp;$K$1)),0)</f>
        <v>1561065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1534.92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1534.92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-230215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100</v>
      </c>
      <c r="F19" s="756"/>
      <c r="G19" s="12"/>
      <c r="H19" s="1108"/>
      <c r="I19" s="761"/>
      <c r="J19" s="761"/>
      <c r="K19" s="762"/>
    </row>
    <row r="20" spans="1:33" s="755" customFormat="1" ht="13.5" customHeight="1">
      <c r="A20" s="752" t="s">
        <v>361</v>
      </c>
      <c r="B20" s="753" t="s">
        <v>1627</v>
      </c>
      <c r="C20" s="21">
        <f ca="1">ROUND(D20*E20/10000,0)</f>
        <v>23</v>
      </c>
      <c r="D20" s="796">
        <f ca="1">IF(C1="",'数据-汇总表'!E6,IF(INDIRECT("'数据-取费表'!c"&amp;$K$1)="住宅",INDIRECT("'数据-取费表'!s"&amp;$K$1),INDIRECT("'数据-取费表'!k"&amp;$K$1)+INDIRECT("'数据-取费表'!s"&amp;$K$1)))</f>
        <v>1534.92</v>
      </c>
      <c r="E20" s="21">
        <f>'数据-取费表'!B28</f>
        <v>150</v>
      </c>
      <c r="F20" s="756"/>
      <c r="G20" s="12"/>
      <c r="H20" s="761"/>
      <c r="I20" s="761"/>
      <c r="J20" s="761"/>
      <c r="K20" s="762"/>
    </row>
    <row r="21" spans="1:33" s="755" customFormat="1" ht="13.5" customHeight="1">
      <c r="A21" s="744" t="s">
        <v>357</v>
      </c>
      <c r="B21" s="765" t="s">
        <v>1628</v>
      </c>
      <c r="C21" s="766">
        <f ca="1">C16+C17+C18</f>
        <v>-230215</v>
      </c>
      <c r="D21" s="767"/>
      <c r="E21" s="273"/>
      <c r="F21" s="273"/>
      <c r="G21" s="123" t="s">
        <v>1629</v>
      </c>
      <c r="H21" s="759"/>
      <c r="I21" s="759"/>
      <c r="J21" s="759"/>
      <c r="K21" s="760"/>
    </row>
    <row r="22" spans="1:33" s="755" customFormat="1" ht="13.5" customHeight="1">
      <c r="A22" s="744" t="s">
        <v>1601</v>
      </c>
      <c r="B22" s="765" t="s">
        <v>1630</v>
      </c>
      <c r="C22" s="766">
        <f ca="1">ROUND(C21*F22,0)</f>
        <v>-4604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-11741</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-11741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239611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20.86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986.55200000000002</v>
      </c>
      <c r="C2" s="1289" t="s">
        <v>879</v>
      </c>
      <c r="D2" s="1375">
        <f ca="1">C40+J29+L46</f>
        <v>9865520</v>
      </c>
      <c r="E2" s="1295" t="s">
        <v>880</v>
      </c>
      <c r="F2" s="1296"/>
      <c r="G2" s="2479"/>
      <c r="H2" s="2469"/>
      <c r="I2" s="2469"/>
      <c r="J2" s="2469"/>
      <c r="K2" s="2470"/>
      <c r="L2" s="2469"/>
      <c r="M2" s="2469"/>
    </row>
    <row r="3" spans="1:37" ht="18" customHeight="1" thickBot="1">
      <c r="A3" s="1297" t="s">
        <v>881</v>
      </c>
      <c r="B3" s="1298">
        <f ca="1">IF(ISERROR(D2/F43),0,ROUND(D2/F43,0))</f>
        <v>6427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838053</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837007</v>
      </c>
      <c r="D6" s="147" t="s">
        <v>2106</v>
      </c>
      <c r="E6" s="294" t="s">
        <v>696</v>
      </c>
      <c r="F6" s="295">
        <f ca="1">INDIRECT("'数据-取费表'!u"&amp;$G$1)</f>
        <v>1.66</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1534.92</v>
      </c>
      <c r="G7" s="1292"/>
      <c r="H7" s="296"/>
      <c r="I7" s="3342"/>
      <c r="J7" s="298"/>
      <c r="K7" s="299"/>
      <c r="L7" s="294" t="s">
        <v>697</v>
      </c>
      <c r="M7" s="295">
        <f ca="1">F7</f>
        <v>1534.92</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1046</v>
      </c>
      <c r="D10" s="150" t="s">
        <v>2116</v>
      </c>
      <c r="E10" s="305" t="s">
        <v>701</v>
      </c>
      <c r="F10" s="1053" t="s">
        <v>3419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3205138</v>
      </c>
      <c r="D13" s="1018" t="s">
        <v>705</v>
      </c>
      <c r="E13" s="1018" t="s">
        <v>706</v>
      </c>
      <c r="F13" s="1019">
        <f ca="1">INDIRECT("'数据-取费表'!y"&amp;$G$1)</f>
        <v>0.63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3837300</v>
      </c>
      <c r="D14" s="1257" t="s">
        <v>708</v>
      </c>
      <c r="E14" s="1255"/>
      <c r="F14" s="311"/>
      <c r="G14" s="1292"/>
      <c r="H14" s="928" t="s">
        <v>398</v>
      </c>
      <c r="I14" s="294" t="s">
        <v>709</v>
      </c>
      <c r="J14" s="21">
        <f ca="1">C29</f>
        <v>5087520</v>
      </c>
      <c r="K14" s="12"/>
      <c r="L14" s="759"/>
      <c r="M14" s="760"/>
    </row>
    <row r="15" spans="1:37" s="1304" customFormat="1" ht="18" customHeight="1" thickBot="1">
      <c r="A15" s="928" t="s">
        <v>399</v>
      </c>
      <c r="B15" s="294" t="s">
        <v>710</v>
      </c>
      <c r="C15" s="21">
        <f ca="1">ROUND(C14*F15,0)</f>
        <v>115119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36954</v>
      </c>
      <c r="K16" s="1024" t="s">
        <v>715</v>
      </c>
      <c r="L16" s="1025"/>
      <c r="M16" s="1009"/>
    </row>
    <row r="17" spans="1:37" s="1304" customFormat="1" ht="18" customHeight="1">
      <c r="A17" s="928" t="s">
        <v>681</v>
      </c>
      <c r="B17" s="294" t="s">
        <v>716</v>
      </c>
      <c r="C17" s="21">
        <f ca="1">ROUND(F17*(F43+INDIRECT("'数据-取费表'!S"&amp;$G$1)),0)</f>
        <v>306984</v>
      </c>
      <c r="D17" s="294" t="s">
        <v>717</v>
      </c>
      <c r="E17" s="294" t="s">
        <v>718</v>
      </c>
      <c r="F17" s="23">
        <f>'数据-取费表'!B35</f>
        <v>200</v>
      </c>
      <c r="G17" s="1303"/>
      <c r="H17" s="928" t="s">
        <v>398</v>
      </c>
      <c r="I17" s="294" t="s">
        <v>719</v>
      </c>
      <c r="J17" s="2140">
        <f ca="1">ROUND(IF(AND(项目基本情况!B11="自然人",项目基本情况!B10="北京市"),J6*M17/(1+'数据-取费表'!C42),J18+J19+J20),0)</f>
        <v>26779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76746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4336149</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86723</v>
      </c>
      <c r="D20" s="315" t="s">
        <v>729</v>
      </c>
      <c r="E20" s="294" t="s">
        <v>712</v>
      </c>
      <c r="F20" s="314">
        <f>'数据-取费表'!B37</f>
        <v>0.02</v>
      </c>
      <c r="G20" s="1303"/>
      <c r="H20" s="928" t="s">
        <v>680</v>
      </c>
      <c r="I20" s="147" t="s">
        <v>730</v>
      </c>
      <c r="J20" s="22">
        <f ca="1">ROUND(M20*M21,0)</f>
        <v>26779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17852.8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10175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68554</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-36954</v>
      </c>
      <c r="K25" s="1032" t="s">
        <v>753</v>
      </c>
      <c r="L25" s="1033"/>
      <c r="M25" s="1034"/>
    </row>
    <row r="26" spans="1:37" ht="18" customHeight="1">
      <c r="A26" s="928" t="s">
        <v>397</v>
      </c>
      <c r="B26" s="294" t="s">
        <v>754</v>
      </c>
      <c r="C26" s="21">
        <f ca="1">ROUND((C19+C20)*F26,0)</f>
        <v>221144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5087520</v>
      </c>
      <c r="D29" s="1029"/>
      <c r="E29" s="1027"/>
      <c r="F29" s="1030"/>
      <c r="G29" s="1303"/>
      <c r="H29" s="325" t="s">
        <v>396</v>
      </c>
      <c r="I29" s="326" t="s">
        <v>768</v>
      </c>
      <c r="J29" s="327">
        <f ca="1">ROUND(J26/(1+F40)^F41,0)</f>
        <v>0</v>
      </c>
      <c r="K29" s="328" t="s">
        <v>769</v>
      </c>
      <c r="L29" s="329"/>
      <c r="M29" s="330">
        <f ca="1">INDIRECT("'数据-取费表'!k"&amp;$G$1)</f>
        <v>1534.92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188041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166280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43843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95658</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26779</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17852.8</v>
      </c>
      <c r="G35" s="1292"/>
      <c r="H35" s="2471"/>
      <c r="I35" s="1305"/>
      <c r="J35" s="1306"/>
      <c r="K35" s="2475"/>
      <c r="L35" s="2474"/>
      <c r="M35" s="2474"/>
    </row>
    <row r="36" spans="1:18" ht="18" customHeight="1">
      <c r="A36" s="1039" t="s">
        <v>402</v>
      </c>
      <c r="B36" s="294" t="s">
        <v>738</v>
      </c>
      <c r="C36" s="21">
        <f ca="1">ROUND(C29*F36,0)</f>
        <v>10175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3205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8381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650012</v>
      </c>
      <c r="D39" s="1032" t="s">
        <v>773</v>
      </c>
      <c r="E39" s="1033"/>
      <c r="F39" s="1034"/>
      <c r="G39" s="1292"/>
      <c r="H39" s="2474"/>
      <c r="I39" s="1305"/>
      <c r="J39" s="1306"/>
      <c r="K39" s="2472"/>
      <c r="L39" s="2474"/>
      <c r="M39" s="2474"/>
    </row>
    <row r="40" spans="1:18" ht="18" customHeight="1">
      <c r="A40" s="291" t="s">
        <v>395</v>
      </c>
      <c r="B40" s="292" t="s">
        <v>774</v>
      </c>
      <c r="C40" s="293">
        <f ca="1">ROUND(C39*(1-((1+F42)/(1+F40))^F41)/(F40-F42),0)</f>
        <v>9415341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20.86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6134</v>
      </c>
      <c r="D43" s="328" t="s">
        <v>777</v>
      </c>
      <c r="E43" s="329" t="s">
        <v>778</v>
      </c>
      <c r="F43" s="330">
        <f ca="1">INDIRECT("'数据-取费表'!k"&amp;$G$1)</f>
        <v>1534.92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-992.82500000000005</v>
      </c>
      <c r="D45" s="3131" t="s">
        <v>3344</v>
      </c>
      <c r="E45" s="1307"/>
      <c r="F45" s="1307"/>
      <c r="O45" s="1310" t="s">
        <v>808</v>
      </c>
      <c r="P45" s="1366"/>
      <c r="Q45" s="1366"/>
      <c r="R45" s="1366"/>
    </row>
    <row r="46" spans="1:18" s="1292" customFormat="1" ht="13.5" thickBot="1">
      <c r="A46" s="1311" t="s">
        <v>809</v>
      </c>
      <c r="C46" s="1312">
        <f ca="1">ROUND(C45,0)</f>
        <v>-993</v>
      </c>
      <c r="D46" s="1313" t="str">
        <f>C2</f>
        <v>万元</v>
      </c>
      <c r="I46" s="1314" t="s">
        <v>810</v>
      </c>
      <c r="J46" s="1315"/>
      <c r="K46" s="1316"/>
      <c r="L46" s="1317">
        <f ca="1">IF(M47="住宅",0,IF(L48&gt;J51,L60,J60))</f>
        <v>450179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9415341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20.86</v>
      </c>
      <c r="O48" s="1325" t="s">
        <v>404</v>
      </c>
      <c r="P48" s="1326" t="s">
        <v>821</v>
      </c>
      <c r="Q48" s="1327">
        <f ca="1">J60</f>
        <v>450179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2001</v>
      </c>
      <c r="K49" s="1330" t="s">
        <v>824</v>
      </c>
      <c r="L49" s="1333"/>
      <c r="O49" s="1334" t="s">
        <v>405</v>
      </c>
      <c r="P49" s="1326" t="s">
        <v>825</v>
      </c>
      <c r="Q49" s="1327">
        <f ca="1">C29</f>
        <v>5087520</v>
      </c>
      <c r="R49" s="1327" t="s">
        <v>818</v>
      </c>
    </row>
    <row r="50" spans="1:18" s="1292" customFormat="1" ht="13.5" thickBot="1">
      <c r="A50" s="922"/>
      <c r="B50" s="925"/>
      <c r="C50" s="926"/>
      <c r="D50" s="899"/>
      <c r="E50" s="993" t="s">
        <v>697</v>
      </c>
      <c r="F50" s="994">
        <f ca="1">F7</f>
        <v>1534.92</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8210140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20.86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20.86</v>
      </c>
      <c r="K53" s="3339" t="s">
        <v>837</v>
      </c>
      <c r="L53" s="3340"/>
      <c r="O53" s="1325" t="s">
        <v>409</v>
      </c>
      <c r="P53" s="1326" t="s">
        <v>838</v>
      </c>
      <c r="Q53" s="1327">
        <f ca="1">Q47+Q48</f>
        <v>9865520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3205138</v>
      </c>
      <c r="D56" s="1352"/>
      <c r="E56" s="1353"/>
      <c r="F56" s="1345"/>
      <c r="I56" s="1354" t="s">
        <v>842</v>
      </c>
      <c r="J56" s="1355" t="s">
        <v>3421</v>
      </c>
      <c r="K56" s="1328" t="s">
        <v>843</v>
      </c>
      <c r="L56" s="1331" t="str">
        <f ca="1">IF(L48&lt;J51,"——",L48-J51)</f>
        <v>——</v>
      </c>
      <c r="O56" s="1325" t="s">
        <v>403</v>
      </c>
      <c r="P56" s="1326" t="s">
        <v>817</v>
      </c>
      <c r="Q56" s="1327">
        <f ca="1">C40+J29</f>
        <v>9415341</v>
      </c>
      <c r="R56" s="1327" t="s">
        <v>818</v>
      </c>
    </row>
    <row r="57" spans="1:18" s="1292" customFormat="1" ht="24.75" thickBot="1">
      <c r="A57" s="1356"/>
      <c r="B57" s="896" t="s">
        <v>767</v>
      </c>
      <c r="C57" s="230">
        <f ca="1">C29</f>
        <v>5087520</v>
      </c>
      <c r="D57" s="1357"/>
      <c r="E57" s="1358"/>
      <c r="F57" s="1359"/>
      <c r="I57" s="1360" t="s">
        <v>844</v>
      </c>
      <c r="J57" s="1361">
        <f ca="1">IF(OR(M47="住宅",J51&lt;L48,J56="是"),"——",J51-L48)</f>
        <v>25.14</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40159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26779</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2035008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450179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26779</v>
      </c>
      <c r="D62" s="911" t="s">
        <v>786</v>
      </c>
      <c r="E62" s="896" t="s">
        <v>787</v>
      </c>
      <c r="F62" s="317">
        <f t="shared" si="0"/>
        <v>1.5</v>
      </c>
      <c r="I62" s="1367" t="s">
        <v>858</v>
      </c>
      <c r="J62" s="610" t="s">
        <v>859</v>
      </c>
      <c r="K62" s="610" t="s">
        <v>860</v>
      </c>
      <c r="L62" s="610" t="s">
        <v>861</v>
      </c>
      <c r="M62" s="1368" t="s">
        <v>862</v>
      </c>
      <c r="O62" s="1325" t="s">
        <v>409</v>
      </c>
      <c r="P62" s="1326" t="s">
        <v>863</v>
      </c>
      <c r="Q62" s="1327">
        <f ca="1">Q56+Q57</f>
        <v>9415341</v>
      </c>
      <c r="R62" s="1327" t="s">
        <v>410</v>
      </c>
    </row>
    <row r="63" spans="1:18" s="1292" customFormat="1" ht="13.5" thickBot="1">
      <c r="A63" s="318"/>
      <c r="B63" s="902"/>
      <c r="C63" s="26"/>
      <c r="D63" s="912"/>
      <c r="E63" s="896" t="s">
        <v>788</v>
      </c>
      <c r="F63" s="295">
        <f t="shared" ca="1" si="0"/>
        <v>17852.8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10175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3205</v>
      </c>
      <c r="D65" s="910" t="s">
        <v>743</v>
      </c>
      <c r="E65" s="896" t="s">
        <v>744</v>
      </c>
      <c r="F65" s="321">
        <f t="shared" ca="1" si="0"/>
        <v>1E-3</v>
      </c>
      <c r="I65" s="1367" t="s">
        <v>867</v>
      </c>
      <c r="J65" s="610">
        <v>40</v>
      </c>
      <c r="K65" s="610">
        <v>30</v>
      </c>
      <c r="L65" s="610">
        <v>50</v>
      </c>
      <c r="M65" s="1369">
        <v>0.02</v>
      </c>
      <c r="O65" s="1325" t="s">
        <v>403</v>
      </c>
      <c r="P65" s="1326" t="s">
        <v>868</v>
      </c>
      <c r="Q65" s="1327">
        <f ca="1">C40+J29</f>
        <v>9415341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-40159</v>
      </c>
      <c r="D67" s="909" t="s">
        <v>753</v>
      </c>
      <c r="E67" s="914"/>
      <c r="F67" s="915"/>
      <c r="O67" s="1334" t="s">
        <v>405</v>
      </c>
      <c r="P67" s="1326" t="s">
        <v>850</v>
      </c>
      <c r="Q67" s="1370">
        <f ca="1">L51</f>
        <v>8210140</v>
      </c>
      <c r="R67" s="1327" t="s">
        <v>870</v>
      </c>
    </row>
    <row r="68" spans="1:18" s="1292" customFormat="1" ht="16.5" thickBot="1">
      <c r="A68" s="893" t="s">
        <v>395</v>
      </c>
      <c r="B68" s="894" t="s">
        <v>774</v>
      </c>
      <c r="C68" s="293">
        <f ca="1">ROUND(C67*(1-((1+F70)/(1+F68))^F69)/(F68-F70),0)</f>
        <v>-512909</v>
      </c>
      <c r="D68" s="911" t="s">
        <v>758</v>
      </c>
      <c r="E68" s="896" t="s">
        <v>759</v>
      </c>
      <c r="F68" s="304">
        <f ca="1">F40</f>
        <v>0.05</v>
      </c>
      <c r="O68" s="1334" t="s">
        <v>406</v>
      </c>
      <c r="P68" s="1371" t="s">
        <v>871</v>
      </c>
      <c r="Q68" s="1327">
        <f ca="1">ROUND(Q69-Q70*Q71,0)</f>
        <v>425652</v>
      </c>
      <c r="R68" s="1327" t="s">
        <v>414</v>
      </c>
    </row>
    <row r="69" spans="1:18" s="1292" customFormat="1" ht="13.5" thickBot="1">
      <c r="A69" s="897"/>
      <c r="B69" s="898"/>
      <c r="C69" s="298"/>
      <c r="D69" s="916" t="s">
        <v>762</v>
      </c>
      <c r="E69" s="896" t="s">
        <v>763</v>
      </c>
      <c r="F69" s="324">
        <f ca="1">F41</f>
        <v>20.86</v>
      </c>
      <c r="O69" s="1334" t="s">
        <v>411</v>
      </c>
      <c r="P69" s="1371" t="s">
        <v>872</v>
      </c>
      <c r="Q69" s="1327">
        <f ca="1">C39</f>
        <v>650012</v>
      </c>
      <c r="R69" s="1327" t="s">
        <v>818</v>
      </c>
    </row>
    <row r="70" spans="1:18" s="1292" customFormat="1" ht="13.5" thickBot="1">
      <c r="A70" s="900"/>
      <c r="B70" s="901"/>
      <c r="C70" s="302"/>
      <c r="D70" s="912"/>
      <c r="E70" s="896" t="s">
        <v>766</v>
      </c>
      <c r="F70" s="991"/>
      <c r="O70" s="1334" t="s">
        <v>412</v>
      </c>
      <c r="P70" s="1371" t="s">
        <v>873</v>
      </c>
      <c r="Q70" s="1327">
        <f ca="1">C13</f>
        <v>3205138</v>
      </c>
      <c r="R70" s="1327" t="s">
        <v>818</v>
      </c>
    </row>
    <row r="71" spans="1:18" s="1292" customFormat="1" ht="13.5" thickBot="1">
      <c r="A71" s="917" t="s">
        <v>396</v>
      </c>
      <c r="B71" s="918" t="s">
        <v>776</v>
      </c>
      <c r="C71" s="327">
        <f ca="1">ROUND(C68/F71,0)</f>
        <v>-334</v>
      </c>
      <c r="D71" s="919" t="s">
        <v>777</v>
      </c>
      <c r="E71" s="920" t="s">
        <v>778</v>
      </c>
      <c r="F71" s="330">
        <f ca="1">F43</f>
        <v>1534.92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224360</v>
      </c>
      <c r="D75" s="1292"/>
      <c r="E75" s="1292"/>
      <c r="F75" s="1292"/>
      <c r="K75" s="1309"/>
      <c r="L75" s="1292"/>
      <c r="O75" s="1325" t="s">
        <v>409</v>
      </c>
      <c r="P75" s="1326" t="s">
        <v>838</v>
      </c>
      <c r="Q75" s="1327">
        <f ca="1">Q65+Q66</f>
        <v>9415341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0.65500000000000003</v>
      </c>
    </row>
    <row r="80" spans="1:18">
      <c r="B80" s="331" t="s">
        <v>800</v>
      </c>
      <c r="C80" s="266">
        <f ca="1">ROUND(C75/C39,3)</f>
        <v>0.34499999999999997</v>
      </c>
    </row>
    <row r="81" spans="2:3">
      <c r="B81" s="262" t="s">
        <v>801</v>
      </c>
      <c r="C81" s="230"/>
    </row>
    <row r="82" spans="2:3">
      <c r="B82" s="265" t="s">
        <v>802</v>
      </c>
      <c r="C82" s="267">
        <f ca="1">1-C83</f>
        <v>0.65999999999999992</v>
      </c>
    </row>
    <row r="83" spans="2:3">
      <c r="B83" s="265" t="s">
        <v>803</v>
      </c>
      <c r="C83" s="266">
        <f ca="1">ROUND(C13/C40,3)</f>
        <v>0.34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986.55200000000002</v>
      </c>
      <c r="C2" s="1729" t="s">
        <v>1651</v>
      </c>
      <c r="D2" s="1730" t="s">
        <v>1652</v>
      </c>
      <c r="E2" s="2393">
        <f>SUM(E6:E13)</f>
        <v>1534.92</v>
      </c>
      <c r="F2" s="2480"/>
      <c r="G2" s="459"/>
      <c r="H2" s="459"/>
      <c r="I2" s="459"/>
      <c r="J2" s="459"/>
      <c r="K2" s="459"/>
      <c r="L2" s="459"/>
      <c r="M2" s="459"/>
      <c r="N2" s="459"/>
      <c r="O2" s="459"/>
      <c r="P2" s="459"/>
      <c r="Q2" s="459"/>
      <c r="R2" s="459"/>
      <c r="S2" s="459"/>
    </row>
    <row r="3" spans="1:22" ht="15.75">
      <c r="A3" s="1728" t="s">
        <v>686</v>
      </c>
      <c r="B3" s="2387">
        <f ca="1">ROUND(B2*10000/E2,0)</f>
        <v>6427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986.55200000000002</v>
      </c>
      <c r="C6" s="1729" t="s">
        <v>1651</v>
      </c>
      <c r="D6" s="2480"/>
      <c r="E6" s="2392">
        <f>IF(OR(A6=0,F6="否"),0,'数据-取费表'!K6+'数据-取费表'!S6)</f>
        <v>1534.92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1534.92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1534.92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1534.92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估价对象为北京市房地产，为所有。根据《国有土地使用证》[]，估价对象（分摊）出让国有建设用地使用权面积为17852.8平方米，建筑面积为1534.92平方米。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估价对象为北京市房地产,为开发建设的，该项目尚在开发建设中。根据《国有土地使用证》[]，估价对象（分摊）出让国有建设用地使用权面积为17852.8平方米，规划建筑面积为1534.92平方米。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1534.92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148</v>
      </c>
      <c r="G10" s="402"/>
      <c r="H10" s="119">
        <f>ROUND(100/'数据-取费表'!G16,0)</f>
        <v>148</v>
      </c>
      <c r="I10" s="402"/>
      <c r="J10" s="119">
        <f>ROUND(100/'数据-取费表'!G16,0)</f>
        <v>148</v>
      </c>
      <c r="K10" s="592"/>
      <c r="L10" s="2490"/>
      <c r="M10" s="2491"/>
      <c r="N10" s="2491"/>
      <c r="O10" s="2542"/>
      <c r="P10" s="3368"/>
      <c r="Q10" s="530" t="str">
        <f t="shared" si="6"/>
        <v>土地使用年限（年）</v>
      </c>
      <c r="R10" s="664" t="s">
        <v>14</v>
      </c>
      <c r="S10" s="665">
        <f t="shared" si="0"/>
        <v>148</v>
      </c>
      <c r="T10" s="664" t="s">
        <v>14</v>
      </c>
      <c r="U10" s="665">
        <f t="shared" si="1"/>
        <v>148</v>
      </c>
      <c r="V10" s="664" t="s">
        <v>14</v>
      </c>
      <c r="W10" s="665">
        <f t="shared" si="2"/>
        <v>148</v>
      </c>
      <c r="X10" s="666"/>
      <c r="Y10" s="3243"/>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1534.92</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1534.92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148</v>
      </c>
      <c r="G10" s="371"/>
      <c r="H10" s="119">
        <f>ROUND(100/'数据-取费表'!G16,0)</f>
        <v>148</v>
      </c>
      <c r="I10" s="371"/>
      <c r="J10" s="119">
        <f>ROUND(100/'数据-取费表'!G16,0)</f>
        <v>148</v>
      </c>
      <c r="K10" s="592"/>
      <c r="L10" s="2490"/>
      <c r="M10" s="2491"/>
      <c r="N10" s="2491"/>
      <c r="O10" s="2542"/>
      <c r="P10" s="3368"/>
      <c r="Q10" s="530" t="str">
        <f t="shared" si="6"/>
        <v>土地使用年限（年）</v>
      </c>
      <c r="R10" s="664" t="s">
        <v>14</v>
      </c>
      <c r="S10" s="665">
        <f t="shared" si="0"/>
        <v>148</v>
      </c>
      <c r="T10" s="664" t="s">
        <v>14</v>
      </c>
      <c r="U10" s="665">
        <f t="shared" si="1"/>
        <v>148</v>
      </c>
      <c r="V10" s="664" t="s">
        <v>14</v>
      </c>
      <c r="W10" s="665">
        <f t="shared" si="2"/>
        <v>148</v>
      </c>
      <c r="X10" s="666"/>
      <c r="Y10" s="3243"/>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1534.92</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17852.8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1082</v>
      </c>
      <c r="C2" s="1984" t="s">
        <v>2074</v>
      </c>
      <c r="D2" s="1984" t="s">
        <v>2075</v>
      </c>
      <c r="E2" s="2398">
        <f ca="1">SUMIF(E6:E13,"&lt;&gt;#ref!",E6:E13)</f>
        <v>17852.8</v>
      </c>
      <c r="F2" s="2545"/>
      <c r="G2" s="2545"/>
      <c r="H2" s="2545"/>
      <c r="I2" s="2545"/>
      <c r="J2" s="2545"/>
      <c r="K2" s="2545"/>
      <c r="L2" s="2545"/>
      <c r="M2" s="2545"/>
      <c r="N2" s="2545"/>
      <c r="O2" s="2545"/>
      <c r="P2" s="2545"/>
    </row>
    <row r="3" spans="1:16" ht="15.75">
      <c r="A3" s="1984" t="s">
        <v>2076</v>
      </c>
      <c r="B3" s="2388">
        <f ca="1">ROUND(B2*10000/E2,0)</f>
        <v>606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1082</v>
      </c>
      <c r="C6" s="1984" t="s">
        <v>2074</v>
      </c>
      <c r="D6" s="2545"/>
      <c r="E6" s="2398">
        <f ca="1">SUMIF(INDIRECT("'"&amp;A6&amp;"'"&amp;"!C:C"),"建筑面积",INDIRECT("'"&amp;A6&amp;"'"&amp;"!D:D"))</f>
        <v>17852.8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6425-A250-4CD6-BAB0-6759B0D22DBF}">
  <dimension ref="A1"/>
  <sheetViews>
    <sheetView workbookViewId="0">
      <selection activeCell="Q16" sqref="Q1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1262</v>
      </c>
    </row>
    <row r="6" spans="1:5" ht="15.75">
      <c r="B6" s="3156"/>
      <c r="C6" s="1392" t="s">
        <v>911</v>
      </c>
      <c r="D6" s="797" t="str">
        <f ca="1">NUMBERSTRING(INT(D5*10000),2)&amp;"元整"</f>
        <v>壹仟贰佰陆拾贰万元整</v>
      </c>
    </row>
    <row r="7" spans="1:5" ht="15.75">
      <c r="B7" s="3161"/>
      <c r="C7" s="1393" t="s">
        <v>912</v>
      </c>
      <c r="D7" s="798">
        <f ca="1">结果表!H102</f>
        <v>8222</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1262</v>
      </c>
    </row>
    <row r="14" spans="1:5" ht="15.75">
      <c r="B14" s="3156"/>
      <c r="C14" s="1392" t="s">
        <v>911</v>
      </c>
      <c r="D14" s="797" t="str">
        <f ca="1">NUMBERSTRING(INT(D13*10000),2)&amp;"元整"</f>
        <v>壹仟贰佰陆拾贰万元整</v>
      </c>
    </row>
    <row r="15" spans="1:5" ht="15">
      <c r="B15" s="3161"/>
      <c r="C15" s="1393" t="s">
        <v>921</v>
      </c>
      <c r="D15" s="806">
        <f ca="1">结果表!H108</f>
        <v>8222</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24885</v>
      </c>
      <c r="C2" s="2" t="s">
        <v>106</v>
      </c>
      <c r="D2" s="191"/>
      <c r="E2" s="191"/>
      <c r="F2" s="191"/>
      <c r="G2" s="191"/>
    </row>
    <row r="3" spans="1:7" s="192" customFormat="1" ht="18" customHeight="1" thickBot="1">
      <c r="A3" s="195" t="s">
        <v>58</v>
      </c>
      <c r="B3" s="196">
        <f ca="1">ROUND(B2*10000/'数据-汇总表'!E3,0)</f>
        <v>162126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100</v>
      </c>
      <c r="F9" s="213"/>
      <c r="G9" s="218"/>
    </row>
    <row r="10" spans="1:7" s="206" customFormat="1" ht="13.5" customHeight="1">
      <c r="A10" s="733" t="s">
        <v>356</v>
      </c>
      <c r="B10" s="216" t="s">
        <v>67</v>
      </c>
      <c r="C10" s="217">
        <f>ROUND(D10*E10/10000,0)</f>
        <v>23</v>
      </c>
      <c r="D10" s="795">
        <f>'数据-汇总表'!E6</f>
        <v>1534.92</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v>
      </c>
      <c r="D19" s="204">
        <f>'数据-汇总表'!E3</f>
        <v>1534.92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1053</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1053</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384</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31</v>
      </c>
      <c r="D37" s="209">
        <f>'数据-汇总表'!E3</f>
        <v>1534.92</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7</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2.9999999999999997E-4</v>
      </c>
      <c r="D44" s="230"/>
      <c r="E44" s="230"/>
      <c r="F44" s="231"/>
      <c r="G44" s="3338"/>
    </row>
    <row r="45" spans="1:7" s="206" customFormat="1" ht="13.5" customHeight="1">
      <c r="A45" s="731" t="s">
        <v>341</v>
      </c>
      <c r="B45" s="236" t="s">
        <v>85</v>
      </c>
      <c r="C45" s="237">
        <f>C46</f>
        <v>22</v>
      </c>
      <c r="D45" s="227">
        <f>C47</f>
        <v>1E-3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511</v>
      </c>
      <c r="D49" s="224"/>
      <c r="E49" s="224"/>
      <c r="F49" s="256"/>
      <c r="G49" s="226" t="s">
        <v>435</v>
      </c>
    </row>
    <row r="50" spans="1:7" s="250" customFormat="1" ht="24">
      <c r="A50" s="731" t="s">
        <v>344</v>
      </c>
      <c r="B50" s="202" t="s">
        <v>97</v>
      </c>
      <c r="C50" s="224"/>
      <c r="D50" s="224"/>
      <c r="E50" s="224"/>
      <c r="F50" s="256">
        <f>IF('数据-取费表'!B24=0,'数据-取费表'!N16,1)</f>
        <v>0.63</v>
      </c>
      <c r="G50" s="239" t="s">
        <v>98</v>
      </c>
    </row>
    <row r="51" spans="1:7" ht="16.5" customHeight="1">
      <c r="A51" s="731" t="s">
        <v>345</v>
      </c>
      <c r="B51" s="202" t="s">
        <v>105</v>
      </c>
      <c r="C51" s="224">
        <f ca="1">ROUND(C49*F50,0)</f>
        <v>322</v>
      </c>
      <c r="D51" s="224"/>
      <c r="E51" s="224"/>
      <c r="F51" s="256"/>
      <c r="G51" s="226" t="s">
        <v>37</v>
      </c>
    </row>
    <row r="52" spans="1:7" s="200" customFormat="1" ht="16.5" thickBot="1">
      <c r="A52" s="257" t="s">
        <v>38</v>
      </c>
      <c r="B52" s="258"/>
      <c r="C52" s="259">
        <f ca="1">C31+C51</f>
        <v>24885</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45701</v>
      </c>
      <c r="B1" s="2930" t="s">
        <v>3371</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45701</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1534.92</v>
      </c>
      <c r="C4" s="801">
        <f>项目基本情况!C18</f>
        <v>17852.8</v>
      </c>
      <c r="D4" s="801">
        <f ca="1">结果表!D118</f>
        <v>1021</v>
      </c>
      <c r="E4" s="801">
        <f ca="1">结果表!E118</f>
        <v>6652</v>
      </c>
      <c r="F4" s="801">
        <f ca="1">结果表!F118</f>
        <v>241</v>
      </c>
      <c r="G4" s="801">
        <f ca="1">结果表!G118</f>
        <v>1570</v>
      </c>
      <c r="H4" s="801">
        <f ca="1">结果表!H118</f>
        <v>1262</v>
      </c>
      <c r="I4" s="801">
        <f ca="1">结果表!I118</f>
        <v>8222</v>
      </c>
    </row>
    <row r="5" spans="1:9" ht="30" customHeight="1">
      <c r="A5" s="3168" t="s">
        <v>927</v>
      </c>
      <c r="B5" s="3168"/>
      <c r="C5" s="3168"/>
      <c r="D5" s="3168" t="str">
        <f ca="1">结果表!D119</f>
        <v>壹仟零贰拾壹万元整</v>
      </c>
      <c r="E5" s="3168"/>
      <c r="F5" s="3168" t="str">
        <f ca="1">结果表!F119</f>
        <v>贰佰肆拾壹万元整</v>
      </c>
      <c r="G5" s="3168"/>
      <c r="H5" s="3168" t="str">
        <f ca="1">结果表!H119</f>
        <v>壹仟贰佰陆拾贰万元整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1262</v>
      </c>
      <c r="E8" s="3167"/>
      <c r="F8" s="3167"/>
      <c r="G8" s="3167"/>
      <c r="H8" s="3167"/>
      <c r="I8" s="3167"/>
    </row>
    <row r="9" spans="1:9" ht="15">
      <c r="A9" s="3168" t="s">
        <v>927</v>
      </c>
      <c r="B9" s="3168"/>
      <c r="C9" s="3168"/>
      <c r="D9" s="3168" t="str">
        <f ca="1">结果表!D123</f>
        <v>壹仟贰佰陆拾贰万元整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2025-02-13T09:27:06Z</dcterms:modified>
</cp:coreProperties>
</file>