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60" yWindow="195" windowWidth="19170" windowHeight="13680" activeTab="2"/>
  </bookViews>
  <sheets>
    <sheet name="抵押地块土地成本重计算" sheetId="1" r:id="rId1"/>
    <sheet name="用款项目缺口测算" sheetId="2" r:id="rId2"/>
    <sheet name="壳项目指标" sheetId="3" r:id="rId3"/>
    <sheet name="壳项目进度及投入" sheetId="4" r:id="rId4"/>
    <sheet name="Sheet4" sheetId="5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3" l="1"/>
  <c r="J32" i="3"/>
  <c r="AC6" i="3" l="1"/>
  <c r="AC7" i="3"/>
  <c r="AC8" i="3"/>
  <c r="AC5" i="3"/>
  <c r="AB8" i="3"/>
  <c r="AB7" i="3"/>
  <c r="AB6" i="3"/>
  <c r="AB5" i="3"/>
  <c r="AA8" i="3"/>
  <c r="AA7" i="3"/>
  <c r="AA6" i="3"/>
  <c r="AA5" i="3"/>
  <c r="Z5" i="3"/>
  <c r="Z8" i="3" s="1"/>
  <c r="Z7" i="3"/>
  <c r="Z6" i="3"/>
  <c r="AG6" i="3"/>
  <c r="AG5" i="3"/>
  <c r="H37" i="3" l="1"/>
  <c r="K29" i="3"/>
  <c r="M29" i="3"/>
  <c r="N29" i="3"/>
  <c r="O29" i="3"/>
  <c r="P29" i="3"/>
  <c r="Q29" i="3"/>
  <c r="R29" i="3"/>
  <c r="S29" i="3"/>
  <c r="T29" i="3"/>
  <c r="U29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AG26" i="3"/>
  <c r="AI27" i="3" s="1"/>
  <c r="AH23" i="3"/>
  <c r="AH21" i="3"/>
  <c r="AJ19" i="3"/>
  <c r="AH19" i="3"/>
  <c r="AJ18" i="3"/>
  <c r="AH18" i="3"/>
  <c r="AJ16" i="3"/>
  <c r="AH16" i="3"/>
  <c r="AJ15" i="3"/>
  <c r="AH15" i="3"/>
  <c r="AJ14" i="3"/>
  <c r="AH14" i="3"/>
  <c r="AJ13" i="3"/>
  <c r="AH13" i="3"/>
  <c r="AJ12" i="3"/>
  <c r="AH12" i="3"/>
  <c r="AJ11" i="3"/>
  <c r="AH11" i="3"/>
  <c r="AJ10" i="3"/>
  <c r="AH10" i="3"/>
  <c r="AJ9" i="3"/>
  <c r="AH9" i="3"/>
  <c r="AJ8" i="3"/>
  <c r="AH8" i="3"/>
  <c r="AJ7" i="3"/>
  <c r="AH7" i="3"/>
  <c r="H42" i="3"/>
  <c r="V25" i="3"/>
  <c r="W25" i="3" s="1"/>
  <c r="V26" i="3"/>
  <c r="V27" i="3"/>
  <c r="W27" i="3" s="1"/>
  <c r="V28" i="3"/>
  <c r="V4" i="3"/>
  <c r="W4" i="3" s="1"/>
  <c r="V5" i="3"/>
  <c r="W5" i="3" s="1"/>
  <c r="V6" i="3"/>
  <c r="W6" i="3" s="1"/>
  <c r="V7" i="3"/>
  <c r="W7" i="3" s="1"/>
  <c r="V8" i="3"/>
  <c r="W8" i="3" s="1"/>
  <c r="V9" i="3"/>
  <c r="W9" i="3" s="1"/>
  <c r="V10" i="3"/>
  <c r="W10" i="3" s="1"/>
  <c r="V11" i="3"/>
  <c r="W11" i="3" s="1"/>
  <c r="V12" i="3"/>
  <c r="W12" i="3" s="1"/>
  <c r="V13" i="3"/>
  <c r="W13" i="3" s="1"/>
  <c r="V14" i="3"/>
  <c r="W14" i="3" s="1"/>
  <c r="V15" i="3"/>
  <c r="W15" i="3" s="1"/>
  <c r="V16" i="3"/>
  <c r="W16" i="3" s="1"/>
  <c r="V18" i="3"/>
  <c r="V19" i="3"/>
  <c r="W19" i="3" s="1"/>
  <c r="V20" i="3"/>
  <c r="W20" i="3" s="1"/>
  <c r="V21" i="3"/>
  <c r="W21" i="3" s="1"/>
  <c r="V22" i="3"/>
  <c r="V23" i="3"/>
  <c r="W23" i="3" s="1"/>
  <c r="V24" i="3"/>
  <c r="W24" i="3" s="1"/>
  <c r="V3" i="3"/>
  <c r="W3" i="3" s="1"/>
  <c r="U30" i="3" l="1"/>
  <c r="S30" i="3"/>
  <c r="Q30" i="3"/>
  <c r="O30" i="3"/>
  <c r="M30" i="3"/>
  <c r="V29" i="3"/>
  <c r="T30" i="3"/>
  <c r="R30" i="3"/>
  <c r="P30" i="3"/>
  <c r="N30" i="3"/>
  <c r="K30" i="3"/>
  <c r="W17" i="3"/>
  <c r="W18" i="3"/>
  <c r="W29" i="3" s="1"/>
  <c r="V17" i="3"/>
  <c r="V30" i="3" s="1"/>
  <c r="AH5" i="3"/>
  <c r="AI5" i="3"/>
  <c r="AJ6" i="3"/>
  <c r="AH6" i="3"/>
  <c r="W30" i="3" l="1"/>
  <c r="H11" i="4"/>
  <c r="J11" i="4" s="1"/>
  <c r="E11" i="4"/>
  <c r="H10" i="4"/>
  <c r="J10" i="4" s="1"/>
  <c r="E10" i="4"/>
  <c r="H9" i="4"/>
  <c r="J9" i="4" s="1"/>
  <c r="E9" i="4"/>
  <c r="H8" i="4"/>
  <c r="J8" i="4" s="1"/>
  <c r="E8" i="4"/>
  <c r="I7" i="4"/>
  <c r="H7" i="4"/>
  <c r="E7" i="4"/>
  <c r="H6" i="4"/>
  <c r="I6" i="4" s="1"/>
  <c r="J6" i="4" s="1"/>
  <c r="E6" i="4"/>
  <c r="H5" i="4"/>
  <c r="I5" i="4" s="1"/>
  <c r="J5" i="4" s="1"/>
  <c r="E5" i="4"/>
  <c r="H4" i="4"/>
  <c r="I4" i="4" s="1"/>
  <c r="J4" i="4" s="1"/>
  <c r="H28" i="3"/>
  <c r="J27" i="3"/>
  <c r="I27" i="3"/>
  <c r="L26" i="3"/>
  <c r="H26" i="3"/>
  <c r="J25" i="3"/>
  <c r="I25" i="3"/>
  <c r="H24" i="3"/>
  <c r="X24" i="3" s="1"/>
  <c r="J23" i="3"/>
  <c r="J29" i="3" s="1"/>
  <c r="J30" i="3" s="1"/>
  <c r="I23" i="3"/>
  <c r="I29" i="3" s="1"/>
  <c r="I30" i="3" s="1"/>
  <c r="H22" i="3"/>
  <c r="H21" i="3"/>
  <c r="X21" i="3" s="1"/>
  <c r="H20" i="3"/>
  <c r="X20" i="3" s="1"/>
  <c r="H19" i="3"/>
  <c r="X19" i="3" s="1"/>
  <c r="H18" i="3"/>
  <c r="H16" i="3"/>
  <c r="X16" i="3" s="1"/>
  <c r="H15" i="3"/>
  <c r="X15" i="3" s="1"/>
  <c r="H14" i="3"/>
  <c r="X14" i="3" s="1"/>
  <c r="H13" i="3"/>
  <c r="X13" i="3" s="1"/>
  <c r="H12" i="3"/>
  <c r="X12" i="3" s="1"/>
  <c r="H11" i="3"/>
  <c r="X11" i="3" s="1"/>
  <c r="H10" i="3"/>
  <c r="X10" i="3" s="1"/>
  <c r="H9" i="3"/>
  <c r="X9" i="3" s="1"/>
  <c r="H8" i="3"/>
  <c r="X8" i="3" s="1"/>
  <c r="H7" i="3"/>
  <c r="X7" i="3" s="1"/>
  <c r="H6" i="3"/>
  <c r="X6" i="3" s="1"/>
  <c r="H5" i="3"/>
  <c r="X5" i="3" s="1"/>
  <c r="H4" i="3"/>
  <c r="X4" i="3" s="1"/>
  <c r="H3" i="3"/>
  <c r="H17" i="3" l="1"/>
  <c r="AG4" i="3"/>
  <c r="L29" i="3"/>
  <c r="L30" i="3" s="1"/>
  <c r="H39" i="3"/>
  <c r="X3" i="3"/>
  <c r="X17" i="3" s="1"/>
  <c r="X18" i="3"/>
  <c r="H27" i="3"/>
  <c r="X27" i="3" s="1"/>
  <c r="H23" i="3"/>
  <c r="X23" i="3" s="1"/>
  <c r="B2" i="2"/>
  <c r="J7" i="4"/>
  <c r="H25" i="3"/>
  <c r="B11" i="1"/>
  <c r="B12" i="1"/>
  <c r="H40" i="3" l="1"/>
  <c r="H41" i="3" s="1"/>
  <c r="H43" i="3" s="1"/>
  <c r="AI4" i="3"/>
  <c r="AH4" i="3"/>
  <c r="AG20" i="3"/>
  <c r="H29" i="3"/>
  <c r="H30" i="3" s="1"/>
  <c r="J40" i="3"/>
  <c r="X25" i="3"/>
  <c r="H32" i="3"/>
  <c r="C15" i="1"/>
  <c r="C6" i="1"/>
  <c r="B14" i="1"/>
  <c r="D14" i="1" s="1"/>
  <c r="B15" i="1"/>
  <c r="D15" i="1" s="1"/>
  <c r="B4" i="1"/>
  <c r="B6" i="1" s="1"/>
  <c r="K40" i="3" l="1"/>
  <c r="J33" i="3"/>
  <c r="J34" i="3" s="1"/>
  <c r="X29" i="3"/>
  <c r="H33" i="3"/>
  <c r="AH20" i="3"/>
  <c r="J35" i="3"/>
  <c r="I34" i="3"/>
  <c r="D6" i="1"/>
  <c r="B26" i="1"/>
  <c r="B29" i="1" s="1"/>
  <c r="B3" i="2"/>
  <c r="B7" i="2"/>
  <c r="B8" i="2" s="1"/>
  <c r="J36" i="3" l="1"/>
  <c r="X30" i="3"/>
  <c r="X31" i="3" s="1"/>
  <c r="AG22" i="3"/>
  <c r="J37" i="3"/>
  <c r="I35" i="3"/>
  <c r="I36" i="3"/>
  <c r="B4" i="2"/>
  <c r="I13" i="4"/>
  <c r="B6" i="2" s="1"/>
  <c r="B9" i="2" s="1"/>
  <c r="H13" i="4"/>
  <c r="I37" i="3" l="1"/>
  <c r="AG24" i="3"/>
  <c r="AH22" i="3"/>
  <c r="AH24" i="3" l="1"/>
  <c r="AG25" i="3"/>
  <c r="AG27" i="3" s="1"/>
</calcChain>
</file>

<file path=xl/sharedStrings.xml><?xml version="1.0" encoding="utf-8"?>
<sst xmlns="http://schemas.openxmlformats.org/spreadsheetml/2006/main" count="221" uniqueCount="182">
  <si>
    <t>应付（元）</t>
  </si>
  <si>
    <t>实付（元）</t>
  </si>
  <si>
    <t>土地补偿费用</t>
  </si>
  <si>
    <t>拆迁安置补偿款</t>
  </si>
  <si>
    <t>开发建设补偿费</t>
  </si>
  <si>
    <t>过渡补偿费</t>
  </si>
  <si>
    <t>　合计</t>
  </si>
  <si>
    <t>土地价款</t>
    <phoneticPr fontId="4" type="noConversion"/>
  </si>
  <si>
    <t>土地出让合同写明的金额</t>
    <phoneticPr fontId="4" type="noConversion"/>
  </si>
  <si>
    <t>15%的土地价款</t>
    <phoneticPr fontId="4" type="noConversion"/>
  </si>
  <si>
    <t>印花税+契税</t>
    <phoneticPr fontId="4" type="noConversion"/>
  </si>
  <si>
    <t>合计</t>
    <phoneticPr fontId="4" type="noConversion"/>
  </si>
  <si>
    <t>拆迁补偿费</t>
    <phoneticPr fontId="4" type="noConversion"/>
  </si>
  <si>
    <t>H地块分摊的拆迁费</t>
    <phoneticPr fontId="4" type="noConversion"/>
  </si>
  <si>
    <t>H地块的建筑面积</t>
    <phoneticPr fontId="4" type="noConversion"/>
  </si>
  <si>
    <t>G地块的建筑面积</t>
    <phoneticPr fontId="4" type="noConversion"/>
  </si>
  <si>
    <t>G地块分摊的拆迁费</t>
    <phoneticPr fontId="4" type="noConversion"/>
  </si>
  <si>
    <t>差额</t>
    <phoneticPr fontId="4" type="noConversion"/>
  </si>
  <si>
    <t>重计算</t>
    <phoneticPr fontId="4" type="noConversion"/>
  </si>
  <si>
    <t>土地出让金</t>
    <phoneticPr fontId="4" type="noConversion"/>
  </si>
  <si>
    <t>土地拆迁补偿款</t>
    <phoneticPr fontId="4" type="noConversion"/>
  </si>
  <si>
    <t>土地拆迁补偿款</t>
    <phoneticPr fontId="4" type="noConversion"/>
  </si>
  <si>
    <t>企业测算表金额</t>
    <phoneticPr fontId="4" type="noConversion"/>
  </si>
  <si>
    <t>企业测算表金额</t>
    <phoneticPr fontId="4" type="noConversion"/>
  </si>
  <si>
    <t>备注</t>
    <phoneticPr fontId="4" type="noConversion"/>
  </si>
  <si>
    <t>面积为评估报告里面的金额</t>
    <phoneticPr fontId="4" type="noConversion"/>
  </si>
  <si>
    <t>土地实际取得成本</t>
    <phoneticPr fontId="4" type="noConversion"/>
  </si>
  <si>
    <t>信托规模</t>
    <phoneticPr fontId="4" type="noConversion"/>
  </si>
  <si>
    <t>土地评估价值</t>
    <phoneticPr fontId="4" type="noConversion"/>
  </si>
  <si>
    <t>抵押率</t>
    <phoneticPr fontId="4" type="noConversion"/>
  </si>
  <si>
    <t>项目名称</t>
  </si>
  <si>
    <t>状态</t>
    <phoneticPr fontId="7" type="noConversion"/>
  </si>
  <si>
    <t>总包单位</t>
    <phoneticPr fontId="7" type="noConversion"/>
  </si>
  <si>
    <t>组团</t>
  </si>
  <si>
    <t>地下层数</t>
  </si>
  <si>
    <t>地上层数</t>
  </si>
  <si>
    <t>栋数</t>
  </si>
  <si>
    <t>建筑面积</t>
  </si>
  <si>
    <t>地上建筑面积</t>
  </si>
  <si>
    <t>地下建筑面积</t>
  </si>
  <si>
    <t>原计容面积</t>
    <phoneticPr fontId="7" type="noConversion"/>
  </si>
  <si>
    <t>可售面积</t>
    <phoneticPr fontId="7" type="noConversion"/>
  </si>
  <si>
    <t>已售面积</t>
    <phoneticPr fontId="7" type="noConversion"/>
  </si>
  <si>
    <t>认购金额</t>
    <phoneticPr fontId="7" type="noConversion"/>
  </si>
  <si>
    <t>回款金额</t>
    <phoneticPr fontId="7" type="noConversion"/>
  </si>
  <si>
    <t>已备案</t>
    <phoneticPr fontId="7" type="noConversion"/>
  </si>
  <si>
    <t>未备案</t>
    <phoneticPr fontId="7" type="noConversion"/>
  </si>
  <si>
    <t>草签</t>
    <phoneticPr fontId="7" type="noConversion"/>
  </si>
  <si>
    <t>已备案</t>
    <phoneticPr fontId="7" type="noConversion"/>
  </si>
  <si>
    <t>草签</t>
    <phoneticPr fontId="7" type="noConversion"/>
  </si>
  <si>
    <t>富力天禧城
C区</t>
  </si>
  <si>
    <t>已取预售证</t>
    <phoneticPr fontId="7" type="noConversion"/>
  </si>
  <si>
    <t>山西诚泰建筑工程有限公司</t>
    <phoneticPr fontId="7" type="noConversion"/>
  </si>
  <si>
    <t>C8#住宅</t>
  </si>
  <si>
    <t>C12#住宅</t>
  </si>
  <si>
    <t>C13#住宅</t>
  </si>
  <si>
    <t>山西诚泰建筑工程有限公司</t>
    <phoneticPr fontId="7" type="noConversion"/>
  </si>
  <si>
    <t>C15#住宅</t>
  </si>
  <si>
    <t>C18#住宅</t>
  </si>
  <si>
    <t>C19#住宅</t>
  </si>
  <si>
    <t>广州天力建筑工程有限公司</t>
    <phoneticPr fontId="7" type="noConversion"/>
  </si>
  <si>
    <t>C3#住宅</t>
  </si>
  <si>
    <t>广州天力建筑工程有限公司</t>
    <phoneticPr fontId="7" type="noConversion"/>
  </si>
  <si>
    <t>C6#住宅</t>
  </si>
  <si>
    <t>C7#住宅</t>
  </si>
  <si>
    <t>C11#住宅</t>
  </si>
  <si>
    <t>C17#住宅</t>
  </si>
  <si>
    <t>CS1#商业</t>
  </si>
  <si>
    <t>--</t>
  </si>
  <si>
    <t>CS2#综合楼</t>
  </si>
  <si>
    <t>CS3#商业</t>
  </si>
  <si>
    <t>未取预售证</t>
    <phoneticPr fontId="7" type="noConversion"/>
  </si>
  <si>
    <t>CS4#综合楼</t>
  </si>
  <si>
    <t>CS5#商业</t>
  </si>
  <si>
    <t>C1#住宅</t>
  </si>
  <si>
    <t>C2#住宅</t>
  </si>
  <si>
    <t>C4#住宅</t>
  </si>
  <si>
    <t>C5#住宅</t>
  </si>
  <si>
    <t>C9#住宅</t>
  </si>
  <si>
    <t>C10#住宅</t>
  </si>
  <si>
    <t>C14#住宅</t>
  </si>
  <si>
    <t>C16#住宅</t>
  </si>
  <si>
    <t>地下车库</t>
  </si>
  <si>
    <t>—</t>
  </si>
  <si>
    <r>
      <t>单位：万元，M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phoneticPr fontId="7" type="noConversion"/>
  </si>
  <si>
    <t>地块</t>
  </si>
  <si>
    <t>类型</t>
  </si>
  <si>
    <t>建筑面积</t>
    <phoneticPr fontId="7" type="noConversion"/>
  </si>
  <si>
    <t>五证取得情况</t>
    <phoneticPr fontId="7" type="noConversion"/>
  </si>
  <si>
    <t xml:space="preserve">总投资
</t>
    <phoneticPr fontId="7" type="noConversion"/>
  </si>
  <si>
    <t>已投资</t>
  </si>
  <si>
    <t>施工进度</t>
  </si>
  <si>
    <t>地上面积</t>
    <phoneticPr fontId="7" type="noConversion"/>
  </si>
  <si>
    <t>地下面积</t>
    <phoneticPr fontId="7" type="noConversion"/>
  </si>
  <si>
    <t>合计面积</t>
    <phoneticPr fontId="7" type="noConversion"/>
  </si>
  <si>
    <t>其他</t>
    <phoneticPr fontId="7" type="noConversion"/>
  </si>
  <si>
    <t>合计</t>
    <phoneticPr fontId="7" type="noConversion"/>
  </si>
  <si>
    <t>天禧城A区</t>
  </si>
  <si>
    <t>住宅</t>
  </si>
  <si>
    <t>五证齐</t>
    <phoneticPr fontId="7" type="noConversion"/>
  </si>
  <si>
    <t>天禧城B区</t>
  </si>
  <si>
    <t>五证齐</t>
    <phoneticPr fontId="7" type="noConversion"/>
  </si>
  <si>
    <t>天禧城L区</t>
  </si>
  <si>
    <t>商业</t>
  </si>
  <si>
    <t>二证齐全</t>
    <phoneticPr fontId="7" type="noConversion"/>
  </si>
  <si>
    <t>天禧城C区</t>
    <phoneticPr fontId="7" type="noConversion"/>
  </si>
  <si>
    <t>四证齐</t>
  </si>
  <si>
    <t>天禧公馆D区</t>
    <phoneticPr fontId="7" type="noConversion"/>
  </si>
  <si>
    <t>天禧公馆E区</t>
    <phoneticPr fontId="7" type="noConversion"/>
  </si>
  <si>
    <t>天禧公馆K区</t>
    <phoneticPr fontId="7" type="noConversion"/>
  </si>
  <si>
    <t>二证齐全</t>
    <phoneticPr fontId="7" type="noConversion"/>
  </si>
  <si>
    <t>天禧公馆M区</t>
    <phoneticPr fontId="7" type="noConversion"/>
  </si>
  <si>
    <t>学校</t>
    <phoneticPr fontId="7" type="noConversion"/>
  </si>
  <si>
    <t>二证齐全</t>
    <phoneticPr fontId="7" type="noConversion"/>
  </si>
  <si>
    <t>未拿预售证-C4-C14</t>
    <phoneticPr fontId="6" type="noConversion"/>
  </si>
  <si>
    <t>土地出让金及契税/印花税</t>
    <phoneticPr fontId="7" type="noConversion"/>
  </si>
  <si>
    <t>建筑面积比</t>
    <phoneticPr fontId="6" type="noConversion"/>
  </si>
  <si>
    <t>C区土地出让金：</t>
    <phoneticPr fontId="6" type="noConversion"/>
  </si>
  <si>
    <t>未拿预售证-C4-C14：</t>
    <phoneticPr fontId="6" type="noConversion"/>
  </si>
  <si>
    <t>建筑面积比：</t>
    <phoneticPr fontId="6" type="noConversion"/>
  </si>
  <si>
    <t>土地出让金摊分金额</t>
    <phoneticPr fontId="6" type="noConversion"/>
  </si>
  <si>
    <t>其他已投款摊分占比：</t>
    <phoneticPr fontId="6" type="noConversion"/>
  </si>
  <si>
    <t>总投重计算：</t>
    <phoneticPr fontId="6" type="noConversion"/>
  </si>
  <si>
    <t>总投的25%：</t>
    <phoneticPr fontId="6" type="noConversion"/>
  </si>
  <si>
    <t>项目缺口：</t>
    <phoneticPr fontId="6" type="noConversion"/>
  </si>
  <si>
    <t>购地税费</t>
    <phoneticPr fontId="6" type="noConversion"/>
  </si>
  <si>
    <t>土地出让款收入</t>
    <phoneticPr fontId="6" type="noConversion"/>
  </si>
  <si>
    <t>土地款：</t>
    <phoneticPr fontId="6" type="noConversion"/>
  </si>
  <si>
    <t>总额</t>
    <phoneticPr fontId="6" type="noConversion"/>
  </si>
  <si>
    <t>按比例拆分</t>
    <phoneticPr fontId="6" type="noConversion"/>
  </si>
  <si>
    <t>已售合计</t>
    <phoneticPr fontId="6" type="noConversion"/>
  </si>
  <si>
    <t>未售合计</t>
    <phoneticPr fontId="6" type="noConversion"/>
  </si>
  <si>
    <t>已投</t>
    <phoneticPr fontId="6" type="noConversion"/>
  </si>
  <si>
    <t>已取得预售证</t>
    <phoneticPr fontId="6" type="noConversion"/>
  </si>
  <si>
    <t>未售部分已投</t>
    <phoneticPr fontId="6" type="noConversion"/>
  </si>
  <si>
    <t>业态</t>
    <phoneticPr fontId="4" type="noConversion"/>
  </si>
  <si>
    <t>规划建筑面积</t>
    <phoneticPr fontId="4" type="noConversion"/>
  </si>
  <si>
    <t>占比</t>
    <phoneticPr fontId="4" type="noConversion"/>
  </si>
  <si>
    <t>套（个）数</t>
    <phoneticPr fontId="4" type="noConversion"/>
  </si>
  <si>
    <t>户均面积</t>
    <phoneticPr fontId="4" type="noConversion"/>
  </si>
  <si>
    <t>经营性</t>
    <phoneticPr fontId="4" type="noConversion"/>
  </si>
  <si>
    <t>1</t>
    <phoneticPr fontId="4" type="noConversion"/>
  </si>
  <si>
    <t>高层住宅</t>
    <phoneticPr fontId="4" type="noConversion"/>
  </si>
  <si>
    <t>2</t>
    <phoneticPr fontId="4" type="noConversion"/>
  </si>
  <si>
    <t>公寓</t>
    <phoneticPr fontId="4" type="noConversion"/>
  </si>
  <si>
    <t>3</t>
    <phoneticPr fontId="4" type="noConversion"/>
  </si>
  <si>
    <t>商业</t>
    <phoneticPr fontId="4" type="noConversion"/>
  </si>
  <si>
    <t>4</t>
    <phoneticPr fontId="4" type="noConversion"/>
  </si>
  <si>
    <t>5</t>
    <phoneticPr fontId="4" type="noConversion"/>
  </si>
  <si>
    <t>6</t>
    <phoneticPr fontId="4" type="noConversion"/>
  </si>
  <si>
    <t>7</t>
    <phoneticPr fontId="4" type="noConversion"/>
  </si>
  <si>
    <t>8</t>
    <phoneticPr fontId="4" type="noConversion"/>
  </si>
  <si>
    <t>9</t>
    <phoneticPr fontId="4" type="noConversion"/>
  </si>
  <si>
    <t>10</t>
    <phoneticPr fontId="4" type="noConversion"/>
  </si>
  <si>
    <t>11</t>
    <phoneticPr fontId="4" type="noConversion"/>
  </si>
  <si>
    <t>12</t>
    <phoneticPr fontId="4" type="noConversion"/>
  </si>
  <si>
    <t>13</t>
    <phoneticPr fontId="4" type="noConversion"/>
  </si>
  <si>
    <t>14</t>
    <phoneticPr fontId="4" type="noConversion"/>
  </si>
  <si>
    <t>15</t>
    <phoneticPr fontId="4" type="noConversion"/>
  </si>
  <si>
    <t>非人防地下车库</t>
    <phoneticPr fontId="4" type="noConversion"/>
  </si>
  <si>
    <t>小计</t>
    <phoneticPr fontId="4" type="noConversion"/>
  </si>
  <si>
    <t>非经营</t>
    <phoneticPr fontId="4" type="noConversion"/>
  </si>
  <si>
    <t>公共配套</t>
    <phoneticPr fontId="4" type="noConversion"/>
  </si>
  <si>
    <t>设备及其他</t>
    <phoneticPr fontId="4" type="noConversion"/>
  </si>
  <si>
    <t>人防</t>
    <phoneticPr fontId="4" type="noConversion"/>
  </si>
  <si>
    <t>合计</t>
    <phoneticPr fontId="4" type="noConversion"/>
  </si>
  <si>
    <t>土地面积</t>
    <phoneticPr fontId="4" type="noConversion"/>
  </si>
  <si>
    <t>容积率</t>
    <phoneticPr fontId="4" type="noConversion"/>
  </si>
  <si>
    <t>已取证未售面积</t>
    <phoneticPr fontId="6" type="noConversion"/>
  </si>
  <si>
    <t>配套设备面积</t>
    <phoneticPr fontId="6" type="noConversion"/>
  </si>
  <si>
    <t>合计</t>
    <phoneticPr fontId="6" type="noConversion"/>
  </si>
  <si>
    <t>小计</t>
    <phoneticPr fontId="6" type="noConversion"/>
  </si>
  <si>
    <t>小计</t>
    <phoneticPr fontId="6" type="noConversion"/>
  </si>
  <si>
    <t>未取证面积</t>
    <phoneticPr fontId="6" type="noConversion"/>
  </si>
  <si>
    <t>住宅</t>
    <phoneticPr fontId="6" type="noConversion"/>
  </si>
  <si>
    <t>商业</t>
    <phoneticPr fontId="6" type="noConversion"/>
  </si>
  <si>
    <t>综合</t>
    <phoneticPr fontId="6" type="noConversion"/>
  </si>
  <si>
    <t>认购金额</t>
    <phoneticPr fontId="6" type="noConversion"/>
  </si>
  <si>
    <t>回款金额</t>
    <phoneticPr fontId="6" type="noConversion"/>
  </si>
  <si>
    <t>已售部分未回款金额</t>
    <phoneticPr fontId="6" type="noConversion"/>
  </si>
  <si>
    <t>已售面积</t>
    <phoneticPr fontId="6" type="noConversion"/>
  </si>
  <si>
    <t>扣除4、14比例拆分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</si>
</sst>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[Red]\(0\)"/>
    <numFmt numFmtId="177" formatCode="_(* #,##0.00_);_(* \(#,##0.00\);_(* &quot;-&quot;_);_(@_)"/>
  </numFmts>
  <fonts count="19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.5"/>
      <name val="华文细黑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vertAlign val="superscript"/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b/>
      <sz val="11.5"/>
      <name val="华文细黑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2" borderId="5" xfId="0" applyFont="1" applyFill="1" applyBorder="1" applyAlignment="1" applyProtection="1">
      <alignment horizontal="right" vertical="center"/>
      <protection hidden="1"/>
    </xf>
    <xf numFmtId="0" fontId="3" fillId="2" borderId="5" xfId="0" applyFont="1" applyFill="1" applyBorder="1" applyAlignment="1">
      <alignment horizontal="left" vertical="center"/>
    </xf>
    <xf numFmtId="43" fontId="3" fillId="2" borderId="5" xfId="1" applyFont="1" applyFill="1" applyBorder="1" applyAlignment="1">
      <alignment horizontal="left" vertical="center"/>
    </xf>
    <xf numFmtId="9" fontId="3" fillId="2" borderId="5" xfId="0" applyNumberFormat="1" applyFont="1" applyFill="1" applyBorder="1" applyAlignment="1" applyProtection="1">
      <alignment horizontal="right" vertical="center"/>
      <protection hidden="1"/>
    </xf>
    <xf numFmtId="43" fontId="3" fillId="2" borderId="5" xfId="0" applyNumberFormat="1" applyFont="1" applyFill="1" applyBorder="1" applyAlignment="1">
      <alignment horizontal="left" vertical="center"/>
    </xf>
    <xf numFmtId="43" fontId="3" fillId="2" borderId="5" xfId="1" applyFont="1" applyFill="1" applyBorder="1" applyAlignment="1" applyProtection="1">
      <alignment horizontal="right" vertical="center"/>
      <protection hidden="1"/>
    </xf>
    <xf numFmtId="0" fontId="0" fillId="0" borderId="5" xfId="0" applyBorder="1">
      <alignment vertical="center"/>
    </xf>
    <xf numFmtId="43" fontId="2" fillId="0" borderId="5" xfId="1" applyFont="1" applyBorder="1" applyAlignment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 applyProtection="1">
      <alignment vertical="center"/>
      <protection hidden="1"/>
    </xf>
    <xf numFmtId="43" fontId="0" fillId="0" borderId="5" xfId="0" applyNumberFormat="1" applyBorder="1">
      <alignment vertical="center"/>
    </xf>
    <xf numFmtId="1" fontId="3" fillId="2" borderId="5" xfId="0" applyNumberFormat="1" applyFont="1" applyFill="1" applyBorder="1" applyAlignment="1" applyProtection="1">
      <alignment horizontal="right" vertical="center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0" fillId="3" borderId="5" xfId="0" applyFill="1" applyBorder="1">
      <alignment vertical="center"/>
    </xf>
    <xf numFmtId="0" fontId="0" fillId="3" borderId="5" xfId="0" applyFill="1" applyBorder="1" applyAlignment="1">
      <alignment horizontal="right" vertical="center"/>
    </xf>
    <xf numFmtId="0" fontId="3" fillId="3" borderId="5" xfId="0" applyFont="1" applyFill="1" applyBorder="1" applyAlignment="1" applyProtection="1">
      <alignment vertical="center"/>
      <protection hidden="1"/>
    </xf>
    <xf numFmtId="43" fontId="0" fillId="0" borderId="5" xfId="1" applyFont="1" applyBorder="1">
      <alignment vertical="center"/>
    </xf>
    <xf numFmtId="10" fontId="0" fillId="0" borderId="5" xfId="2" applyNumberFormat="1" applyFont="1" applyBorder="1">
      <alignment vertical="center"/>
    </xf>
    <xf numFmtId="0" fontId="8" fillId="0" borderId="0" xfId="0" applyFont="1" applyAlignment="1">
      <alignment vertical="center"/>
    </xf>
    <xf numFmtId="43" fontId="9" fillId="0" borderId="5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5" borderId="5" xfId="3" applyFont="1" applyFill="1" applyBorder="1" applyAlignment="1" applyProtection="1">
      <alignment horizontal="center" vertical="center" wrapText="1"/>
      <protection locked="0"/>
    </xf>
    <xf numFmtId="0" fontId="11" fillId="0" borderId="5" xfId="3" applyFont="1" applyFill="1" applyBorder="1" applyAlignment="1" applyProtection="1">
      <alignment horizontal="center" vertical="center"/>
      <protection locked="0"/>
    </xf>
    <xf numFmtId="0" fontId="11" fillId="0" borderId="5" xfId="3" applyFont="1" applyFill="1" applyBorder="1" applyAlignment="1" applyProtection="1">
      <alignment horizontal="center" vertical="center" wrapText="1"/>
    </xf>
    <xf numFmtId="43" fontId="11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43" fontId="11" fillId="3" borderId="5" xfId="1" applyFont="1" applyFill="1" applyBorder="1" applyAlignment="1" applyProtection="1">
      <alignment horizontal="center" vertical="center" wrapText="1"/>
      <protection locked="0"/>
    </xf>
    <xf numFmtId="0" fontId="11" fillId="0" borderId="5" xfId="4" quotePrefix="1" applyFont="1" applyFill="1" applyBorder="1" applyAlignment="1">
      <alignment horizontal="center" vertical="center"/>
    </xf>
    <xf numFmtId="43" fontId="12" fillId="0" borderId="5" xfId="1" applyFont="1" applyBorder="1" applyAlignment="1">
      <alignment vertical="center"/>
    </xf>
    <xf numFmtId="43" fontId="11" fillId="0" borderId="5" xfId="1" quotePrefix="1" applyFont="1" applyFill="1" applyBorder="1" applyAlignment="1" applyProtection="1">
      <alignment horizontal="center" vertical="center" wrapText="1"/>
      <protection locked="0"/>
    </xf>
    <xf numFmtId="0" fontId="11" fillId="6" borderId="5" xfId="3" applyFont="1" applyFill="1" applyBorder="1" applyAlignment="1" applyProtection="1">
      <alignment horizontal="center" vertical="center"/>
    </xf>
    <xf numFmtId="43" fontId="11" fillId="6" borderId="5" xfId="1" applyFont="1" applyFill="1" applyBorder="1" applyAlignment="1" applyProtection="1">
      <alignment horizontal="center" vertical="center" wrapText="1"/>
    </xf>
    <xf numFmtId="0" fontId="13" fillId="0" borderId="0" xfId="0" applyFont="1" applyAlignment="1"/>
    <xf numFmtId="10" fontId="13" fillId="0" borderId="0" xfId="2" applyNumberFormat="1" applyFont="1" applyAlignment="1"/>
    <xf numFmtId="43" fontId="13" fillId="0" borderId="0" xfId="1" applyFont="1" applyAlignment="1"/>
    <xf numFmtId="0" fontId="15" fillId="0" borderId="5" xfId="0" applyFont="1" applyBorder="1" applyAlignment="1">
      <alignment horizontal="center" vertical="center"/>
    </xf>
    <xf numFmtId="43" fontId="15" fillId="0" borderId="5" xfId="1" applyFont="1" applyBorder="1" applyAlignment="1">
      <alignment horizontal="center" vertical="center"/>
    </xf>
    <xf numFmtId="43" fontId="10" fillId="0" borderId="5" xfId="1" applyFont="1" applyBorder="1" applyAlignment="1">
      <alignment vertical="center"/>
    </xf>
    <xf numFmtId="9" fontId="15" fillId="0" borderId="5" xfId="2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3" fontId="13" fillId="0" borderId="0" xfId="0" applyNumberFormat="1" applyFont="1" applyAlignment="1"/>
    <xf numFmtId="43" fontId="0" fillId="0" borderId="0" xfId="0" applyNumberFormat="1">
      <alignment vertical="center"/>
    </xf>
    <xf numFmtId="10" fontId="0" fillId="0" borderId="0" xfId="0" applyNumberFormat="1">
      <alignment vertical="center"/>
    </xf>
    <xf numFmtId="43" fontId="0" fillId="3" borderId="0" xfId="0" applyNumberFormat="1" applyFill="1">
      <alignment vertical="center"/>
    </xf>
    <xf numFmtId="0" fontId="11" fillId="5" borderId="5" xfId="3" applyFont="1" applyFill="1" applyBorder="1" applyAlignment="1" applyProtection="1">
      <alignment horizontal="center" vertical="center" wrapText="1"/>
      <protection locked="0"/>
    </xf>
    <xf numFmtId="0" fontId="11" fillId="5" borderId="8" xfId="3" applyFont="1" applyFill="1" applyBorder="1" applyAlignment="1" applyProtection="1">
      <alignment horizontal="center" vertical="center" wrapText="1"/>
      <protection locked="0"/>
    </xf>
    <xf numFmtId="0" fontId="15" fillId="7" borderId="5" xfId="0" applyFont="1" applyFill="1" applyBorder="1" applyAlignment="1">
      <alignment horizontal="center" vertical="center"/>
    </xf>
    <xf numFmtId="43" fontId="15" fillId="7" borderId="5" xfId="1" applyFont="1" applyFill="1" applyBorder="1" applyAlignment="1">
      <alignment horizontal="center" vertical="center"/>
    </xf>
    <xf numFmtId="43" fontId="10" fillId="7" borderId="5" xfId="1" applyFont="1" applyFill="1" applyBorder="1" applyAlignment="1">
      <alignment vertical="center"/>
    </xf>
    <xf numFmtId="9" fontId="15" fillId="7" borderId="5" xfId="2" applyFont="1" applyFill="1" applyBorder="1" applyAlignment="1">
      <alignment horizontal="center" vertical="center"/>
    </xf>
    <xf numFmtId="0" fontId="0" fillId="7" borderId="0" xfId="0" applyFill="1">
      <alignment vertical="center"/>
    </xf>
    <xf numFmtId="43" fontId="9" fillId="7" borderId="5" xfId="1" applyFont="1" applyFill="1" applyBorder="1" applyAlignment="1">
      <alignment horizontal="center" vertical="center"/>
    </xf>
    <xf numFmtId="43" fontId="11" fillId="7" borderId="5" xfId="1" applyFont="1" applyFill="1" applyBorder="1" applyAlignment="1" applyProtection="1">
      <alignment horizontal="center" vertical="center" wrapText="1"/>
      <protection locked="0"/>
    </xf>
    <xf numFmtId="43" fontId="12" fillId="7" borderId="5" xfId="1" applyFont="1" applyFill="1" applyBorder="1" applyAlignment="1">
      <alignment vertical="center"/>
    </xf>
    <xf numFmtId="43" fontId="13" fillId="7" borderId="0" xfId="1" applyFont="1" applyFill="1" applyAlignment="1"/>
    <xf numFmtId="43" fontId="12" fillId="0" borderId="0" xfId="0" applyNumberFormat="1" applyFont="1" applyAlignment="1">
      <alignment vertical="center"/>
    </xf>
    <xf numFmtId="0" fontId="11" fillId="7" borderId="5" xfId="3" applyFont="1" applyFill="1" applyBorder="1" applyAlignment="1" applyProtection="1">
      <alignment horizontal="center" vertical="center" wrapText="1"/>
      <protection locked="0"/>
    </xf>
    <xf numFmtId="0" fontId="11" fillId="7" borderId="5" xfId="3" applyFont="1" applyFill="1" applyBorder="1" applyAlignment="1" applyProtection="1">
      <alignment horizontal="center" vertical="center"/>
      <protection locked="0"/>
    </xf>
    <xf numFmtId="0" fontId="11" fillId="7" borderId="5" xfId="3" applyFont="1" applyFill="1" applyBorder="1" applyAlignment="1" applyProtection="1">
      <alignment horizontal="center" vertical="center" wrapText="1"/>
    </xf>
    <xf numFmtId="0" fontId="12" fillId="7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43" fontId="12" fillId="0" borderId="5" xfId="0" applyNumberFormat="1" applyFont="1" applyBorder="1" applyAlignment="1">
      <alignment vertical="center"/>
    </xf>
    <xf numFmtId="43" fontId="12" fillId="7" borderId="5" xfId="0" applyNumberFormat="1" applyFont="1" applyFill="1" applyBorder="1" applyAlignment="1">
      <alignment vertical="center"/>
    </xf>
    <xf numFmtId="0" fontId="3" fillId="8" borderId="12" xfId="0" applyFont="1" applyFill="1" applyBorder="1" applyAlignment="1"/>
    <xf numFmtId="0" fontId="3" fillId="8" borderId="13" xfId="0" applyFont="1" applyFill="1" applyBorder="1" applyAlignment="1"/>
    <xf numFmtId="0" fontId="3" fillId="8" borderId="14" xfId="0" applyFont="1" applyFill="1" applyBorder="1" applyAlignment="1"/>
    <xf numFmtId="0" fontId="3" fillId="8" borderId="15" xfId="0" applyFont="1" applyFill="1" applyBorder="1" applyAlignment="1"/>
    <xf numFmtId="0" fontId="3" fillId="8" borderId="16" xfId="0" applyFont="1" applyFill="1" applyBorder="1" applyAlignment="1"/>
    <xf numFmtId="0" fontId="3" fillId="8" borderId="17" xfId="0" applyFont="1" applyFill="1" applyBorder="1" applyAlignment="1">
      <alignment horizontal="left" vertical="center"/>
    </xf>
    <xf numFmtId="0" fontId="3" fillId="2" borderId="1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3" fillId="9" borderId="11" xfId="0" applyNumberFormat="1" applyFont="1" applyFill="1" applyBorder="1" applyAlignment="1">
      <alignment vertical="center"/>
    </xf>
    <xf numFmtId="177" fontId="3" fillId="9" borderId="5" xfId="0" applyNumberFormat="1" applyFont="1" applyFill="1" applyBorder="1" applyAlignment="1">
      <alignment horizontal="right" vertical="center"/>
    </xf>
    <xf numFmtId="10" fontId="3" fillId="9" borderId="9" xfId="0" applyNumberFormat="1" applyFont="1" applyFill="1" applyBorder="1" applyAlignment="1">
      <alignment horizontal="right" vertical="center"/>
    </xf>
    <xf numFmtId="176" fontId="3" fillId="9" borderId="5" xfId="0" applyNumberFormat="1" applyFont="1" applyFill="1" applyBorder="1" applyAlignment="1">
      <alignment horizontal="right" vertical="center"/>
    </xf>
    <xf numFmtId="176" fontId="3" fillId="9" borderId="19" xfId="0" applyNumberFormat="1" applyFont="1" applyFill="1" applyBorder="1" applyAlignment="1">
      <alignment horizontal="right" vertical="center"/>
    </xf>
    <xf numFmtId="0" fontId="3" fillId="2" borderId="20" xfId="0" applyNumberFormat="1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vertical="center"/>
    </xf>
    <xf numFmtId="177" fontId="3" fillId="9" borderId="6" xfId="0" applyNumberFormat="1" applyFont="1" applyFill="1" applyBorder="1" applyAlignment="1">
      <alignment horizontal="right" vertical="center"/>
    </xf>
    <xf numFmtId="176" fontId="3" fillId="9" borderId="6" xfId="0" applyNumberFormat="1" applyFont="1" applyFill="1" applyBorder="1" applyAlignment="1">
      <alignment horizontal="right" vertical="center"/>
    </xf>
    <xf numFmtId="0" fontId="16" fillId="2" borderId="23" xfId="0" applyNumberFormat="1" applyFont="1" applyFill="1" applyBorder="1" applyAlignment="1">
      <alignment vertical="center"/>
    </xf>
    <xf numFmtId="0" fontId="16" fillId="2" borderId="9" xfId="0" applyNumberFormat="1" applyFont="1" applyFill="1" applyBorder="1" applyAlignment="1">
      <alignment vertical="center"/>
    </xf>
    <xf numFmtId="0" fontId="16" fillId="2" borderId="11" xfId="0" applyNumberFormat="1" applyFont="1" applyFill="1" applyBorder="1" applyAlignment="1">
      <alignment vertical="center"/>
    </xf>
    <xf numFmtId="177" fontId="16" fillId="2" borderId="5" xfId="0" applyNumberFormat="1" applyFont="1" applyFill="1" applyBorder="1" applyAlignment="1">
      <alignment horizontal="right" vertical="center"/>
    </xf>
    <xf numFmtId="10" fontId="3" fillId="2" borderId="9" xfId="0" applyNumberFormat="1" applyFont="1" applyFill="1" applyBorder="1" applyAlignment="1">
      <alignment horizontal="right" vertical="center"/>
    </xf>
    <xf numFmtId="177" fontId="16" fillId="2" borderId="9" xfId="0" applyNumberFormat="1" applyFont="1" applyFill="1" applyBorder="1" applyAlignment="1">
      <alignment horizontal="right" vertical="center"/>
    </xf>
    <xf numFmtId="0" fontId="16" fillId="8" borderId="24" xfId="0" applyNumberFormat="1" applyFont="1" applyFill="1" applyBorder="1" applyAlignment="1">
      <alignment horizontal="right" vertical="center"/>
    </xf>
    <xf numFmtId="0" fontId="3" fillId="2" borderId="21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2" borderId="9" xfId="0" applyNumberFormat="1" applyFont="1" applyFill="1" applyBorder="1" applyAlignment="1">
      <alignment horizontal="right" vertical="center"/>
    </xf>
    <xf numFmtId="0" fontId="3" fillId="8" borderId="24" xfId="0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right" vertical="center"/>
    </xf>
    <xf numFmtId="0" fontId="3" fillId="2" borderId="9" xfId="0" applyNumberFormat="1" applyFont="1" applyFill="1" applyBorder="1" applyAlignment="1">
      <alignment vertical="center"/>
    </xf>
    <xf numFmtId="17" fontId="3" fillId="8" borderId="24" xfId="0" applyNumberFormat="1" applyFont="1" applyFill="1" applyBorder="1" applyAlignment="1">
      <alignment horizontal="right" vertical="center"/>
    </xf>
    <xf numFmtId="0" fontId="3" fillId="2" borderId="23" xfId="0" applyNumberFormat="1" applyFont="1" applyFill="1" applyBorder="1" applyAlignment="1">
      <alignment vertical="center"/>
    </xf>
    <xf numFmtId="0" fontId="3" fillId="8" borderId="24" xfId="0" applyNumberFormat="1" applyFont="1" applyFill="1" applyBorder="1" applyAlignment="1">
      <alignment horizontal="right" vertical="center"/>
    </xf>
    <xf numFmtId="0" fontId="16" fillId="2" borderId="25" xfId="0" applyNumberFormat="1" applyFont="1" applyFill="1" applyBorder="1" applyAlignment="1">
      <alignment vertical="center"/>
    </xf>
    <xf numFmtId="0" fontId="16" fillId="2" borderId="10" xfId="0" applyNumberFormat="1" applyFont="1" applyFill="1" applyBorder="1" applyAlignment="1">
      <alignment vertical="center"/>
    </xf>
    <xf numFmtId="0" fontId="16" fillId="2" borderId="11" xfId="0" applyNumberFormat="1" applyFont="1" applyFill="1" applyBorder="1" applyAlignment="1">
      <alignment horizontal="right" vertical="center"/>
    </xf>
    <xf numFmtId="177" fontId="16" fillId="2" borderId="10" xfId="0" applyNumberFormat="1" applyFont="1" applyFill="1" applyBorder="1" applyAlignment="1">
      <alignment horizontal="right" vertical="center"/>
    </xf>
    <xf numFmtId="0" fontId="16" fillId="2" borderId="26" xfId="0" applyNumberFormat="1" applyFont="1" applyFill="1" applyBorder="1" applyAlignment="1">
      <alignment vertical="center"/>
    </xf>
    <xf numFmtId="0" fontId="16" fillId="2" borderId="27" xfId="0" applyNumberFormat="1" applyFont="1" applyFill="1" applyBorder="1" applyAlignment="1">
      <alignment vertical="center"/>
    </xf>
    <xf numFmtId="0" fontId="16" fillId="2" borderId="28" xfId="0" applyNumberFormat="1" applyFont="1" applyFill="1" applyBorder="1" applyAlignment="1">
      <alignment vertical="center"/>
    </xf>
    <xf numFmtId="0" fontId="16" fillId="9" borderId="27" xfId="0" applyNumberFormat="1" applyFont="1" applyFill="1" applyBorder="1" applyAlignment="1">
      <alignment vertical="center"/>
    </xf>
    <xf numFmtId="0" fontId="17" fillId="0" borderId="4" xfId="0" applyFont="1" applyBorder="1" applyAlignment="1"/>
    <xf numFmtId="0" fontId="3" fillId="7" borderId="20" xfId="0" applyNumberFormat="1" applyFont="1" applyFill="1" applyBorder="1" applyAlignment="1">
      <alignment vertical="center"/>
    </xf>
    <xf numFmtId="0" fontId="3" fillId="7" borderId="21" xfId="0" applyNumberFormat="1" applyFont="1" applyFill="1" applyBorder="1" applyAlignment="1">
      <alignment vertical="center"/>
    </xf>
    <xf numFmtId="0" fontId="3" fillId="7" borderId="11" xfId="0" applyNumberFormat="1" applyFont="1" applyFill="1" applyBorder="1" applyAlignment="1">
      <alignment vertical="center"/>
    </xf>
    <xf numFmtId="177" fontId="3" fillId="7" borderId="5" xfId="0" applyNumberFormat="1" applyFont="1" applyFill="1" applyBorder="1" applyAlignment="1">
      <alignment horizontal="right" vertical="center"/>
    </xf>
    <xf numFmtId="10" fontId="3" fillId="7" borderId="9" xfId="0" applyNumberFormat="1" applyFont="1" applyFill="1" applyBorder="1" applyAlignment="1">
      <alignment horizontal="right" vertical="center"/>
    </xf>
    <xf numFmtId="177" fontId="3" fillId="7" borderId="9" xfId="0" applyNumberFormat="1" applyFont="1" applyFill="1" applyBorder="1" applyAlignment="1">
      <alignment horizontal="right" vertical="center"/>
    </xf>
    <xf numFmtId="0" fontId="3" fillId="7" borderId="24" xfId="0" applyFont="1" applyFill="1" applyBorder="1" applyAlignment="1">
      <alignment horizontal="right" vertical="center"/>
    </xf>
    <xf numFmtId="0" fontId="16" fillId="7" borderId="25" xfId="0" applyNumberFormat="1" applyFont="1" applyFill="1" applyBorder="1" applyAlignment="1">
      <alignment vertical="center"/>
    </xf>
    <xf numFmtId="0" fontId="16" fillId="7" borderId="10" xfId="0" applyNumberFormat="1" applyFont="1" applyFill="1" applyBorder="1" applyAlignment="1">
      <alignment vertical="center"/>
    </xf>
    <xf numFmtId="0" fontId="16" fillId="7" borderId="11" xfId="0" applyNumberFormat="1" applyFont="1" applyFill="1" applyBorder="1" applyAlignment="1">
      <alignment vertical="center"/>
    </xf>
    <xf numFmtId="0" fontId="16" fillId="7" borderId="9" xfId="0" applyNumberFormat="1" applyFont="1" applyFill="1" applyBorder="1" applyAlignment="1">
      <alignment vertical="center"/>
    </xf>
    <xf numFmtId="0" fontId="16" fillId="7" borderId="24" xfId="0" applyNumberFormat="1" applyFont="1" applyFill="1" applyBorder="1" applyAlignment="1">
      <alignment vertical="center"/>
    </xf>
    <xf numFmtId="0" fontId="11" fillId="0" borderId="9" xfId="3" applyFont="1" applyFill="1" applyBorder="1" applyAlignment="1" applyProtection="1">
      <alignment horizontal="center" vertical="center"/>
      <protection locked="0"/>
    </xf>
    <xf numFmtId="0" fontId="11" fillId="0" borderId="10" xfId="3" applyFont="1" applyFill="1" applyBorder="1" applyAlignment="1" applyProtection="1">
      <alignment horizontal="center" vertical="center" wrapText="1"/>
    </xf>
    <xf numFmtId="0" fontId="11" fillId="0" borderId="11" xfId="3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43" fontId="18" fillId="0" borderId="0" xfId="0" applyNumberFormat="1" applyFont="1" applyAlignment="1">
      <alignment vertical="center"/>
    </xf>
    <xf numFmtId="0" fontId="12" fillId="3" borderId="0" xfId="0" applyFont="1" applyFill="1" applyAlignment="1">
      <alignment vertical="center"/>
    </xf>
    <xf numFmtId="43" fontId="18" fillId="3" borderId="0" xfId="0" applyNumberFormat="1" applyFont="1" applyFill="1" applyAlignment="1">
      <alignment vertical="center"/>
    </xf>
    <xf numFmtId="0" fontId="5" fillId="4" borderId="5" xfId="0" applyFont="1" applyFill="1" applyBorder="1" applyAlignment="1" applyProtection="1">
      <alignment horizontal="center" vertical="center"/>
    </xf>
    <xf numFmtId="0" fontId="11" fillId="5" borderId="5" xfId="3" applyFont="1" applyFill="1" applyBorder="1" applyAlignment="1" applyProtection="1">
      <alignment horizontal="center" vertical="center" wrapText="1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5" borderId="8" xfId="3" applyFont="1" applyFill="1" applyBorder="1" applyAlignment="1" applyProtection="1">
      <alignment horizontal="center" vertical="center" wrapText="1"/>
      <protection locked="0"/>
    </xf>
    <xf numFmtId="0" fontId="11" fillId="5" borderId="7" xfId="3" applyFont="1" applyFill="1" applyBorder="1" applyAlignment="1" applyProtection="1">
      <alignment horizontal="center" vertical="center" wrapText="1"/>
      <protection locked="0"/>
    </xf>
    <xf numFmtId="176" fontId="11" fillId="6" borderId="9" xfId="5" applyNumberFormat="1" applyFont="1" applyFill="1" applyBorder="1" applyAlignment="1" applyProtection="1">
      <alignment horizontal="center" vertical="center" wrapText="1"/>
    </xf>
    <xf numFmtId="176" fontId="11" fillId="6" borderId="10" xfId="5" applyNumberFormat="1" applyFont="1" applyFill="1" applyBorder="1" applyAlignment="1" applyProtection="1">
      <alignment horizontal="center" vertical="center" wrapText="1"/>
    </xf>
    <xf numFmtId="176" fontId="11" fillId="6" borderId="11" xfId="5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43" fontId="15" fillId="0" borderId="5" xfId="1" applyFont="1" applyBorder="1" applyAlignment="1">
      <alignment horizontal="center" vertical="center"/>
    </xf>
    <xf numFmtId="9" fontId="15" fillId="0" borderId="6" xfId="2" applyFont="1" applyBorder="1" applyAlignment="1">
      <alignment horizontal="center" vertical="center"/>
    </xf>
    <xf numFmtId="9" fontId="15" fillId="0" borderId="8" xfId="2" applyFont="1" applyBorder="1" applyAlignment="1">
      <alignment horizontal="center" vertical="center"/>
    </xf>
    <xf numFmtId="9" fontId="15" fillId="0" borderId="7" xfId="2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12" xfId="4"/>
    <cellStyle name="常规 2 4" xfId="3"/>
    <cellStyle name="常规_13年开工量_3 7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kxt/Desktop/&#25237;&#34892;&#20843;&#37096;-&#35814;&#24742;32&#21495;-&#23500;&#21147;&#25958;&#21270;&#22346;&#39033;&#30446;/4&#12289;&#35780;&#23457;&#38454;&#27573;/5&#12289;&#27979;&#31639;/&#29616;&#37329;&#27969;&#27979;&#31639;-C&#22320;&#22359;-2%20-%20&#35843;&#24635;&#25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基础数据"/>
      <sheetName val="规划指标"/>
      <sheetName val="结论表"/>
      <sheetName val="底表1（销售）"/>
      <sheetName val="底表1-销售计划"/>
      <sheetName val="底表2-增值税、土地增值税"/>
      <sheetName val="主表1-成本"/>
      <sheetName val="主表2-现金流量表"/>
      <sheetName val="主表3-损益表"/>
      <sheetName val="主表3-损益表-分业态"/>
      <sheetName val="主表4-敏感性分析"/>
      <sheetName val="主表5-资金来源与运用"/>
      <sheetName val="主表6-负债偿还预测"/>
      <sheetName val="主表3 （敏感性分析 销售-5%）"/>
      <sheetName val="主表4-1（敏感性分析 销售-5%）"/>
      <sheetName val="主表3 （敏感性分析 销售-10%）"/>
      <sheetName val="主表4-1（敏感性分析 销售-10%）"/>
      <sheetName val="主表3 （敏感性分析 销售+5%） "/>
      <sheetName val="主表4-1（敏感性分析 销售+5%）"/>
      <sheetName val="主表3 （敏感性分析 销售+10%）"/>
      <sheetName val="主表4-1（敏感性分析 销售+10%）"/>
      <sheetName val="主表3 （敏感性分析 成本+5%）"/>
      <sheetName val="主表3 （敏感性分析 成本+10%）"/>
      <sheetName val="主表4-1（敏感性分析 成本+10%）"/>
      <sheetName val="主表3 （敏感性分析 成本-5%）"/>
      <sheetName val="主表4-1（敏感性分析 成本-5%）"/>
      <sheetName val="主表3 （敏感性分析 成本-10%）"/>
      <sheetName val="主表4-1（敏感性分析 成本-10%）"/>
      <sheetName val="模拟清算"/>
      <sheetName val="底表1（销售计划）(模拟清算)"/>
      <sheetName val="底表2（增值税、土地增值税）（模拟清算）"/>
      <sheetName val="主表5（负债偿还预测表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5">
          <cell r="B115">
            <v>160077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D19" sqref="D19"/>
    </sheetView>
  </sheetViews>
  <sheetFormatPr defaultRowHeight="13.5"/>
  <cols>
    <col min="1" max="1" width="23.5" bestFit="1" customWidth="1"/>
    <col min="2" max="2" width="20.5" bestFit="1" customWidth="1"/>
    <col min="3" max="3" width="17.25" bestFit="1" customWidth="1"/>
    <col min="4" max="4" width="16.625" bestFit="1" customWidth="1"/>
    <col min="5" max="5" width="25.5" bestFit="1" customWidth="1"/>
  </cols>
  <sheetData>
    <row r="2" spans="1:5" ht="15.75">
      <c r="A2" s="18" t="s">
        <v>19</v>
      </c>
      <c r="B2" s="7" t="s">
        <v>7</v>
      </c>
      <c r="C2" s="12" t="s">
        <v>22</v>
      </c>
      <c r="D2" s="12" t="s">
        <v>17</v>
      </c>
    </row>
    <row r="3" spans="1:5" ht="15.75">
      <c r="A3" s="6" t="s">
        <v>8</v>
      </c>
      <c r="B3" s="8">
        <v>996700000</v>
      </c>
      <c r="C3" s="12"/>
      <c r="D3" s="12"/>
    </row>
    <row r="4" spans="1:5" ht="15.75">
      <c r="A4" s="9" t="s">
        <v>9</v>
      </c>
      <c r="B4" s="10">
        <f>B3*0.15</f>
        <v>149505000</v>
      </c>
      <c r="C4" s="12"/>
      <c r="D4" s="12"/>
    </row>
    <row r="5" spans="1:5" ht="15.75">
      <c r="A5" s="6" t="s">
        <v>10</v>
      </c>
      <c r="B5" s="8">
        <v>40366350</v>
      </c>
      <c r="C5" s="12"/>
      <c r="D5" s="12"/>
    </row>
    <row r="6" spans="1:5" ht="15.75">
      <c r="A6" s="6" t="s">
        <v>11</v>
      </c>
      <c r="B6" s="10">
        <f>SUM(B4:B5)</f>
        <v>189871350</v>
      </c>
      <c r="C6" s="12">
        <f>15222*10000</f>
        <v>152220000</v>
      </c>
      <c r="D6" s="16">
        <f>B6-C6</f>
        <v>37651350</v>
      </c>
    </row>
    <row r="10" spans="1:5">
      <c r="A10" s="20" t="s">
        <v>20</v>
      </c>
      <c r="B10" s="12" t="s">
        <v>18</v>
      </c>
      <c r="C10" s="12" t="s">
        <v>23</v>
      </c>
      <c r="D10" s="12" t="s">
        <v>17</v>
      </c>
      <c r="E10" s="12" t="s">
        <v>24</v>
      </c>
    </row>
    <row r="11" spans="1:5" ht="15.75">
      <c r="A11" s="14" t="s">
        <v>12</v>
      </c>
      <c r="B11" s="13">
        <f>B23</f>
        <v>1566789700</v>
      </c>
      <c r="C11" s="6"/>
      <c r="D11" s="17"/>
      <c r="E11" s="12"/>
    </row>
    <row r="12" spans="1:5" ht="15.75">
      <c r="A12" s="15" t="s">
        <v>14</v>
      </c>
      <c r="B12" s="11">
        <f>631163</f>
        <v>631163</v>
      </c>
      <c r="C12" s="12"/>
      <c r="D12" s="11"/>
      <c r="E12" s="12" t="s">
        <v>25</v>
      </c>
    </row>
    <row r="13" spans="1:5" ht="15.75">
      <c r="A13" s="15" t="s">
        <v>15</v>
      </c>
      <c r="B13" s="11">
        <v>118491.26</v>
      </c>
      <c r="C13" s="12"/>
      <c r="D13" s="17"/>
      <c r="E13" s="12"/>
    </row>
    <row r="14" spans="1:5" ht="15.75">
      <c r="A14" s="15" t="s">
        <v>13</v>
      </c>
      <c r="B14" s="11">
        <f>B11/(B12+B13)*B12</f>
        <v>1319141022.9845157</v>
      </c>
      <c r="C14" s="11">
        <v>1187230000</v>
      </c>
      <c r="D14" s="16">
        <f>B14-C14</f>
        <v>131911022.98451567</v>
      </c>
      <c r="E14" s="12"/>
    </row>
    <row r="15" spans="1:5" ht="15.75">
      <c r="A15" s="15" t="s">
        <v>16</v>
      </c>
      <c r="B15" s="11">
        <f>B11/(B12+B13)*B13</f>
        <v>247648677.01548442</v>
      </c>
      <c r="C15" s="11">
        <f>28363.8620888406*10000</f>
        <v>283638620.88840598</v>
      </c>
      <c r="D15" s="16">
        <f>B15-C15</f>
        <v>-35989943.872921556</v>
      </c>
      <c r="E15" s="12"/>
    </row>
    <row r="17" spans="1:3" ht="14.25" thickBot="1"/>
    <row r="18" spans="1:3" ht="15" thickBot="1">
      <c r="A18" s="1" t="s">
        <v>21</v>
      </c>
      <c r="B18" s="2" t="s">
        <v>0</v>
      </c>
      <c r="C18" s="2" t="s">
        <v>1</v>
      </c>
    </row>
    <row r="19" spans="1:3" ht="15" thickBot="1">
      <c r="A19" s="3" t="s">
        <v>2</v>
      </c>
      <c r="B19" s="4">
        <v>220149000</v>
      </c>
      <c r="C19" s="4">
        <v>66075000</v>
      </c>
    </row>
    <row r="20" spans="1:3" ht="15" thickBot="1">
      <c r="A20" s="3" t="s">
        <v>3</v>
      </c>
      <c r="B20" s="4">
        <v>150000000</v>
      </c>
      <c r="C20" s="4">
        <v>172928149</v>
      </c>
    </row>
    <row r="21" spans="1:3" ht="15" thickBot="1">
      <c r="A21" s="3" t="s">
        <v>4</v>
      </c>
      <c r="B21" s="4">
        <v>1154893000</v>
      </c>
      <c r="C21" s="4">
        <v>324500000</v>
      </c>
    </row>
    <row r="22" spans="1:3" ht="15" thickBot="1">
      <c r="A22" s="3" t="s">
        <v>5</v>
      </c>
      <c r="B22" s="4">
        <v>41747700</v>
      </c>
      <c r="C22" s="5">
        <v>0</v>
      </c>
    </row>
    <row r="23" spans="1:3" ht="15" thickBot="1">
      <c r="A23" s="3" t="s">
        <v>6</v>
      </c>
      <c r="B23" s="4">
        <v>1566789700</v>
      </c>
      <c r="C23" s="4">
        <v>563503149</v>
      </c>
    </row>
    <row r="26" spans="1:3" ht="15.75">
      <c r="A26" s="21" t="s">
        <v>26</v>
      </c>
      <c r="B26" s="16">
        <f>B6+B14</f>
        <v>1509012372.9845157</v>
      </c>
    </row>
    <row r="27" spans="1:3">
      <c r="A27" s="19" t="s">
        <v>27</v>
      </c>
      <c r="B27" s="16">
        <v>1050000000</v>
      </c>
    </row>
    <row r="28" spans="1:3">
      <c r="A28" s="19" t="s">
        <v>28</v>
      </c>
      <c r="B28" s="22">
        <v>1407660000</v>
      </c>
    </row>
    <row r="29" spans="1:3">
      <c r="A29" s="19" t="s">
        <v>29</v>
      </c>
      <c r="B29" s="23">
        <f>B27/B26</f>
        <v>0.6958193443591959</v>
      </c>
    </row>
  </sheetData>
  <phoneticPr fontId="4" type="noConversion"/>
  <pageMargins left="0.7" right="0.7" top="0.75" bottom="0.75" header="0.3" footer="0.3"/>
  <pageSetup paperSize="1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E7" sqref="E7"/>
    </sheetView>
  </sheetViews>
  <sheetFormatPr defaultRowHeight="13.5"/>
  <cols>
    <col min="1" max="1" width="21.125" bestFit="1" customWidth="1"/>
    <col min="2" max="2" width="16.375" customWidth="1"/>
    <col min="3" max="3" width="10.25" bestFit="1" customWidth="1"/>
  </cols>
  <sheetData>
    <row r="2" spans="1:3">
      <c r="A2" t="s">
        <v>117</v>
      </c>
      <c r="B2" s="47">
        <f>壳项目进度及投入!H7</f>
        <v>114516.09</v>
      </c>
    </row>
    <row r="3" spans="1:3">
      <c r="A3" t="s">
        <v>118</v>
      </c>
      <c r="B3" s="47">
        <f>壳项目指标!H32</f>
        <v>194830</v>
      </c>
    </row>
    <row r="4" spans="1:3">
      <c r="A4" t="s">
        <v>119</v>
      </c>
      <c r="B4" s="48">
        <f>壳项目指标!H33</f>
        <v>0.34938374109414871</v>
      </c>
    </row>
    <row r="5" spans="1:3">
      <c r="A5" t="s">
        <v>120</v>
      </c>
      <c r="B5" s="49">
        <v>27037</v>
      </c>
      <c r="C5" s="47"/>
    </row>
    <row r="6" spans="1:3">
      <c r="A6" t="s">
        <v>121</v>
      </c>
      <c r="B6" s="47">
        <f>壳项目进度及投入!I13</f>
        <v>26168.457587462824</v>
      </c>
    </row>
    <row r="7" spans="1:3">
      <c r="A7" t="s">
        <v>122</v>
      </c>
      <c r="B7">
        <f>'[1]主表1-成本'!$B$115</f>
        <v>160077</v>
      </c>
    </row>
    <row r="8" spans="1:3">
      <c r="A8" t="s">
        <v>123</v>
      </c>
      <c r="B8">
        <f>B7*0.25</f>
        <v>40019.25</v>
      </c>
    </row>
    <row r="9" spans="1:3">
      <c r="A9" t="s">
        <v>124</v>
      </c>
      <c r="B9" s="49">
        <f>B7-B8-(B5+B6-B8)</f>
        <v>106871.54241253718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abSelected="1" workbookViewId="0">
      <pane xSplit="4" ySplit="2" topLeftCell="G3" activePane="bottomRight" state="frozen"/>
      <selection pane="topRight" activeCell="E1" sqref="E1"/>
      <selection pane="bottomLeft" activeCell="A3" sqref="A3"/>
      <selection pane="bottomRight" activeCell="AD30" sqref="AD30"/>
    </sheetView>
  </sheetViews>
  <sheetFormatPr defaultRowHeight="17.25"/>
  <cols>
    <col min="1" max="1" width="12.75" style="38" bestFit="1" customWidth="1"/>
    <col min="2" max="2" width="12.75" style="38" customWidth="1"/>
    <col min="3" max="3" width="27.5" style="38" bestFit="1" customWidth="1"/>
    <col min="4" max="4" width="13.125" style="38" bestFit="1" customWidth="1"/>
    <col min="5" max="5" width="11.5" style="38" bestFit="1" customWidth="1"/>
    <col min="6" max="6" width="11.75" style="38" customWidth="1"/>
    <col min="7" max="7" width="6.625" style="38" bestFit="1" customWidth="1"/>
    <col min="8" max="8" width="17.625" style="38" customWidth="1"/>
    <col min="9" max="9" width="16" style="38" customWidth="1"/>
    <col min="10" max="10" width="19.625" style="38" customWidth="1"/>
    <col min="11" max="11" width="16.75" style="38" customWidth="1"/>
    <col min="12" max="12" width="15.75" style="38" bestFit="1" customWidth="1"/>
    <col min="13" max="15" width="15.625" style="60" customWidth="1"/>
    <col min="16" max="16" width="19.25" style="40" customWidth="1"/>
    <col min="17" max="19" width="17.625" style="40" customWidth="1"/>
    <col min="20" max="20" width="14.375" style="40" customWidth="1"/>
    <col min="21" max="21" width="12.625" style="40" customWidth="1"/>
    <col min="22" max="22" width="14.625" style="38" bestFit="1" customWidth="1"/>
    <col min="23" max="23" width="13.625" style="38" customWidth="1"/>
    <col min="24" max="24" width="18.125" style="38" customWidth="1"/>
    <col min="25" max="25" width="11.375" style="38" customWidth="1"/>
    <col min="26" max="26" width="14.875" style="38" customWidth="1"/>
    <col min="27" max="27" width="12.125" style="38" customWidth="1"/>
    <col min="28" max="29" width="11.375" style="38" customWidth="1"/>
    <col min="30" max="32" width="9" style="38"/>
    <col min="33" max="34" width="14" style="38" customWidth="1"/>
    <col min="35" max="16384" width="9" style="38"/>
  </cols>
  <sheetData>
    <row r="1" spans="1:36" s="24" customFormat="1" ht="22.5">
      <c r="A1" s="142" t="s">
        <v>30</v>
      </c>
      <c r="B1" s="142" t="s">
        <v>31</v>
      </c>
      <c r="C1" s="142" t="s">
        <v>32</v>
      </c>
      <c r="D1" s="142" t="s">
        <v>33</v>
      </c>
      <c r="E1" s="142" t="s">
        <v>34</v>
      </c>
      <c r="F1" s="142" t="s">
        <v>35</v>
      </c>
      <c r="G1" s="142" t="s">
        <v>36</v>
      </c>
      <c r="H1" s="142" t="s">
        <v>37</v>
      </c>
      <c r="I1" s="142" t="s">
        <v>38</v>
      </c>
      <c r="J1" s="142" t="s">
        <v>39</v>
      </c>
      <c r="K1" s="142" t="s">
        <v>40</v>
      </c>
      <c r="L1" s="142" t="s">
        <v>41</v>
      </c>
      <c r="M1" s="144" t="s">
        <v>42</v>
      </c>
      <c r="N1" s="144"/>
      <c r="O1" s="144"/>
      <c r="P1" s="134" t="s">
        <v>43</v>
      </c>
      <c r="Q1" s="134"/>
      <c r="R1" s="134"/>
      <c r="S1" s="134" t="s">
        <v>44</v>
      </c>
      <c r="T1" s="134"/>
      <c r="U1" s="134"/>
      <c r="V1" s="66"/>
      <c r="W1" s="66"/>
      <c r="X1" s="66"/>
    </row>
    <row r="2" spans="1:36" s="26" customFormat="1" ht="23.2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57" t="s">
        <v>45</v>
      </c>
      <c r="N2" s="57" t="s">
        <v>46</v>
      </c>
      <c r="O2" s="57" t="s">
        <v>47</v>
      </c>
      <c r="P2" s="25" t="s">
        <v>48</v>
      </c>
      <c r="Q2" s="25" t="s">
        <v>46</v>
      </c>
      <c r="R2" s="25" t="s">
        <v>49</v>
      </c>
      <c r="S2" s="25" t="s">
        <v>45</v>
      </c>
      <c r="T2" s="25" t="s">
        <v>46</v>
      </c>
      <c r="U2" s="25" t="s">
        <v>49</v>
      </c>
      <c r="V2" s="67" t="s">
        <v>130</v>
      </c>
      <c r="W2" s="67" t="s">
        <v>131</v>
      </c>
      <c r="X2" s="67" t="s">
        <v>169</v>
      </c>
    </row>
    <row r="3" spans="1:36" s="31" customFormat="1" ht="18">
      <c r="A3" s="135" t="s">
        <v>50</v>
      </c>
      <c r="B3" s="136" t="s">
        <v>51</v>
      </c>
      <c r="C3" s="27" t="s">
        <v>52</v>
      </c>
      <c r="D3" s="28" t="s">
        <v>53</v>
      </c>
      <c r="E3" s="28">
        <v>2</v>
      </c>
      <c r="F3" s="28">
        <v>34</v>
      </c>
      <c r="G3" s="29">
        <v>1</v>
      </c>
      <c r="H3" s="30">
        <f t="shared" ref="H3:H28" si="0">I3+J3</f>
        <v>30252</v>
      </c>
      <c r="I3" s="30">
        <v>28480</v>
      </c>
      <c r="J3" s="30">
        <v>1772</v>
      </c>
      <c r="K3" s="30">
        <v>28480</v>
      </c>
      <c r="L3" s="30">
        <v>28495.74</v>
      </c>
      <c r="M3" s="58">
        <v>25484.099999999995</v>
      </c>
      <c r="N3" s="58">
        <v>2150.7200000000003</v>
      </c>
      <c r="O3" s="58"/>
      <c r="P3" s="30">
        <v>23381.382699999998</v>
      </c>
      <c r="Q3" s="30">
        <v>1827.0219999999999</v>
      </c>
      <c r="R3" s="30"/>
      <c r="S3" s="30">
        <v>6987.3827000000001</v>
      </c>
      <c r="T3" s="30">
        <v>180.02199999999999</v>
      </c>
      <c r="U3" s="30"/>
      <c r="V3" s="68">
        <f>SUM(M3:O3)</f>
        <v>27634.819999999996</v>
      </c>
      <c r="W3" s="68">
        <f>L3-V3</f>
        <v>860.92000000000553</v>
      </c>
      <c r="X3" s="68">
        <f>H3-L3</f>
        <v>1756.2599999999984</v>
      </c>
      <c r="AD3" s="70" t="s">
        <v>135</v>
      </c>
      <c r="AE3" s="71"/>
      <c r="AF3" s="72"/>
      <c r="AG3" s="73" t="s">
        <v>136</v>
      </c>
      <c r="AH3" s="74" t="s">
        <v>137</v>
      </c>
      <c r="AI3" s="73" t="s">
        <v>138</v>
      </c>
      <c r="AJ3" s="75" t="s">
        <v>139</v>
      </c>
    </row>
    <row r="4" spans="1:36" s="31" customFormat="1" ht="18">
      <c r="A4" s="135"/>
      <c r="B4" s="137"/>
      <c r="C4" s="27" t="s">
        <v>52</v>
      </c>
      <c r="D4" s="28" t="s">
        <v>54</v>
      </c>
      <c r="E4" s="28">
        <v>2</v>
      </c>
      <c r="F4" s="28">
        <v>34</v>
      </c>
      <c r="G4" s="29">
        <v>1</v>
      </c>
      <c r="H4" s="30">
        <f t="shared" si="0"/>
        <v>23665</v>
      </c>
      <c r="I4" s="30">
        <v>22346</v>
      </c>
      <c r="J4" s="30">
        <v>1319</v>
      </c>
      <c r="K4" s="30">
        <v>22346</v>
      </c>
      <c r="L4" s="30">
        <v>22449.57</v>
      </c>
      <c r="M4" s="58">
        <v>16552.42000000002</v>
      </c>
      <c r="N4" s="58">
        <v>2878.6499999999996</v>
      </c>
      <c r="O4" s="58">
        <v>91.61</v>
      </c>
      <c r="P4" s="30">
        <v>15026.200999999999</v>
      </c>
      <c r="Q4" s="30">
        <v>2306.4382000000001</v>
      </c>
      <c r="R4" s="30">
        <v>82.3399</v>
      </c>
      <c r="S4" s="30">
        <v>4494.201</v>
      </c>
      <c r="T4" s="30">
        <v>229.8663</v>
      </c>
      <c r="U4" s="30">
        <v>2</v>
      </c>
      <c r="V4" s="68">
        <f t="shared" ref="V4:V28" si="1">SUM(M4:O4)</f>
        <v>19522.680000000022</v>
      </c>
      <c r="W4" s="68">
        <f t="shared" ref="W4:W27" si="2">L4-V4</f>
        <v>2926.8899999999776</v>
      </c>
      <c r="X4" s="68">
        <f t="shared" ref="X4:X27" si="3">H4-L4</f>
        <v>1215.4300000000003</v>
      </c>
      <c r="Y4" s="130"/>
      <c r="Z4" s="130" t="s">
        <v>180</v>
      </c>
      <c r="AA4" s="130" t="s">
        <v>177</v>
      </c>
      <c r="AB4" s="131" t="s">
        <v>178</v>
      </c>
      <c r="AC4" s="131" t="s">
        <v>179</v>
      </c>
      <c r="AD4" s="76" t="s">
        <v>140</v>
      </c>
      <c r="AE4" s="77" t="s">
        <v>141</v>
      </c>
      <c r="AF4" s="78" t="s">
        <v>142</v>
      </c>
      <c r="AG4" s="79">
        <f>SUM(L3:L13)+SUM(L20:L27)-L22-L26</f>
        <v>353799.25000000006</v>
      </c>
      <c r="AH4" s="80">
        <f>AG4/$G$25</f>
        <v>353799.25000000006</v>
      </c>
      <c r="AI4" s="81">
        <f>AG4/AJ4</f>
        <v>3216.3568181818187</v>
      </c>
      <c r="AJ4" s="82">
        <v>110</v>
      </c>
    </row>
    <row r="5" spans="1:36" s="31" customFormat="1" ht="18">
      <c r="A5" s="135"/>
      <c r="B5" s="137"/>
      <c r="C5" s="27" t="s">
        <v>52</v>
      </c>
      <c r="D5" s="28" t="s">
        <v>55</v>
      </c>
      <c r="E5" s="28">
        <v>2</v>
      </c>
      <c r="F5" s="28">
        <v>34</v>
      </c>
      <c r="G5" s="29">
        <v>1</v>
      </c>
      <c r="H5" s="30">
        <f t="shared" si="0"/>
        <v>30325</v>
      </c>
      <c r="I5" s="30">
        <v>28480</v>
      </c>
      <c r="J5" s="30">
        <v>1845</v>
      </c>
      <c r="K5" s="30">
        <v>28480</v>
      </c>
      <c r="L5" s="30">
        <v>28495.9</v>
      </c>
      <c r="M5" s="58">
        <v>25887.129999999986</v>
      </c>
      <c r="N5" s="58">
        <v>1771.38</v>
      </c>
      <c r="O5" s="58">
        <v>123.21</v>
      </c>
      <c r="P5" s="30">
        <v>23367.821800000002</v>
      </c>
      <c r="Q5" s="30">
        <v>1441.0429999999999</v>
      </c>
      <c r="R5" s="30">
        <v>102.5386</v>
      </c>
      <c r="S5" s="30">
        <v>6976.8217999999997</v>
      </c>
      <c r="T5" s="30">
        <v>146.04300000000001</v>
      </c>
      <c r="U5" s="30">
        <v>2</v>
      </c>
      <c r="V5" s="68">
        <f t="shared" si="1"/>
        <v>27781.719999999987</v>
      </c>
      <c r="W5" s="68">
        <f t="shared" si="2"/>
        <v>714.18000000001484</v>
      </c>
      <c r="X5" s="68">
        <f t="shared" si="3"/>
        <v>1829.0999999999985</v>
      </c>
      <c r="Y5" s="130" t="s">
        <v>174</v>
      </c>
      <c r="Z5" s="131">
        <f>SUM(V3:V13)</f>
        <v>168542.61000000004</v>
      </c>
      <c r="AA5" s="131">
        <f>SUM(P3:R13)</f>
        <v>148641.88619999998</v>
      </c>
      <c r="AB5" s="131">
        <f>SUM(S3:U13)</f>
        <v>39950.404000000002</v>
      </c>
      <c r="AC5" s="131">
        <f>AA5-AB5</f>
        <v>108691.48219999997</v>
      </c>
      <c r="AD5" s="83"/>
      <c r="AE5" s="77" t="s">
        <v>143</v>
      </c>
      <c r="AF5" s="78" t="s">
        <v>144</v>
      </c>
      <c r="AG5" s="79">
        <f>SUM(L15,L18)</f>
        <v>16279.21</v>
      </c>
      <c r="AH5" s="80">
        <f t="shared" ref="AH5:AH24" si="4">AG5/$G$25</f>
        <v>16279.21</v>
      </c>
      <c r="AI5" s="81">
        <f>AG5/AJ5</f>
        <v>271.32016666666664</v>
      </c>
      <c r="AJ5" s="82">
        <v>60</v>
      </c>
    </row>
    <row r="6" spans="1:36" s="31" customFormat="1" ht="18">
      <c r="A6" s="135"/>
      <c r="B6" s="137"/>
      <c r="C6" s="27" t="s">
        <v>56</v>
      </c>
      <c r="D6" s="28" t="s">
        <v>57</v>
      </c>
      <c r="E6" s="28">
        <v>2</v>
      </c>
      <c r="F6" s="28">
        <v>31</v>
      </c>
      <c r="G6" s="29">
        <v>1</v>
      </c>
      <c r="H6" s="30">
        <f t="shared" si="0"/>
        <v>27564</v>
      </c>
      <c r="I6" s="30">
        <v>25905</v>
      </c>
      <c r="J6" s="30">
        <v>1659</v>
      </c>
      <c r="K6" s="30">
        <v>25905</v>
      </c>
      <c r="L6" s="32">
        <v>25983.83</v>
      </c>
      <c r="M6" s="58"/>
      <c r="N6" s="58"/>
      <c r="O6" s="58"/>
      <c r="P6" s="30"/>
      <c r="Q6" s="30"/>
      <c r="R6" s="30"/>
      <c r="S6" s="30"/>
      <c r="T6" s="30"/>
      <c r="U6" s="30"/>
      <c r="V6" s="68">
        <f t="shared" si="1"/>
        <v>0</v>
      </c>
      <c r="W6" s="68">
        <f t="shared" si="2"/>
        <v>25983.83</v>
      </c>
      <c r="X6" s="68">
        <f t="shared" si="3"/>
        <v>1580.1699999999983</v>
      </c>
      <c r="Y6" s="130" t="s">
        <v>175</v>
      </c>
      <c r="Z6" s="131">
        <f>V16</f>
        <v>45.35</v>
      </c>
      <c r="AA6" s="131">
        <f>SUM(Q16)</f>
        <v>90.7</v>
      </c>
      <c r="AB6" s="131">
        <f>T16</f>
        <v>9.07</v>
      </c>
      <c r="AC6" s="131">
        <f t="shared" ref="AC6:AC8" si="5">AA6-AB6</f>
        <v>81.63</v>
      </c>
      <c r="AD6" s="83"/>
      <c r="AE6" s="77" t="s">
        <v>145</v>
      </c>
      <c r="AF6" s="78" t="s">
        <v>146</v>
      </c>
      <c r="AG6" s="79">
        <f>SUM(L14,L16,L19)</f>
        <v>3781.07</v>
      </c>
      <c r="AH6" s="80">
        <f t="shared" si="4"/>
        <v>3781.07</v>
      </c>
      <c r="AI6" s="81"/>
      <c r="AJ6" s="82" t="e">
        <f t="shared" ref="AJ6:AJ19" si="6">AG6/AI6</f>
        <v>#DIV/0!</v>
      </c>
    </row>
    <row r="7" spans="1:36" s="31" customFormat="1" ht="18">
      <c r="A7" s="135"/>
      <c r="B7" s="137"/>
      <c r="C7" s="27" t="s">
        <v>52</v>
      </c>
      <c r="D7" s="28" t="s">
        <v>58</v>
      </c>
      <c r="E7" s="28">
        <v>2</v>
      </c>
      <c r="F7" s="28">
        <v>34</v>
      </c>
      <c r="G7" s="29">
        <v>1</v>
      </c>
      <c r="H7" s="30">
        <f t="shared" si="0"/>
        <v>30373</v>
      </c>
      <c r="I7" s="30">
        <v>28480</v>
      </c>
      <c r="J7" s="30">
        <v>1893</v>
      </c>
      <c r="K7" s="30">
        <v>28480</v>
      </c>
      <c r="L7" s="32">
        <v>28495.46</v>
      </c>
      <c r="M7" s="58"/>
      <c r="N7" s="58"/>
      <c r="O7" s="58"/>
      <c r="P7" s="30"/>
      <c r="Q7" s="30"/>
      <c r="R7" s="30"/>
      <c r="S7" s="30"/>
      <c r="T7" s="30"/>
      <c r="U7" s="30"/>
      <c r="V7" s="68">
        <f t="shared" si="1"/>
        <v>0</v>
      </c>
      <c r="W7" s="68">
        <f t="shared" si="2"/>
        <v>28495.46</v>
      </c>
      <c r="X7" s="68">
        <f t="shared" si="3"/>
        <v>1877.5400000000009</v>
      </c>
      <c r="Y7" s="130" t="s">
        <v>176</v>
      </c>
      <c r="Z7" s="131">
        <f>V15</f>
        <v>145.20999999999998</v>
      </c>
      <c r="AA7" s="131">
        <f>SUM(Q15)</f>
        <v>290.42</v>
      </c>
      <c r="AB7" s="131">
        <f>T15</f>
        <v>29.042000000000002</v>
      </c>
      <c r="AC7" s="131">
        <f t="shared" si="5"/>
        <v>261.37800000000004</v>
      </c>
      <c r="AD7" s="83"/>
      <c r="AE7" s="77" t="s">
        <v>147</v>
      </c>
      <c r="AF7" s="78"/>
      <c r="AG7" s="79"/>
      <c r="AH7" s="80">
        <f t="shared" si="4"/>
        <v>0</v>
      </c>
      <c r="AI7" s="81"/>
      <c r="AJ7" s="82" t="e">
        <f t="shared" si="6"/>
        <v>#DIV/0!</v>
      </c>
    </row>
    <row r="8" spans="1:36" s="31" customFormat="1" ht="18">
      <c r="A8" s="135"/>
      <c r="B8" s="137"/>
      <c r="C8" s="27" t="s">
        <v>52</v>
      </c>
      <c r="D8" s="28" t="s">
        <v>59</v>
      </c>
      <c r="E8" s="28">
        <v>2</v>
      </c>
      <c r="F8" s="28">
        <v>34</v>
      </c>
      <c r="G8" s="29">
        <v>1</v>
      </c>
      <c r="H8" s="30">
        <f t="shared" si="0"/>
        <v>30337</v>
      </c>
      <c r="I8" s="30">
        <v>28480</v>
      </c>
      <c r="J8" s="30">
        <v>1857</v>
      </c>
      <c r="K8" s="30">
        <v>28480</v>
      </c>
      <c r="L8" s="32">
        <v>28495.74</v>
      </c>
      <c r="M8" s="58"/>
      <c r="N8" s="58"/>
      <c r="O8" s="58"/>
      <c r="P8" s="30"/>
      <c r="Q8" s="30"/>
      <c r="R8" s="30"/>
      <c r="S8" s="30"/>
      <c r="T8" s="30"/>
      <c r="U8" s="30"/>
      <c r="V8" s="68">
        <f t="shared" si="1"/>
        <v>0</v>
      </c>
      <c r="W8" s="68">
        <f t="shared" si="2"/>
        <v>28495.74</v>
      </c>
      <c r="X8" s="68">
        <f t="shared" si="3"/>
        <v>1841.2599999999984</v>
      </c>
      <c r="Y8" s="130"/>
      <c r="Z8" s="131">
        <f>SUM(Z5:Z7)</f>
        <v>168733.17000000004</v>
      </c>
      <c r="AA8" s="131">
        <f>SUM(AA5:AA7)</f>
        <v>149023.0062</v>
      </c>
      <c r="AB8" s="131">
        <f>SUM(AB5:AB7)</f>
        <v>39988.516000000003</v>
      </c>
      <c r="AC8" s="131">
        <f t="shared" si="5"/>
        <v>109034.4902</v>
      </c>
      <c r="AD8" s="83"/>
      <c r="AE8" s="77" t="s">
        <v>148</v>
      </c>
      <c r="AF8" s="78"/>
      <c r="AG8" s="79"/>
      <c r="AH8" s="80">
        <f t="shared" si="4"/>
        <v>0</v>
      </c>
      <c r="AI8" s="81"/>
      <c r="AJ8" s="82" t="e">
        <f t="shared" si="6"/>
        <v>#DIV/0!</v>
      </c>
    </row>
    <row r="9" spans="1:36" s="31" customFormat="1" ht="18">
      <c r="A9" s="135"/>
      <c r="B9" s="137"/>
      <c r="C9" s="27" t="s">
        <v>60</v>
      </c>
      <c r="D9" s="28" t="s">
        <v>61</v>
      </c>
      <c r="E9" s="28">
        <v>2</v>
      </c>
      <c r="F9" s="28">
        <v>34</v>
      </c>
      <c r="G9" s="29">
        <v>1</v>
      </c>
      <c r="H9" s="30">
        <f t="shared" si="0"/>
        <v>30152</v>
      </c>
      <c r="I9" s="30">
        <v>28350</v>
      </c>
      <c r="J9" s="30">
        <v>1802</v>
      </c>
      <c r="K9" s="30">
        <v>28350</v>
      </c>
      <c r="L9" s="30">
        <v>28374</v>
      </c>
      <c r="M9" s="58">
        <v>23054.810000000038</v>
      </c>
      <c r="N9" s="58">
        <v>2354.5</v>
      </c>
      <c r="O9" s="58">
        <v>271.56</v>
      </c>
      <c r="P9" s="30">
        <v>20417.241600000001</v>
      </c>
      <c r="Q9" s="30">
        <v>1893.3294000000001</v>
      </c>
      <c r="R9" s="30">
        <v>250.23660000000001</v>
      </c>
      <c r="S9" s="30">
        <v>6122.2416000000003</v>
      </c>
      <c r="T9" s="30">
        <v>190.8552</v>
      </c>
      <c r="U9" s="30">
        <v>6</v>
      </c>
      <c r="V9" s="68">
        <f t="shared" si="1"/>
        <v>25680.870000000039</v>
      </c>
      <c r="W9" s="68">
        <f t="shared" si="2"/>
        <v>2693.129999999961</v>
      </c>
      <c r="X9" s="68">
        <f t="shared" si="3"/>
        <v>1778</v>
      </c>
      <c r="AD9" s="83"/>
      <c r="AE9" s="77" t="s">
        <v>149</v>
      </c>
      <c r="AF9" s="78"/>
      <c r="AG9" s="79"/>
      <c r="AH9" s="80">
        <f t="shared" si="4"/>
        <v>0</v>
      </c>
      <c r="AI9" s="81"/>
      <c r="AJ9" s="82" t="e">
        <f t="shared" si="6"/>
        <v>#DIV/0!</v>
      </c>
    </row>
    <row r="10" spans="1:36" s="31" customFormat="1" ht="18">
      <c r="A10" s="135"/>
      <c r="B10" s="137"/>
      <c r="C10" s="27" t="s">
        <v>62</v>
      </c>
      <c r="D10" s="28" t="s">
        <v>63</v>
      </c>
      <c r="E10" s="28">
        <v>2</v>
      </c>
      <c r="F10" s="28">
        <v>30</v>
      </c>
      <c r="G10" s="29">
        <v>1</v>
      </c>
      <c r="H10" s="30">
        <f t="shared" si="0"/>
        <v>26621</v>
      </c>
      <c r="I10" s="30">
        <v>24962</v>
      </c>
      <c r="J10" s="30">
        <v>1659</v>
      </c>
      <c r="K10" s="30">
        <v>24962</v>
      </c>
      <c r="L10" s="30">
        <v>25032.58</v>
      </c>
      <c r="M10" s="58">
        <v>18230.000000000011</v>
      </c>
      <c r="N10" s="58">
        <v>2605.2599999999998</v>
      </c>
      <c r="O10" s="58">
        <v>268.34000000000003</v>
      </c>
      <c r="P10" s="30">
        <v>16020.5533</v>
      </c>
      <c r="Q10" s="30">
        <v>2025.8666000000001</v>
      </c>
      <c r="R10" s="30">
        <v>183.13050000000001</v>
      </c>
      <c r="S10" s="30">
        <v>4807.5532999999996</v>
      </c>
      <c r="T10" s="30">
        <v>203.86660000000001</v>
      </c>
      <c r="U10" s="30">
        <v>4</v>
      </c>
      <c r="V10" s="68">
        <f t="shared" si="1"/>
        <v>21103.600000000009</v>
      </c>
      <c r="W10" s="68">
        <f t="shared" si="2"/>
        <v>3928.9799999999923</v>
      </c>
      <c r="X10" s="68">
        <f t="shared" si="3"/>
        <v>1588.4199999999983</v>
      </c>
      <c r="Z10" s="132"/>
      <c r="AA10" s="132"/>
      <c r="AB10" s="133"/>
      <c r="AC10" s="133"/>
      <c r="AD10" s="83"/>
      <c r="AE10" s="77" t="s">
        <v>150</v>
      </c>
      <c r="AF10" s="78"/>
      <c r="AG10" s="79"/>
      <c r="AH10" s="80">
        <f t="shared" si="4"/>
        <v>0</v>
      </c>
      <c r="AI10" s="81"/>
      <c r="AJ10" s="82" t="e">
        <f t="shared" si="6"/>
        <v>#DIV/0!</v>
      </c>
    </row>
    <row r="11" spans="1:36" s="31" customFormat="1" ht="18">
      <c r="A11" s="135"/>
      <c r="B11" s="137"/>
      <c r="C11" s="27" t="s">
        <v>60</v>
      </c>
      <c r="D11" s="28" t="s">
        <v>64</v>
      </c>
      <c r="E11" s="28">
        <v>2</v>
      </c>
      <c r="F11" s="28">
        <v>34</v>
      </c>
      <c r="G11" s="29">
        <v>1</v>
      </c>
      <c r="H11" s="30">
        <f t="shared" si="0"/>
        <v>23614</v>
      </c>
      <c r="I11" s="30">
        <v>22296</v>
      </c>
      <c r="J11" s="30">
        <v>1318</v>
      </c>
      <c r="K11" s="30">
        <v>22296</v>
      </c>
      <c r="L11" s="30">
        <v>22235.56</v>
      </c>
      <c r="M11" s="58">
        <v>17170.559999999998</v>
      </c>
      <c r="N11" s="58">
        <v>1913.57</v>
      </c>
      <c r="O11" s="58">
        <v>498.03000000000003</v>
      </c>
      <c r="P11" s="30">
        <v>15079.2911</v>
      </c>
      <c r="Q11" s="30">
        <v>1607.0877</v>
      </c>
      <c r="R11" s="30">
        <v>432.60300000000001</v>
      </c>
      <c r="S11" s="30">
        <v>4528.2911000000004</v>
      </c>
      <c r="T11" s="30">
        <v>159.08770000000001</v>
      </c>
      <c r="U11" s="30">
        <v>8</v>
      </c>
      <c r="V11" s="68">
        <f t="shared" si="1"/>
        <v>19582.159999999996</v>
      </c>
      <c r="W11" s="68">
        <f t="shared" si="2"/>
        <v>2653.4000000000051</v>
      </c>
      <c r="X11" s="68">
        <f t="shared" si="3"/>
        <v>1378.4399999999987</v>
      </c>
      <c r="AB11" s="131"/>
      <c r="AC11" s="131"/>
      <c r="AD11" s="83"/>
      <c r="AE11" s="77" t="s">
        <v>151</v>
      </c>
      <c r="AF11" s="78"/>
      <c r="AG11" s="79"/>
      <c r="AH11" s="80">
        <f t="shared" si="4"/>
        <v>0</v>
      </c>
      <c r="AI11" s="81"/>
      <c r="AJ11" s="82" t="e">
        <f t="shared" si="6"/>
        <v>#DIV/0!</v>
      </c>
    </row>
    <row r="12" spans="1:36" s="31" customFormat="1" ht="18">
      <c r="A12" s="135"/>
      <c r="B12" s="137"/>
      <c r="C12" s="27" t="s">
        <v>62</v>
      </c>
      <c r="D12" s="28" t="s">
        <v>65</v>
      </c>
      <c r="E12" s="28">
        <v>2</v>
      </c>
      <c r="F12" s="28">
        <v>33</v>
      </c>
      <c r="G12" s="29">
        <v>1</v>
      </c>
      <c r="H12" s="30">
        <f t="shared" si="0"/>
        <v>22882</v>
      </c>
      <c r="I12" s="30">
        <v>21595</v>
      </c>
      <c r="J12" s="30">
        <v>1287</v>
      </c>
      <c r="K12" s="30">
        <v>21595</v>
      </c>
      <c r="L12" s="30">
        <v>21695.39</v>
      </c>
      <c r="M12" s="58">
        <v>12205.620000000012</v>
      </c>
      <c r="N12" s="58">
        <v>4112.8599999999979</v>
      </c>
      <c r="O12" s="58"/>
      <c r="P12" s="30">
        <v>10305.717000000001</v>
      </c>
      <c r="Q12" s="30">
        <v>3166.1197999999999</v>
      </c>
      <c r="R12" s="30"/>
      <c r="S12" s="30">
        <v>3085.7170000000001</v>
      </c>
      <c r="T12" s="30">
        <v>311.1198</v>
      </c>
      <c r="U12" s="30"/>
      <c r="V12" s="68">
        <f t="shared" si="1"/>
        <v>16318.48000000001</v>
      </c>
      <c r="W12" s="68">
        <f t="shared" si="2"/>
        <v>5376.9099999999889</v>
      </c>
      <c r="X12" s="68">
        <f t="shared" si="3"/>
        <v>1186.6100000000006</v>
      </c>
      <c r="AD12" s="83"/>
      <c r="AE12" s="77" t="s">
        <v>152</v>
      </c>
      <c r="AF12" s="78"/>
      <c r="AG12" s="79"/>
      <c r="AH12" s="80">
        <f t="shared" si="4"/>
        <v>0</v>
      </c>
      <c r="AI12" s="81"/>
      <c r="AJ12" s="82" t="e">
        <f t="shared" si="6"/>
        <v>#DIV/0!</v>
      </c>
    </row>
    <row r="13" spans="1:36" s="31" customFormat="1" ht="18">
      <c r="A13" s="135"/>
      <c r="B13" s="137"/>
      <c r="C13" s="27" t="s">
        <v>60</v>
      </c>
      <c r="D13" s="28" t="s">
        <v>66</v>
      </c>
      <c r="E13" s="28">
        <v>2</v>
      </c>
      <c r="F13" s="28">
        <v>34</v>
      </c>
      <c r="G13" s="29">
        <v>1</v>
      </c>
      <c r="H13" s="30">
        <f t="shared" si="0"/>
        <v>29953</v>
      </c>
      <c r="I13" s="30">
        <v>28264</v>
      </c>
      <c r="J13" s="30">
        <v>1689</v>
      </c>
      <c r="K13" s="30">
        <v>28264</v>
      </c>
      <c r="L13" s="30">
        <v>28337.93</v>
      </c>
      <c r="M13" s="58">
        <v>3775.9500000000025</v>
      </c>
      <c r="N13" s="58">
        <v>4770.1100000000015</v>
      </c>
      <c r="O13" s="58">
        <v>2372.2200000000012</v>
      </c>
      <c r="P13" s="30">
        <v>3439.3706000000002</v>
      </c>
      <c r="Q13" s="30">
        <v>4237.9642999999996</v>
      </c>
      <c r="R13" s="30">
        <v>2048.5875000000001</v>
      </c>
      <c r="S13" s="30">
        <v>1032.3706</v>
      </c>
      <c r="T13" s="30">
        <v>424.96429999999998</v>
      </c>
      <c r="U13" s="30">
        <v>48</v>
      </c>
      <c r="V13" s="68">
        <f t="shared" si="1"/>
        <v>10918.280000000006</v>
      </c>
      <c r="W13" s="68">
        <f t="shared" si="2"/>
        <v>17419.649999999994</v>
      </c>
      <c r="X13" s="68">
        <f t="shared" si="3"/>
        <v>1615.0699999999997</v>
      </c>
      <c r="AD13" s="83"/>
      <c r="AE13" s="77" t="s">
        <v>153</v>
      </c>
      <c r="AF13" s="78"/>
      <c r="AG13" s="79"/>
      <c r="AH13" s="80">
        <f t="shared" si="4"/>
        <v>0</v>
      </c>
      <c r="AI13" s="81"/>
      <c r="AJ13" s="82" t="e">
        <f t="shared" si="6"/>
        <v>#DIV/0!</v>
      </c>
    </row>
    <row r="14" spans="1:36" s="31" customFormat="1" ht="18">
      <c r="A14" s="135"/>
      <c r="B14" s="137"/>
      <c r="C14" s="27" t="s">
        <v>62</v>
      </c>
      <c r="D14" s="28" t="s">
        <v>67</v>
      </c>
      <c r="E14" s="33" t="s">
        <v>68</v>
      </c>
      <c r="F14" s="28">
        <v>2</v>
      </c>
      <c r="G14" s="29">
        <v>1</v>
      </c>
      <c r="H14" s="30">
        <f t="shared" si="0"/>
        <v>2007</v>
      </c>
      <c r="I14" s="30">
        <v>2007</v>
      </c>
      <c r="J14" s="30">
        <v>0</v>
      </c>
      <c r="K14" s="30"/>
      <c r="L14" s="30">
        <v>1726.73</v>
      </c>
      <c r="M14" s="58"/>
      <c r="N14" s="58"/>
      <c r="O14" s="58"/>
      <c r="P14" s="30"/>
      <c r="Q14" s="30"/>
      <c r="R14" s="30"/>
      <c r="S14" s="30"/>
      <c r="T14" s="30"/>
      <c r="U14" s="30"/>
      <c r="V14" s="68">
        <f t="shared" si="1"/>
        <v>0</v>
      </c>
      <c r="W14" s="68">
        <f t="shared" si="2"/>
        <v>1726.73</v>
      </c>
      <c r="X14" s="68">
        <f t="shared" si="3"/>
        <v>280.27</v>
      </c>
      <c r="AD14" s="83"/>
      <c r="AE14" s="77" t="s">
        <v>154</v>
      </c>
      <c r="AF14" s="78"/>
      <c r="AG14" s="79"/>
      <c r="AH14" s="80">
        <f t="shared" si="4"/>
        <v>0</v>
      </c>
      <c r="AI14" s="81"/>
      <c r="AJ14" s="82" t="e">
        <f t="shared" si="6"/>
        <v>#DIV/0!</v>
      </c>
    </row>
    <row r="15" spans="1:36" s="31" customFormat="1" ht="18">
      <c r="A15" s="135"/>
      <c r="B15" s="137"/>
      <c r="C15" s="27" t="s">
        <v>62</v>
      </c>
      <c r="D15" s="28" t="s">
        <v>69</v>
      </c>
      <c r="E15" s="33" t="s">
        <v>68</v>
      </c>
      <c r="F15" s="28">
        <v>3</v>
      </c>
      <c r="G15" s="29">
        <v>1</v>
      </c>
      <c r="H15" s="30">
        <f t="shared" si="0"/>
        <v>3518</v>
      </c>
      <c r="I15" s="30">
        <v>3518</v>
      </c>
      <c r="J15" s="30">
        <v>0</v>
      </c>
      <c r="K15" s="30">
        <v>3518</v>
      </c>
      <c r="L15" s="30">
        <v>3123.21</v>
      </c>
      <c r="M15" s="58"/>
      <c r="N15" s="58">
        <v>145.20999999999998</v>
      </c>
      <c r="O15" s="58"/>
      <c r="P15" s="30"/>
      <c r="Q15" s="30">
        <v>290.42</v>
      </c>
      <c r="R15" s="30"/>
      <c r="S15" s="30"/>
      <c r="T15" s="30">
        <v>29.042000000000002</v>
      </c>
      <c r="U15" s="30"/>
      <c r="V15" s="68">
        <f t="shared" si="1"/>
        <v>145.20999999999998</v>
      </c>
      <c r="W15" s="68">
        <f t="shared" si="2"/>
        <v>2978</v>
      </c>
      <c r="X15" s="68">
        <f t="shared" si="3"/>
        <v>394.78999999999996</v>
      </c>
      <c r="AD15" s="83"/>
      <c r="AE15" s="77" t="s">
        <v>155</v>
      </c>
      <c r="AF15" s="78"/>
      <c r="AG15" s="79"/>
      <c r="AH15" s="80">
        <f t="shared" si="4"/>
        <v>0</v>
      </c>
      <c r="AI15" s="81"/>
      <c r="AJ15" s="82" t="e">
        <f t="shared" si="6"/>
        <v>#DIV/0!</v>
      </c>
    </row>
    <row r="16" spans="1:36" s="31" customFormat="1" ht="15" customHeight="1">
      <c r="A16" s="135"/>
      <c r="B16" s="138"/>
      <c r="C16" s="27" t="s">
        <v>62</v>
      </c>
      <c r="D16" s="28" t="s">
        <v>70</v>
      </c>
      <c r="E16" s="33" t="s">
        <v>68</v>
      </c>
      <c r="F16" s="28">
        <v>2</v>
      </c>
      <c r="G16" s="29">
        <v>1</v>
      </c>
      <c r="H16" s="30">
        <f t="shared" si="0"/>
        <v>1037</v>
      </c>
      <c r="I16" s="30">
        <v>1037</v>
      </c>
      <c r="J16" s="30">
        <v>0</v>
      </c>
      <c r="K16" s="30"/>
      <c r="L16" s="30">
        <v>834.34</v>
      </c>
      <c r="M16" s="58"/>
      <c r="N16" s="58">
        <v>45.35</v>
      </c>
      <c r="O16" s="58"/>
      <c r="P16" s="30"/>
      <c r="Q16" s="30">
        <v>90.7</v>
      </c>
      <c r="R16" s="30"/>
      <c r="S16" s="30"/>
      <c r="T16" s="30">
        <v>9.07</v>
      </c>
      <c r="U16" s="30"/>
      <c r="V16" s="68">
        <f t="shared" si="1"/>
        <v>45.35</v>
      </c>
      <c r="W16" s="68">
        <f t="shared" si="2"/>
        <v>788.99</v>
      </c>
      <c r="X16" s="68">
        <f t="shared" si="3"/>
        <v>202.65999999999997</v>
      </c>
      <c r="AD16" s="83"/>
      <c r="AE16" s="77" t="s">
        <v>156</v>
      </c>
      <c r="AF16" s="78"/>
      <c r="AG16" s="79"/>
      <c r="AH16" s="80">
        <f t="shared" si="4"/>
        <v>0</v>
      </c>
      <c r="AI16" s="81"/>
      <c r="AJ16" s="82" t="e">
        <f t="shared" si="6"/>
        <v>#DIV/0!</v>
      </c>
    </row>
    <row r="17" spans="1:36" s="31" customFormat="1" ht="18">
      <c r="A17" s="135"/>
      <c r="B17" s="51"/>
      <c r="C17" s="50"/>
      <c r="D17" s="28" t="s">
        <v>172</v>
      </c>
      <c r="E17" s="33"/>
      <c r="F17" s="28"/>
      <c r="G17" s="29"/>
      <c r="H17" s="30">
        <f>SUM(H3:H16)</f>
        <v>312300</v>
      </c>
      <c r="I17" s="30">
        <f t="shared" ref="I17:X17" si="7">SUM(I3:I16)</f>
        <v>294200</v>
      </c>
      <c r="J17" s="30">
        <f t="shared" si="7"/>
        <v>18100</v>
      </c>
      <c r="K17" s="30">
        <f t="shared" si="7"/>
        <v>291156</v>
      </c>
      <c r="L17" s="30">
        <f t="shared" si="7"/>
        <v>293775.98000000004</v>
      </c>
      <c r="M17" s="30">
        <f t="shared" si="7"/>
        <v>142360.59000000008</v>
      </c>
      <c r="N17" s="30">
        <f t="shared" si="7"/>
        <v>22747.609999999997</v>
      </c>
      <c r="O17" s="30">
        <f t="shared" si="7"/>
        <v>3624.9700000000012</v>
      </c>
      <c r="P17" s="30">
        <f t="shared" si="7"/>
        <v>127037.5791</v>
      </c>
      <c r="Q17" s="30">
        <f t="shared" si="7"/>
        <v>18885.990999999998</v>
      </c>
      <c r="R17" s="30">
        <f t="shared" si="7"/>
        <v>3099.4360999999999</v>
      </c>
      <c r="S17" s="30">
        <f t="shared" si="7"/>
        <v>38034.579100000003</v>
      </c>
      <c r="T17" s="30">
        <f t="shared" si="7"/>
        <v>1883.9368999999999</v>
      </c>
      <c r="U17" s="30">
        <f t="shared" si="7"/>
        <v>70</v>
      </c>
      <c r="V17" s="30">
        <f t="shared" si="7"/>
        <v>168733.17000000004</v>
      </c>
      <c r="W17" s="30">
        <f t="shared" si="7"/>
        <v>125042.80999999995</v>
      </c>
      <c r="X17" s="30">
        <f t="shared" si="7"/>
        <v>18524.019999999993</v>
      </c>
      <c r="Y17" s="61"/>
      <c r="AD17" s="83"/>
      <c r="AE17" s="77"/>
      <c r="AF17" s="78"/>
      <c r="AG17" s="79"/>
      <c r="AH17" s="80"/>
      <c r="AI17" s="81"/>
      <c r="AJ17" s="82"/>
    </row>
    <row r="18" spans="1:36" s="31" customFormat="1" ht="18">
      <c r="A18" s="135"/>
      <c r="B18" s="136" t="s">
        <v>71</v>
      </c>
      <c r="C18" s="27"/>
      <c r="D18" s="28" t="s">
        <v>72</v>
      </c>
      <c r="E18" s="28">
        <v>1</v>
      </c>
      <c r="F18" s="28">
        <v>14</v>
      </c>
      <c r="G18" s="29">
        <v>1</v>
      </c>
      <c r="H18" s="30">
        <f t="shared" si="0"/>
        <v>16084</v>
      </c>
      <c r="I18" s="30">
        <v>14338</v>
      </c>
      <c r="J18" s="30">
        <v>1746</v>
      </c>
      <c r="K18" s="30">
        <v>14337.79</v>
      </c>
      <c r="L18" s="32">
        <v>13156</v>
      </c>
      <c r="M18" s="59"/>
      <c r="N18" s="59"/>
      <c r="O18" s="59"/>
      <c r="P18" s="34"/>
      <c r="Q18" s="34"/>
      <c r="R18" s="34"/>
      <c r="S18" s="34"/>
      <c r="T18" s="34"/>
      <c r="U18" s="34"/>
      <c r="V18" s="68">
        <f t="shared" si="1"/>
        <v>0</v>
      </c>
      <c r="W18" s="68">
        <f>L18-V18</f>
        <v>13156</v>
      </c>
      <c r="X18" s="68">
        <f t="shared" si="3"/>
        <v>2928</v>
      </c>
      <c r="AD18" s="83"/>
      <c r="AE18" s="77" t="s">
        <v>157</v>
      </c>
      <c r="AF18" s="78"/>
      <c r="AG18" s="79"/>
      <c r="AH18" s="80">
        <f t="shared" si="4"/>
        <v>0</v>
      </c>
      <c r="AI18" s="81"/>
      <c r="AJ18" s="82" t="e">
        <f t="shared" si="6"/>
        <v>#DIV/0!</v>
      </c>
    </row>
    <row r="19" spans="1:36" s="31" customFormat="1" ht="18">
      <c r="A19" s="135"/>
      <c r="B19" s="137"/>
      <c r="C19" s="27" t="s">
        <v>60</v>
      </c>
      <c r="D19" s="28" t="s">
        <v>73</v>
      </c>
      <c r="E19" s="33" t="s">
        <v>68</v>
      </c>
      <c r="F19" s="28">
        <v>2</v>
      </c>
      <c r="G19" s="29">
        <v>1</v>
      </c>
      <c r="H19" s="30">
        <f t="shared" si="0"/>
        <v>1303</v>
      </c>
      <c r="I19" s="30">
        <v>1303</v>
      </c>
      <c r="J19" s="30">
        <v>0</v>
      </c>
      <c r="K19" s="30"/>
      <c r="L19" s="30">
        <v>1220</v>
      </c>
      <c r="M19" s="59"/>
      <c r="N19" s="59"/>
      <c r="O19" s="59"/>
      <c r="P19" s="34"/>
      <c r="Q19" s="34"/>
      <c r="R19" s="34"/>
      <c r="S19" s="34"/>
      <c r="T19" s="34"/>
      <c r="U19" s="34"/>
      <c r="V19" s="68">
        <f t="shared" si="1"/>
        <v>0</v>
      </c>
      <c r="W19" s="68">
        <f t="shared" si="2"/>
        <v>1220</v>
      </c>
      <c r="X19" s="68">
        <f t="shared" si="3"/>
        <v>83</v>
      </c>
      <c r="AD19" s="83"/>
      <c r="AE19" s="84" t="s">
        <v>158</v>
      </c>
      <c r="AF19" s="85" t="s">
        <v>159</v>
      </c>
      <c r="AG19" s="86">
        <v>108809</v>
      </c>
      <c r="AH19" s="80">
        <f t="shared" si="4"/>
        <v>108809</v>
      </c>
      <c r="AI19" s="87">
        <v>3262</v>
      </c>
      <c r="AJ19" s="82">
        <f t="shared" si="6"/>
        <v>33.356529736358063</v>
      </c>
    </row>
    <row r="20" spans="1:36" s="31" customFormat="1" ht="18">
      <c r="A20" s="135"/>
      <c r="B20" s="137"/>
      <c r="C20" s="27" t="s">
        <v>60</v>
      </c>
      <c r="D20" s="28" t="s">
        <v>74</v>
      </c>
      <c r="E20" s="28">
        <v>2</v>
      </c>
      <c r="F20" s="28">
        <v>23</v>
      </c>
      <c r="G20" s="29">
        <v>1</v>
      </c>
      <c r="H20" s="30">
        <f t="shared" si="0"/>
        <v>8597</v>
      </c>
      <c r="I20" s="30">
        <v>7907</v>
      </c>
      <c r="J20" s="30">
        <v>690</v>
      </c>
      <c r="K20" s="30">
        <v>7907</v>
      </c>
      <c r="L20" s="30">
        <v>8120.35</v>
      </c>
      <c r="M20" s="59"/>
      <c r="N20" s="59"/>
      <c r="O20" s="59"/>
      <c r="P20" s="34"/>
      <c r="Q20" s="34"/>
      <c r="R20" s="34"/>
      <c r="S20" s="34"/>
      <c r="T20" s="34"/>
      <c r="U20" s="34"/>
      <c r="V20" s="68">
        <f t="shared" si="1"/>
        <v>0</v>
      </c>
      <c r="W20" s="68">
        <f t="shared" si="2"/>
        <v>8120.35</v>
      </c>
      <c r="X20" s="68">
        <f t="shared" si="3"/>
        <v>476.64999999999964</v>
      </c>
      <c r="AD20" s="88"/>
      <c r="AE20" s="89" t="s">
        <v>160</v>
      </c>
      <c r="AF20" s="90"/>
      <c r="AG20" s="91">
        <f>SUM(AG4:AG19)</f>
        <v>482668.53000000009</v>
      </c>
      <c r="AH20" s="92">
        <f t="shared" si="4"/>
        <v>482668.53000000009</v>
      </c>
      <c r="AI20" s="93"/>
      <c r="AJ20" s="94"/>
    </row>
    <row r="21" spans="1:36" s="31" customFormat="1" ht="18">
      <c r="A21" s="135"/>
      <c r="B21" s="137"/>
      <c r="C21" s="27" t="s">
        <v>60</v>
      </c>
      <c r="D21" s="28" t="s">
        <v>75</v>
      </c>
      <c r="E21" s="28">
        <v>2</v>
      </c>
      <c r="F21" s="28">
        <v>33</v>
      </c>
      <c r="G21" s="29">
        <v>1</v>
      </c>
      <c r="H21" s="30">
        <f t="shared" si="0"/>
        <v>12860</v>
      </c>
      <c r="I21" s="30">
        <v>12152</v>
      </c>
      <c r="J21" s="30">
        <v>708</v>
      </c>
      <c r="K21" s="30">
        <v>12152</v>
      </c>
      <c r="L21" s="30">
        <v>12367.1</v>
      </c>
      <c r="M21" s="59"/>
      <c r="N21" s="59"/>
      <c r="O21" s="59"/>
      <c r="P21" s="34"/>
      <c r="Q21" s="34"/>
      <c r="R21" s="34"/>
      <c r="S21" s="34"/>
      <c r="T21" s="34"/>
      <c r="U21" s="34"/>
      <c r="V21" s="68">
        <f t="shared" si="1"/>
        <v>0</v>
      </c>
      <c r="W21" s="68">
        <f t="shared" si="2"/>
        <v>12367.1</v>
      </c>
      <c r="X21" s="68">
        <f t="shared" si="3"/>
        <v>492.89999999999964</v>
      </c>
      <c r="AD21" s="76" t="s">
        <v>161</v>
      </c>
      <c r="AE21" s="95"/>
      <c r="AF21" s="96" t="s">
        <v>162</v>
      </c>
      <c r="AG21" s="97"/>
      <c r="AH21" s="92">
        <f t="shared" si="4"/>
        <v>0</v>
      </c>
      <c r="AI21" s="98"/>
      <c r="AJ21" s="99"/>
    </row>
    <row r="22" spans="1:36" s="65" customFormat="1" ht="18">
      <c r="A22" s="135"/>
      <c r="B22" s="137"/>
      <c r="C22" s="62" t="s">
        <v>62</v>
      </c>
      <c r="D22" s="63" t="s">
        <v>76</v>
      </c>
      <c r="E22" s="63">
        <v>2</v>
      </c>
      <c r="F22" s="63">
        <v>23</v>
      </c>
      <c r="G22" s="64">
        <v>1</v>
      </c>
      <c r="H22" s="58">
        <f t="shared" si="0"/>
        <v>8597</v>
      </c>
      <c r="I22" s="58">
        <v>7907</v>
      </c>
      <c r="J22" s="58">
        <v>690</v>
      </c>
      <c r="K22" s="58">
        <v>7907</v>
      </c>
      <c r="L22" s="58">
        <v>8120.35</v>
      </c>
      <c r="M22" s="59"/>
      <c r="N22" s="59"/>
      <c r="O22" s="59"/>
      <c r="P22" s="59"/>
      <c r="Q22" s="59"/>
      <c r="R22" s="59"/>
      <c r="S22" s="59"/>
      <c r="T22" s="59"/>
      <c r="U22" s="59"/>
      <c r="V22" s="69">
        <f t="shared" si="1"/>
        <v>0</v>
      </c>
      <c r="W22" s="69"/>
      <c r="X22" s="69"/>
      <c r="AD22" s="114"/>
      <c r="AE22" s="115"/>
      <c r="AF22" s="116" t="s">
        <v>163</v>
      </c>
      <c r="AG22" s="117">
        <f>X17+X29</f>
        <v>24461.469999999994</v>
      </c>
      <c r="AH22" s="118">
        <f t="shared" si="4"/>
        <v>24461.469999999994</v>
      </c>
      <c r="AI22" s="119"/>
      <c r="AJ22" s="120"/>
    </row>
    <row r="23" spans="1:36" s="31" customFormat="1" ht="18">
      <c r="A23" s="135"/>
      <c r="B23" s="137"/>
      <c r="C23" s="27" t="s">
        <v>62</v>
      </c>
      <c r="D23" s="28" t="s">
        <v>77</v>
      </c>
      <c r="E23" s="28">
        <v>2</v>
      </c>
      <c r="F23" s="28">
        <v>33</v>
      </c>
      <c r="G23" s="29">
        <v>1</v>
      </c>
      <c r="H23" s="30">
        <f t="shared" si="0"/>
        <v>12860</v>
      </c>
      <c r="I23" s="30">
        <f>I21</f>
        <v>12152</v>
      </c>
      <c r="J23" s="30">
        <f>J21</f>
        <v>708</v>
      </c>
      <c r="K23" s="30">
        <v>12152</v>
      </c>
      <c r="L23" s="30">
        <v>12367.21</v>
      </c>
      <c r="M23" s="59"/>
      <c r="N23" s="59"/>
      <c r="O23" s="59"/>
      <c r="P23" s="34"/>
      <c r="Q23" s="34"/>
      <c r="R23" s="34"/>
      <c r="S23" s="34"/>
      <c r="T23" s="34"/>
      <c r="U23" s="34"/>
      <c r="V23" s="68">
        <f t="shared" si="1"/>
        <v>0</v>
      </c>
      <c r="W23" s="68">
        <f t="shared" si="2"/>
        <v>12367.21</v>
      </c>
      <c r="X23" s="68">
        <f t="shared" si="3"/>
        <v>492.79000000000087</v>
      </c>
      <c r="AD23" s="83"/>
      <c r="AE23" s="101"/>
      <c r="AF23" s="96" t="s">
        <v>164</v>
      </c>
      <c r="AG23" s="100"/>
      <c r="AH23" s="92">
        <f t="shared" si="4"/>
        <v>0</v>
      </c>
      <c r="AI23" s="98"/>
      <c r="AJ23" s="102"/>
    </row>
    <row r="24" spans="1:36" s="31" customFormat="1" ht="18">
      <c r="A24" s="135"/>
      <c r="B24" s="137"/>
      <c r="C24" s="27" t="s">
        <v>60</v>
      </c>
      <c r="D24" s="28" t="s">
        <v>78</v>
      </c>
      <c r="E24" s="28">
        <v>2</v>
      </c>
      <c r="F24" s="28">
        <v>23</v>
      </c>
      <c r="G24" s="29">
        <v>1</v>
      </c>
      <c r="H24" s="30">
        <f t="shared" si="0"/>
        <v>8597</v>
      </c>
      <c r="I24" s="30">
        <v>7907</v>
      </c>
      <c r="J24" s="30">
        <v>690</v>
      </c>
      <c r="K24" s="30">
        <v>7907</v>
      </c>
      <c r="L24" s="30">
        <v>8120.35</v>
      </c>
      <c r="M24" s="59"/>
      <c r="N24" s="59"/>
      <c r="O24" s="59"/>
      <c r="P24" s="34"/>
      <c r="Q24" s="34"/>
      <c r="R24" s="34"/>
      <c r="S24" s="34"/>
      <c r="T24" s="34"/>
      <c r="U24" s="34"/>
      <c r="V24" s="68">
        <f t="shared" si="1"/>
        <v>0</v>
      </c>
      <c r="W24" s="68">
        <f t="shared" si="2"/>
        <v>8120.35</v>
      </c>
      <c r="X24" s="68">
        <f t="shared" si="3"/>
        <v>476.64999999999964</v>
      </c>
      <c r="AD24" s="103"/>
      <c r="AE24" s="89" t="s">
        <v>160</v>
      </c>
      <c r="AF24" s="90"/>
      <c r="AG24" s="91">
        <f>SUM(AG21:AG23)</f>
        <v>24461.469999999994</v>
      </c>
      <c r="AH24" s="92">
        <f t="shared" si="4"/>
        <v>24461.469999999994</v>
      </c>
      <c r="AI24" s="93"/>
      <c r="AJ24" s="104"/>
    </row>
    <row r="25" spans="1:36" s="31" customFormat="1" ht="18">
      <c r="A25" s="135"/>
      <c r="B25" s="137"/>
      <c r="C25" s="27" t="s">
        <v>60</v>
      </c>
      <c r="D25" s="28" t="s">
        <v>79</v>
      </c>
      <c r="E25" s="28">
        <v>2</v>
      </c>
      <c r="F25" s="28">
        <v>33</v>
      </c>
      <c r="G25" s="29">
        <v>1</v>
      </c>
      <c r="H25" s="30">
        <f t="shared" si="0"/>
        <v>12860</v>
      </c>
      <c r="I25" s="30">
        <f>I21</f>
        <v>12152</v>
      </c>
      <c r="J25" s="30">
        <f>J21</f>
        <v>708</v>
      </c>
      <c r="K25" s="30">
        <v>12152</v>
      </c>
      <c r="L25" s="30">
        <v>12367.21</v>
      </c>
      <c r="M25" s="59"/>
      <c r="N25" s="59"/>
      <c r="O25" s="59"/>
      <c r="P25" s="34"/>
      <c r="Q25" s="34"/>
      <c r="R25" s="34"/>
      <c r="S25" s="34"/>
      <c r="T25" s="34"/>
      <c r="U25" s="34"/>
      <c r="V25" s="68">
        <f>SUM(M25:O25)</f>
        <v>0</v>
      </c>
      <c r="W25" s="68">
        <f t="shared" si="2"/>
        <v>12367.21</v>
      </c>
      <c r="X25" s="68">
        <f t="shared" si="3"/>
        <v>492.79000000000087</v>
      </c>
      <c r="AD25" s="105" t="s">
        <v>165</v>
      </c>
      <c r="AE25" s="106"/>
      <c r="AF25" s="107"/>
      <c r="AG25" s="93">
        <f>AG20+AG24</f>
        <v>507130.00000000006</v>
      </c>
      <c r="AH25" s="108"/>
      <c r="AI25" s="93"/>
      <c r="AJ25" s="104"/>
    </row>
    <row r="26" spans="1:36" s="65" customFormat="1" ht="18">
      <c r="A26" s="135"/>
      <c r="B26" s="137"/>
      <c r="D26" s="63" t="s">
        <v>80</v>
      </c>
      <c r="E26" s="63">
        <v>3</v>
      </c>
      <c r="F26" s="63">
        <v>46</v>
      </c>
      <c r="G26" s="64">
        <v>1</v>
      </c>
      <c r="H26" s="58">
        <f t="shared" si="0"/>
        <v>41912</v>
      </c>
      <c r="I26" s="58">
        <v>39798</v>
      </c>
      <c r="J26" s="58">
        <v>2114</v>
      </c>
      <c r="K26" s="58">
        <v>39473</v>
      </c>
      <c r="L26" s="58">
        <f t="shared" ref="L26" si="8">I26</f>
        <v>39798</v>
      </c>
      <c r="M26" s="59"/>
      <c r="N26" s="59"/>
      <c r="O26" s="59"/>
      <c r="P26" s="59"/>
      <c r="Q26" s="59"/>
      <c r="R26" s="59"/>
      <c r="S26" s="59"/>
      <c r="T26" s="59"/>
      <c r="U26" s="59"/>
      <c r="V26" s="69">
        <f t="shared" si="1"/>
        <v>0</v>
      </c>
      <c r="W26" s="69"/>
      <c r="X26" s="69"/>
      <c r="AD26" s="121" t="s">
        <v>166</v>
      </c>
      <c r="AE26" s="122"/>
      <c r="AF26" s="123"/>
      <c r="AG26" s="122">
        <f>56597.37</f>
        <v>56597.37</v>
      </c>
      <c r="AH26" s="123"/>
      <c r="AI26" s="124"/>
      <c r="AJ26" s="125"/>
    </row>
    <row r="27" spans="1:36" s="31" customFormat="1" ht="18.75" thickBot="1">
      <c r="A27" s="135"/>
      <c r="B27" s="137"/>
      <c r="C27" s="27" t="s">
        <v>60</v>
      </c>
      <c r="D27" s="28" t="s">
        <v>81</v>
      </c>
      <c r="E27" s="28">
        <v>2</v>
      </c>
      <c r="F27" s="28">
        <v>33</v>
      </c>
      <c r="G27" s="29">
        <v>1</v>
      </c>
      <c r="H27" s="30">
        <f t="shared" si="0"/>
        <v>12860</v>
      </c>
      <c r="I27" s="30">
        <f>I21</f>
        <v>12152</v>
      </c>
      <c r="J27" s="30">
        <f>J21</f>
        <v>708</v>
      </c>
      <c r="K27" s="30">
        <v>12152</v>
      </c>
      <c r="L27" s="30">
        <v>12365.33</v>
      </c>
      <c r="M27" s="59"/>
      <c r="N27" s="59"/>
      <c r="O27" s="59"/>
      <c r="P27" s="34"/>
      <c r="Q27" s="34"/>
      <c r="R27" s="34"/>
      <c r="S27" s="34"/>
      <c r="T27" s="34"/>
      <c r="U27" s="34"/>
      <c r="V27" s="68">
        <f t="shared" si="1"/>
        <v>0</v>
      </c>
      <c r="W27" s="68">
        <f t="shared" si="2"/>
        <v>12365.33</v>
      </c>
      <c r="X27" s="68">
        <f t="shared" si="3"/>
        <v>494.67000000000007</v>
      </c>
      <c r="AD27" s="109" t="s">
        <v>167</v>
      </c>
      <c r="AE27" s="110"/>
      <c r="AF27" s="111"/>
      <c r="AG27" s="112">
        <f>ROUND(AG25/AG26,2)</f>
        <v>8.9600000000000009</v>
      </c>
      <c r="AH27" s="111"/>
      <c r="AI27" s="112">
        <f>ROUND(AG28/AG26,2)</f>
        <v>0</v>
      </c>
      <c r="AJ27" s="113"/>
    </row>
    <row r="28" spans="1:36" s="31" customFormat="1" ht="18">
      <c r="A28" s="135"/>
      <c r="B28" s="137"/>
      <c r="C28" s="27" t="s">
        <v>62</v>
      </c>
      <c r="D28" s="28" t="s">
        <v>82</v>
      </c>
      <c r="E28" s="28">
        <v>2</v>
      </c>
      <c r="F28" s="29" t="s">
        <v>83</v>
      </c>
      <c r="G28" s="29" t="s">
        <v>83</v>
      </c>
      <c r="H28" s="30">
        <f t="shared" si="0"/>
        <v>108809</v>
      </c>
      <c r="I28" s="30">
        <v>662</v>
      </c>
      <c r="J28" s="30">
        <v>108147</v>
      </c>
      <c r="K28" s="30"/>
      <c r="L28" s="35" t="s">
        <v>68</v>
      </c>
      <c r="M28" s="59"/>
      <c r="N28" s="59"/>
      <c r="O28" s="59"/>
      <c r="P28" s="34"/>
      <c r="Q28" s="34"/>
      <c r="R28" s="34"/>
      <c r="S28" s="34"/>
      <c r="T28" s="34"/>
      <c r="U28" s="34"/>
      <c r="V28" s="68">
        <f t="shared" si="1"/>
        <v>0</v>
      </c>
      <c r="W28" s="68"/>
      <c r="X28" s="68"/>
    </row>
    <row r="29" spans="1:36" s="31" customFormat="1" ht="18">
      <c r="A29" s="135"/>
      <c r="B29" s="137"/>
      <c r="C29" s="50"/>
      <c r="D29" s="28" t="s">
        <v>171</v>
      </c>
      <c r="E29" s="126"/>
      <c r="F29" s="127"/>
      <c r="G29" s="128"/>
      <c r="H29" s="30">
        <f>SUM(H18:H28)</f>
        <v>245339</v>
      </c>
      <c r="I29" s="30">
        <f t="shared" ref="I29:X29" si="9">SUM(I18:I28)</f>
        <v>128430</v>
      </c>
      <c r="J29" s="30">
        <f t="shared" si="9"/>
        <v>116909</v>
      </c>
      <c r="K29" s="30">
        <f t="shared" si="9"/>
        <v>126139.79000000001</v>
      </c>
      <c r="L29" s="30">
        <f t="shared" si="9"/>
        <v>128001.9</v>
      </c>
      <c r="M29" s="30">
        <f t="shared" si="9"/>
        <v>0</v>
      </c>
      <c r="N29" s="30">
        <f t="shared" si="9"/>
        <v>0</v>
      </c>
      <c r="O29" s="30">
        <f t="shared" si="9"/>
        <v>0</v>
      </c>
      <c r="P29" s="30">
        <f t="shared" si="9"/>
        <v>0</v>
      </c>
      <c r="Q29" s="30">
        <f t="shared" si="9"/>
        <v>0</v>
      </c>
      <c r="R29" s="30">
        <f t="shared" si="9"/>
        <v>0</v>
      </c>
      <c r="S29" s="30">
        <f t="shared" si="9"/>
        <v>0</v>
      </c>
      <c r="T29" s="30">
        <f t="shared" si="9"/>
        <v>0</v>
      </c>
      <c r="U29" s="30">
        <f t="shared" si="9"/>
        <v>0</v>
      </c>
      <c r="V29" s="30">
        <f t="shared" si="9"/>
        <v>0</v>
      </c>
      <c r="W29" s="30">
        <f t="shared" si="9"/>
        <v>80083.55</v>
      </c>
      <c r="X29" s="30">
        <f t="shared" si="9"/>
        <v>5937.4500000000007</v>
      </c>
      <c r="AG29" s="61">
        <f>H30-H26-H22</f>
        <v>507130</v>
      </c>
    </row>
    <row r="30" spans="1:36" s="31" customFormat="1" ht="18">
      <c r="A30" s="135"/>
      <c r="B30" s="138"/>
      <c r="C30" s="27"/>
      <c r="D30" s="36" t="s">
        <v>170</v>
      </c>
      <c r="E30" s="139"/>
      <c r="F30" s="140"/>
      <c r="G30" s="141"/>
      <c r="H30" s="37">
        <f>SUM(H29,H17)</f>
        <v>557639</v>
      </c>
      <c r="I30" s="37">
        <f t="shared" ref="I30:W30" si="10">SUM(I29,I17)</f>
        <v>422630</v>
      </c>
      <c r="J30" s="37">
        <f t="shared" si="10"/>
        <v>135009</v>
      </c>
      <c r="K30" s="37">
        <f t="shared" si="10"/>
        <v>417295.79000000004</v>
      </c>
      <c r="L30" s="37">
        <f t="shared" si="10"/>
        <v>421777.88</v>
      </c>
      <c r="M30" s="37">
        <f t="shared" si="10"/>
        <v>142360.59000000008</v>
      </c>
      <c r="N30" s="37">
        <f t="shared" si="10"/>
        <v>22747.609999999997</v>
      </c>
      <c r="O30" s="37">
        <f t="shared" si="10"/>
        <v>3624.9700000000012</v>
      </c>
      <c r="P30" s="37">
        <f t="shared" si="10"/>
        <v>127037.5791</v>
      </c>
      <c r="Q30" s="37">
        <f t="shared" si="10"/>
        <v>18885.990999999998</v>
      </c>
      <c r="R30" s="37">
        <f t="shared" si="10"/>
        <v>3099.4360999999999</v>
      </c>
      <c r="S30" s="37">
        <f t="shared" si="10"/>
        <v>38034.579100000003</v>
      </c>
      <c r="T30" s="37">
        <f t="shared" si="10"/>
        <v>1883.9368999999999</v>
      </c>
      <c r="U30" s="37">
        <f t="shared" si="10"/>
        <v>70</v>
      </c>
      <c r="V30" s="37">
        <f t="shared" si="10"/>
        <v>168733.17000000004</v>
      </c>
      <c r="W30" s="37">
        <f t="shared" si="10"/>
        <v>205126.35999999996</v>
      </c>
      <c r="X30" s="37">
        <f>X29+Z17</f>
        <v>5937.4500000000007</v>
      </c>
    </row>
    <row r="31" spans="1:36" ht="18" customHeight="1">
      <c r="H31" s="38" t="s">
        <v>128</v>
      </c>
      <c r="I31" s="38" t="s">
        <v>129</v>
      </c>
      <c r="J31" s="129" t="s">
        <v>181</v>
      </c>
      <c r="L31" s="39"/>
      <c r="W31" s="46"/>
      <c r="X31" s="46">
        <f>W30+X30+H28</f>
        <v>319872.80999999994</v>
      </c>
    </row>
    <row r="32" spans="1:36">
      <c r="F32" s="38" t="s">
        <v>114</v>
      </c>
      <c r="H32" s="46">
        <f>SUM(H18:H28)-H22-H26</f>
        <v>194830</v>
      </c>
      <c r="J32" s="46">
        <f>I30-I22-I26</f>
        <v>374925</v>
      </c>
      <c r="K32" s="46"/>
    </row>
    <row r="33" spans="6:11">
      <c r="F33" s="38" t="s">
        <v>116</v>
      </c>
      <c r="H33" s="39">
        <f>H32/H30</f>
        <v>0.34938374109414871</v>
      </c>
      <c r="J33" s="39">
        <f>J32/H30</f>
        <v>0.67234357711709547</v>
      </c>
    </row>
    <row r="34" spans="6:11">
      <c r="F34" s="38" t="s">
        <v>125</v>
      </c>
      <c r="H34" s="40">
        <v>43976000</v>
      </c>
      <c r="I34" s="46">
        <f>H34*$H$33</f>
        <v>15364499.398356283</v>
      </c>
      <c r="J34" s="46">
        <f>$J$33*H34</f>
        <v>29566981.147301391</v>
      </c>
      <c r="K34" s="46"/>
    </row>
    <row r="35" spans="6:11">
      <c r="F35" s="38" t="s">
        <v>126</v>
      </c>
      <c r="H35" s="40">
        <v>819000</v>
      </c>
      <c r="I35" s="46">
        <f t="shared" ref="I35:I36" si="11">H35*$H$33</f>
        <v>286145.2839561078</v>
      </c>
      <c r="J35" s="46">
        <f t="shared" ref="J35:J36" si="12">$J$33*H35</f>
        <v>550649.38965890114</v>
      </c>
    </row>
    <row r="36" spans="6:11">
      <c r="F36" s="38" t="s">
        <v>126</v>
      </c>
      <c r="H36" s="40">
        <v>1099400000</v>
      </c>
      <c r="I36" s="46">
        <f t="shared" si="11"/>
        <v>384112484.95890707</v>
      </c>
      <c r="J36" s="46">
        <f t="shared" si="12"/>
        <v>739174528.68253481</v>
      </c>
    </row>
    <row r="37" spans="6:11">
      <c r="F37" s="38" t="s">
        <v>127</v>
      </c>
      <c r="H37" s="46">
        <f>SUM(H34:H36)</f>
        <v>1144195000</v>
      </c>
      <c r="I37" s="46">
        <f>SUM(I34:I36)</f>
        <v>399763129.64121944</v>
      </c>
      <c r="J37" s="46">
        <f>SUM(J34:J36)</f>
        <v>769292159.21949506</v>
      </c>
    </row>
    <row r="39" spans="6:11">
      <c r="F39" s="38" t="s">
        <v>133</v>
      </c>
      <c r="H39" s="46">
        <f>SUM(H3:H16)</f>
        <v>312300</v>
      </c>
    </row>
    <row r="40" spans="6:11">
      <c r="F40" s="38" t="s">
        <v>168</v>
      </c>
      <c r="H40" s="46">
        <f>W17+Z17</f>
        <v>125042.80999999995</v>
      </c>
      <c r="I40" s="38" t="s">
        <v>173</v>
      </c>
      <c r="J40" s="46">
        <f>SUM(H18:H28)-H22-H26</f>
        <v>194830</v>
      </c>
      <c r="K40" s="39">
        <f>J40/(H40+J40)</f>
        <v>0.60908584258849641</v>
      </c>
    </row>
    <row r="41" spans="6:11">
      <c r="F41" s="38" t="s">
        <v>116</v>
      </c>
      <c r="H41" s="39">
        <f>H40/H39</f>
        <v>0.40039324367595247</v>
      </c>
    </row>
    <row r="42" spans="6:11">
      <c r="F42" s="38" t="s">
        <v>132</v>
      </c>
      <c r="H42" s="46">
        <f>壳项目进度及投入!I7</f>
        <v>74898.899146000011</v>
      </c>
    </row>
    <row r="43" spans="6:11">
      <c r="F43" s="38" t="s">
        <v>134</v>
      </c>
      <c r="H43" s="46">
        <f>H41*H42</f>
        <v>29989.01317682497</v>
      </c>
    </row>
  </sheetData>
  <mergeCells count="19">
    <mergeCell ref="E1:E2"/>
    <mergeCell ref="F1:F2"/>
    <mergeCell ref="M1:O1"/>
    <mergeCell ref="P1:R1"/>
    <mergeCell ref="S1:U1"/>
    <mergeCell ref="A3:A30"/>
    <mergeCell ref="B3:B16"/>
    <mergeCell ref="B18:B30"/>
    <mergeCell ref="E30:G30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7" sqref="E7"/>
    </sheetView>
  </sheetViews>
  <sheetFormatPr defaultRowHeight="13.5"/>
  <cols>
    <col min="1" max="1" width="12.75" bestFit="1" customWidth="1"/>
    <col min="2" max="2" width="5.25" bestFit="1" customWidth="1"/>
    <col min="3" max="5" width="15.25" customWidth="1"/>
    <col min="6" max="7" width="16.5" customWidth="1"/>
    <col min="8" max="8" width="25.75" customWidth="1"/>
    <col min="9" max="11" width="16.5" customWidth="1"/>
  </cols>
  <sheetData>
    <row r="1" spans="1:11" ht="15.75">
      <c r="A1" s="149" t="s">
        <v>84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150" t="s">
        <v>85</v>
      </c>
      <c r="B2" s="150" t="s">
        <v>86</v>
      </c>
      <c r="C2" s="150" t="s">
        <v>87</v>
      </c>
      <c r="D2" s="150"/>
      <c r="E2" s="150"/>
      <c r="F2" s="150" t="s">
        <v>88</v>
      </c>
      <c r="G2" s="151" t="s">
        <v>89</v>
      </c>
      <c r="H2" s="150" t="s">
        <v>90</v>
      </c>
      <c r="I2" s="150"/>
      <c r="J2" s="150"/>
      <c r="K2" s="150" t="s">
        <v>91</v>
      </c>
    </row>
    <row r="3" spans="1:11">
      <c r="A3" s="150"/>
      <c r="B3" s="150"/>
      <c r="C3" s="41" t="s">
        <v>92</v>
      </c>
      <c r="D3" s="41" t="s">
        <v>93</v>
      </c>
      <c r="E3" s="41" t="s">
        <v>94</v>
      </c>
      <c r="F3" s="150"/>
      <c r="G3" s="150"/>
      <c r="H3" s="41" t="s">
        <v>115</v>
      </c>
      <c r="I3" s="41" t="s">
        <v>95</v>
      </c>
      <c r="J3" s="41" t="s">
        <v>96</v>
      </c>
      <c r="K3" s="150"/>
    </row>
    <row r="4" spans="1:11">
      <c r="A4" s="41" t="s">
        <v>97</v>
      </c>
      <c r="B4" s="41" t="s">
        <v>98</v>
      </c>
      <c r="C4" s="42">
        <v>285858</v>
      </c>
      <c r="D4" s="42">
        <v>79558</v>
      </c>
      <c r="E4" s="42">
        <v>365416</v>
      </c>
      <c r="F4" s="41" t="s">
        <v>99</v>
      </c>
      <c r="G4" s="42">
        <v>209421.42</v>
      </c>
      <c r="H4" s="42">
        <f>36350*1.0405</f>
        <v>37822.175000000003</v>
      </c>
      <c r="I4" s="43">
        <f>169842.124837-H4</f>
        <v>132019.94983699999</v>
      </c>
      <c r="J4" s="43">
        <f>I4+H4</f>
        <v>169842.12483699998</v>
      </c>
      <c r="K4" s="44">
        <v>1</v>
      </c>
    </row>
    <row r="5" spans="1:11">
      <c r="A5" s="41" t="s">
        <v>100</v>
      </c>
      <c r="B5" s="41" t="s">
        <v>98</v>
      </c>
      <c r="C5" s="42">
        <v>508219</v>
      </c>
      <c r="D5" s="42">
        <v>146177</v>
      </c>
      <c r="E5" s="42">
        <f>C5+D5</f>
        <v>654396</v>
      </c>
      <c r="F5" s="41" t="s">
        <v>101</v>
      </c>
      <c r="G5" s="145">
        <v>1126406.07</v>
      </c>
      <c r="H5" s="42">
        <f>71280*1.0405</f>
        <v>74166.84</v>
      </c>
      <c r="I5" s="43">
        <f>203645.906023-H5</f>
        <v>129479.06602299999</v>
      </c>
      <c r="J5" s="43">
        <f t="shared" ref="J5:J11" si="0">I5+H5</f>
        <v>203645.90602299999</v>
      </c>
      <c r="K5" s="44">
        <v>0.9</v>
      </c>
    </row>
    <row r="6" spans="1:11">
      <c r="A6" s="45" t="s">
        <v>102</v>
      </c>
      <c r="B6" s="41" t="s">
        <v>103</v>
      </c>
      <c r="C6" s="42">
        <v>750000</v>
      </c>
      <c r="D6" s="42">
        <v>254650</v>
      </c>
      <c r="E6" s="42">
        <f>C6+D6</f>
        <v>1004650</v>
      </c>
      <c r="F6" s="41" t="s">
        <v>104</v>
      </c>
      <c r="G6" s="145"/>
      <c r="H6" s="42">
        <f>80060*1.0405</f>
        <v>83302.429999999993</v>
      </c>
      <c r="I6" s="43">
        <f>89274.064664-H6</f>
        <v>5971.634664000012</v>
      </c>
      <c r="J6" s="43">
        <f t="shared" si="0"/>
        <v>89274.064664000005</v>
      </c>
      <c r="K6" s="44">
        <v>0</v>
      </c>
    </row>
    <row r="7" spans="1:11" s="56" customFormat="1">
      <c r="A7" s="52" t="s">
        <v>105</v>
      </c>
      <c r="B7" s="52" t="s">
        <v>98</v>
      </c>
      <c r="C7" s="53">
        <v>422630</v>
      </c>
      <c r="D7" s="53">
        <v>135009</v>
      </c>
      <c r="E7" s="53">
        <f>C7+D7</f>
        <v>557639</v>
      </c>
      <c r="F7" s="52" t="s">
        <v>106</v>
      </c>
      <c r="G7" s="53">
        <v>418277</v>
      </c>
      <c r="H7" s="53">
        <f>109980*1.0405+81.9</f>
        <v>114516.09</v>
      </c>
      <c r="I7" s="54">
        <f>189414.989146-H7</f>
        <v>74898.899146000011</v>
      </c>
      <c r="J7" s="54">
        <f t="shared" si="0"/>
        <v>189414.98914600001</v>
      </c>
      <c r="K7" s="55">
        <v>0.35</v>
      </c>
    </row>
    <row r="8" spans="1:11">
      <c r="A8" s="41" t="s">
        <v>107</v>
      </c>
      <c r="B8" s="41" t="s">
        <v>98</v>
      </c>
      <c r="C8" s="42">
        <v>108590</v>
      </c>
      <c r="D8" s="42">
        <v>42646</v>
      </c>
      <c r="E8" s="42">
        <f t="shared" ref="E8:E11" si="1">C8+D8</f>
        <v>151236</v>
      </c>
      <c r="F8" s="41" t="s">
        <v>101</v>
      </c>
      <c r="G8" s="145">
        <v>321971.69</v>
      </c>
      <c r="H8" s="42">
        <f>26510*1.0405</f>
        <v>27583.654999999999</v>
      </c>
      <c r="I8" s="43">
        <v>7072.1728970000004</v>
      </c>
      <c r="J8" s="43">
        <f t="shared" si="0"/>
        <v>34655.827896999996</v>
      </c>
      <c r="K8" s="146">
        <v>0.65</v>
      </c>
    </row>
    <row r="9" spans="1:11">
      <c r="A9" s="41" t="s">
        <v>108</v>
      </c>
      <c r="B9" s="41" t="s">
        <v>98</v>
      </c>
      <c r="C9" s="42">
        <v>113423</v>
      </c>
      <c r="D9" s="42">
        <v>41291</v>
      </c>
      <c r="E9" s="42">
        <f t="shared" si="1"/>
        <v>154714</v>
      </c>
      <c r="F9" s="41" t="s">
        <v>101</v>
      </c>
      <c r="G9" s="145"/>
      <c r="H9" s="42">
        <f>28960*1.0405</f>
        <v>30132.880000000001</v>
      </c>
      <c r="I9" s="43">
        <v>8042.2021379999996</v>
      </c>
      <c r="J9" s="43">
        <f t="shared" si="0"/>
        <v>38175.082137999998</v>
      </c>
      <c r="K9" s="147"/>
    </row>
    <row r="10" spans="1:11">
      <c r="A10" s="41" t="s">
        <v>109</v>
      </c>
      <c r="B10" s="41" t="s">
        <v>98</v>
      </c>
      <c r="C10" s="42">
        <v>67813</v>
      </c>
      <c r="D10" s="42"/>
      <c r="E10" s="42">
        <f t="shared" si="1"/>
        <v>67813</v>
      </c>
      <c r="F10" s="41" t="s">
        <v>110</v>
      </c>
      <c r="G10" s="145"/>
      <c r="H10" s="42">
        <f>18170*1.0405</f>
        <v>18905.884999999998</v>
      </c>
      <c r="I10" s="43"/>
      <c r="J10" s="43">
        <f t="shared" si="0"/>
        <v>18905.884999999998</v>
      </c>
      <c r="K10" s="147"/>
    </row>
    <row r="11" spans="1:11">
      <c r="A11" s="41" t="s">
        <v>111</v>
      </c>
      <c r="B11" s="41" t="s">
        <v>112</v>
      </c>
      <c r="C11" s="42">
        <v>15234</v>
      </c>
      <c r="D11" s="42"/>
      <c r="E11" s="42">
        <f t="shared" si="1"/>
        <v>15234</v>
      </c>
      <c r="F11" s="41" t="s">
        <v>113</v>
      </c>
      <c r="G11" s="145"/>
      <c r="H11" s="42">
        <f>3350*1.0405</f>
        <v>3485.6749999999997</v>
      </c>
      <c r="I11" s="43">
        <v>219.00051199999999</v>
      </c>
      <c r="J11" s="43">
        <f t="shared" si="0"/>
        <v>3704.6755119999998</v>
      </c>
      <c r="K11" s="148"/>
    </row>
    <row r="13" spans="1:11">
      <c r="H13" s="47">
        <f>H7*壳项目指标!H33</f>
        <v>40010.059939674233</v>
      </c>
      <c r="I13" s="47">
        <f>I7*壳项目指标!H33</f>
        <v>26168.457587462824</v>
      </c>
    </row>
  </sheetData>
  <mergeCells count="11">
    <mergeCell ref="G5:G6"/>
    <mergeCell ref="G8:G11"/>
    <mergeCell ref="K8:K11"/>
    <mergeCell ref="A1:K1"/>
    <mergeCell ref="A2:A3"/>
    <mergeCell ref="B2:B3"/>
    <mergeCell ref="C2:E2"/>
    <mergeCell ref="F2:F3"/>
    <mergeCell ref="G2:G3"/>
    <mergeCell ref="H2:J2"/>
    <mergeCell ref="K2:K3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抵押地块土地成本重计算</vt:lpstr>
      <vt:lpstr>用款项目缺口测算</vt:lpstr>
      <vt:lpstr>壳项目指标</vt:lpstr>
      <vt:lpstr>壳项目进度及投入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王小璇</dc:creator>
  <cp:lastModifiedBy>Windows User</cp:lastModifiedBy>
  <dcterms:created xsi:type="dcterms:W3CDTF">2021-04-21T12:32:31Z</dcterms:created>
  <dcterms:modified xsi:type="dcterms:W3CDTF">2021-04-23T09:47:31Z</dcterms:modified>
</cp:coreProperties>
</file>