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审核\崔丽新\"/>
    </mc:Choice>
  </mc:AlternateContent>
  <xr:revisionPtr revIDLastSave="0" documentId="13_ncr:1_{D92C9368-ED0E-4304-8C04-350DDF1B895A}" xr6:coauthVersionLast="47" xr6:coauthVersionMax="47" xr10:uidLastSave="{00000000-0000-0000-0000-000000000000}"/>
  <bookViews>
    <workbookView xWindow="225" yWindow="75" windowWidth="11880" windowHeight="12690" tabRatio="875" firstSheet="27" activeTab="2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6" r:id="rId20"/>
    <sheet name="剩余法-待开发" sheetId="12" r:id="rId21"/>
    <sheet name="剩余法-现房" sheetId="43" state="hidden" r:id="rId22"/>
    <sheet name="比较法-工业" sheetId="40" state="hidden" r:id="rId23"/>
    <sheet name="不动产比较法-住宅" sheetId="21" r:id="rId24"/>
    <sheet name="案例" sheetId="78" r:id="rId25"/>
    <sheet name="不动产收益法-酒店模型" sheetId="68" r:id="rId26"/>
    <sheet name="不动产收益法-商业" sheetId="77" r:id="rId27"/>
    <sheet name="不动产比较法-车位" sheetId="35" r:id="rId28"/>
    <sheet name="不动产收益法-机械车位" sheetId="79" r:id="rId29"/>
    <sheet name="基准地价（汇总）" sheetId="67" r:id="rId30"/>
    <sheet name="基准地价" sheetId="46" r:id="rId31"/>
    <sheet name="修正" sheetId="49" state="hidden" r:id="rId32"/>
    <sheet name="区片价" sheetId="48" state="hidden" r:id="rId33"/>
    <sheet name="区片价-范围" sheetId="71" state="hidden" r:id="rId34"/>
    <sheet name="容积率修正" sheetId="45" state="hidden" r:id="rId35"/>
    <sheet name="因素修正幅度" sheetId="56" state="hidden" r:id="rId36"/>
    <sheet name="地价" sheetId="59" state="hidden" r:id="rId37"/>
    <sheet name="地价-分区" sheetId="70" state="hidden" r:id="rId38"/>
    <sheet name="收益还原法" sheetId="44" state="hidden" r:id="rId39"/>
    <sheet name="基准地价 (2)" sheetId="74" r:id="rId40"/>
    <sheet name="基准地价 (3)" sheetId="75" r:id="rId41"/>
    <sheet name="成本逼近法" sheetId="11" state="hidden" r:id="rId42"/>
    <sheet name="不动产比较法-商业" sheetId="33" state="hidden" r:id="rId43"/>
    <sheet name="不动产比较法-办公" sheetId="34" state="hidden" r:id="rId44"/>
    <sheet name="不动产比较法-工业" sheetId="37" state="hidden" r:id="rId45"/>
    <sheet name="不动产比较法-仓储" sheetId="36" state="hidden" r:id="rId46"/>
    <sheet name="典型户型修正" sheetId="31" state="hidden" r:id="rId47"/>
    <sheet name="存贷款利率" sheetId="65" state="hidden" r:id="rId48"/>
    <sheet name="不动产收益法" sheetId="15" r:id="rId49"/>
    <sheet name="信息" sheetId="72" r:id="rId50"/>
  </sheets>
  <externalReferences>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43" hidden="1">'不动产比较法-办公'!$A$1:$L$50</definedName>
    <definedName name="_xlnm._FilterDatabase" localSheetId="45" hidden="1">'不动产比较法-仓储'!$A$1:$L$37</definedName>
    <definedName name="_xlnm._FilterDatabase" localSheetId="27"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3">'不动产比较法-办公'!$A$1:$K$55,'不动产比较法-办公'!$A$58:$M$132</definedName>
    <definedName name="_xlnm.Print_Area" localSheetId="45">'不动产比较法-仓储'!$A$1:$K$42,'不动产比较法-仓储'!$A$45:$M$96</definedName>
    <definedName name="_xlnm.Print_Area" localSheetId="27">'不动产比较法-车位'!$A$1:$K$44,'不动产比较法-车位'!$A$47:$M$102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23">'不动产比较法-住宅'!$A$1:$K$54,'不动产比较法-住宅'!$A$57:$M$131</definedName>
    <definedName name="_xlnm.Print_Area" localSheetId="48">不动产收益法!$A$1:$F$43,不动产收益法!$H$3:$M$29,不动产收益法!$A$46:$F$70,不动产收益法!$I$46:$M$60</definedName>
    <definedName name="_xlnm.Print_Area" localSheetId="28">'不动产收益法-机械车位'!$A$1:$F$43,'不动产收益法-机械车位'!$H$3:$M$29,'不动产收益法-机械车位'!$A$46:$F$70,'不动产收益法-机械车位'!$I$46:$M$60</definedName>
    <definedName name="_xlnm.Print_Area" localSheetId="26">'不动产收益法-商业'!$A$1:$F$43,'不动产收益法-商业'!$H$3:$M$29,'不动产收益法-商业'!$A$46:$F$70,'不动产收益法-商业'!$I$46:$M$60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30">基准地价!$A$1:$J$44,基准地价!$A$47:$N$103,基准地价!$R$1:$V$16</definedName>
    <definedName name="_xlnm.Print_Area" localSheetId="39">'基准地价 (2)'!$A$1:$J$44,'基准地价 (2)'!$A$47:$N$103,'基准地价 (2)'!$R$1:$V$16</definedName>
    <definedName name="_xlnm.Print_Area" localSheetId="40">'基准地价 (3)'!$A$1:$J$44,'基准地价 (3)'!$A$47:$N$103,'基准地价 (3)'!$R$1:$V$16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8">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 (2)'!$N$19:$AB$19</definedName>
    <definedName name="季度" localSheetId="40">'基准地价 (3)'!$N$19:$AB$19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2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I5" i="21" l="1"/>
  <c r="E38" i="9"/>
  <c r="C38" i="9"/>
  <c r="B38" i="9"/>
  <c r="U10" i="1"/>
  <c r="I47" i="21" l="1"/>
  <c r="G47" i="21"/>
  <c r="E47" i="21"/>
  <c r="AK20" i="1" l="1"/>
  <c r="AH10" i="1" s="1"/>
  <c r="B21" i="73"/>
  <c r="B30" i="73"/>
  <c r="B10" i="73"/>
  <c r="B3" i="73"/>
  <c r="V21" i="1"/>
  <c r="I15" i="39"/>
  <c r="G15" i="39"/>
  <c r="E15" i="39"/>
  <c r="C15" i="39"/>
  <c r="C37" i="9"/>
  <c r="E37" i="9" s="1"/>
  <c r="E39" i="9" s="1"/>
  <c r="G35" i="9" s="1"/>
  <c r="I37" i="35"/>
  <c r="G37" i="35"/>
  <c r="E37" i="35"/>
  <c r="I5" i="35"/>
  <c r="G5" i="35"/>
  <c r="E5" i="35"/>
  <c r="Q73" i="79"/>
  <c r="Q60" i="79"/>
  <c r="D60" i="79"/>
  <c r="Q59" i="79"/>
  <c r="K59" i="79"/>
  <c r="P75" i="79" s="1"/>
  <c r="F58" i="79"/>
  <c r="Q52" i="79"/>
  <c r="J50" i="79"/>
  <c r="J51" i="79" s="1"/>
  <c r="M47" i="79"/>
  <c r="F33" i="79"/>
  <c r="F60" i="79" s="1"/>
  <c r="F31" i="79"/>
  <c r="F23" i="79"/>
  <c r="D24" i="79" s="1"/>
  <c r="D23" i="79"/>
  <c r="F21" i="79"/>
  <c r="F20" i="79"/>
  <c r="M19" i="79"/>
  <c r="F18" i="79"/>
  <c r="M17" i="79"/>
  <c r="F15" i="79"/>
  <c r="AM10" i="1"/>
  <c r="AL10" i="1"/>
  <c r="AK10" i="1"/>
  <c r="Y9" i="1"/>
  <c r="Y10" i="1" s="1"/>
  <c r="W9" i="1"/>
  <c r="W10" i="1" s="1"/>
  <c r="V9" i="1"/>
  <c r="V10" i="1" s="1"/>
  <c r="I10" i="1"/>
  <c r="H10" i="1"/>
  <c r="AF21" i="1"/>
  <c r="AH19" i="1"/>
  <c r="L8" i="1"/>
  <c r="D104" i="21"/>
  <c r="E104" i="21" s="1"/>
  <c r="G5" i="21"/>
  <c r="E5" i="21"/>
  <c r="D14" i="9"/>
  <c r="Q73" i="77"/>
  <c r="Q60" i="77"/>
  <c r="D60" i="77"/>
  <c r="Q59" i="77"/>
  <c r="K59" i="77"/>
  <c r="P75" i="77" s="1"/>
  <c r="F58" i="77"/>
  <c r="Q52" i="77"/>
  <c r="J50" i="77"/>
  <c r="J51" i="77" s="1"/>
  <c r="M47" i="77"/>
  <c r="F33" i="77"/>
  <c r="F60" i="77" s="1"/>
  <c r="F31" i="77"/>
  <c r="F23" i="77"/>
  <c r="D24" i="77" s="1"/>
  <c r="F21" i="77"/>
  <c r="F20" i="77"/>
  <c r="M19" i="77"/>
  <c r="F18" i="77"/>
  <c r="M17" i="77"/>
  <c r="F15" i="77"/>
  <c r="K60" i="68"/>
  <c r="K61" i="68" s="1"/>
  <c r="K62" i="68" s="1"/>
  <c r="K63" i="68" s="1"/>
  <c r="K64" i="68" s="1"/>
  <c r="C34" i="68"/>
  <c r="E34" i="68" s="1"/>
  <c r="AM20" i="1" l="1"/>
  <c r="D23" i="77"/>
  <c r="D22" i="77"/>
  <c r="D22" i="79"/>
  <c r="P62" i="79"/>
  <c r="L46" i="79"/>
  <c r="D34" i="68"/>
  <c r="P62" i="77"/>
  <c r="I48" i="39" l="1"/>
  <c r="G48" i="39"/>
  <c r="I40" i="39"/>
  <c r="G40" i="39"/>
  <c r="E40" i="39"/>
  <c r="G126" i="39"/>
  <c r="F126" i="39"/>
  <c r="E126" i="39"/>
  <c r="D126" i="39"/>
  <c r="C126" i="39"/>
  <c r="G124" i="39"/>
  <c r="F124" i="39"/>
  <c r="E124" i="39"/>
  <c r="D124" i="39"/>
  <c r="C124" i="39"/>
  <c r="E119" i="39"/>
  <c r="F119" i="39" s="1"/>
  <c r="G119" i="39" s="1"/>
  <c r="D119" i="39"/>
  <c r="I13" i="39"/>
  <c r="G13" i="39"/>
  <c r="E13" i="39"/>
  <c r="C13" i="39"/>
  <c r="I9" i="39"/>
  <c r="G9" i="39"/>
  <c r="E9" i="39"/>
  <c r="I7" i="39"/>
  <c r="G7" i="39"/>
  <c r="E7" i="39"/>
  <c r="C7" i="39"/>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s="1"/>
  <c r="D101" i="75"/>
  <c r="M100" i="75"/>
  <c r="N100" i="75" s="1"/>
  <c r="K100" i="75"/>
  <c r="J100" i="75" s="1"/>
  <c r="D100" i="75"/>
  <c r="M99" i="75"/>
  <c r="N99" i="75" s="1"/>
  <c r="K99" i="75"/>
  <c r="J99" i="75" s="1"/>
  <c r="D99" i="75"/>
  <c r="M98" i="75"/>
  <c r="N98" i="75" s="1"/>
  <c r="K98" i="75"/>
  <c r="J98" i="75" s="1"/>
  <c r="D98" i="75"/>
  <c r="M97" i="75"/>
  <c r="N97" i="75" s="1"/>
  <c r="K97" i="75"/>
  <c r="J97" i="75" s="1"/>
  <c r="D97" i="75"/>
  <c r="B97" i="75"/>
  <c r="N96" i="75"/>
  <c r="M96" i="75"/>
  <c r="K96" i="75"/>
  <c r="J96" i="75" s="1"/>
  <c r="D96" i="75"/>
  <c r="M95" i="75"/>
  <c r="N95" i="75" s="1"/>
  <c r="K95" i="75"/>
  <c r="J95" i="75" s="1"/>
  <c r="D95" i="75"/>
  <c r="B95" i="75"/>
  <c r="M94" i="75"/>
  <c r="N94" i="75" s="1"/>
  <c r="K94" i="75"/>
  <c r="J94" i="75" s="1"/>
  <c r="D94" i="75"/>
  <c r="M93" i="75"/>
  <c r="N93" i="75" s="1"/>
  <c r="K93" i="75"/>
  <c r="J93" i="75" s="1"/>
  <c r="F93" i="75"/>
  <c r="H101" i="75" s="1"/>
  <c r="D93" i="75"/>
  <c r="M90" i="75"/>
  <c r="N90" i="75" s="1"/>
  <c r="K90" i="75"/>
  <c r="J90" i="75" s="1"/>
  <c r="D90" i="75"/>
  <c r="M89" i="75"/>
  <c r="N89" i="75" s="1"/>
  <c r="K89" i="75"/>
  <c r="J89" i="75" s="1"/>
  <c r="D89" i="75"/>
  <c r="N88" i="75"/>
  <c r="M88" i="75"/>
  <c r="K88" i="75"/>
  <c r="J88" i="75" s="1"/>
  <c r="D88" i="75"/>
  <c r="M87" i="75"/>
  <c r="N87" i="75" s="1"/>
  <c r="K87" i="75"/>
  <c r="J87" i="75" s="1"/>
  <c r="D87" i="75"/>
  <c r="N86" i="75"/>
  <c r="M86" i="75"/>
  <c r="K86" i="75"/>
  <c r="J86" i="75" s="1"/>
  <c r="D86" i="75"/>
  <c r="B86" i="75"/>
  <c r="M85" i="75"/>
  <c r="N85" i="75" s="1"/>
  <c r="K85" i="75"/>
  <c r="J85" i="75" s="1"/>
  <c r="D85" i="75"/>
  <c r="B85" i="75"/>
  <c r="N84" i="75"/>
  <c r="M84" i="75"/>
  <c r="K84" i="75"/>
  <c r="J84" i="75" s="1"/>
  <c r="D84" i="75"/>
  <c r="M83" i="75"/>
  <c r="N83" i="75" s="1"/>
  <c r="K83" i="75"/>
  <c r="J83" i="75" s="1"/>
  <c r="F83" i="75"/>
  <c r="H88" i="75" s="1"/>
  <c r="D83" i="75"/>
  <c r="M80" i="75"/>
  <c r="N80" i="75" s="1"/>
  <c r="K80" i="75"/>
  <c r="J80" i="75" s="1"/>
  <c r="M79" i="75"/>
  <c r="N79" i="75" s="1"/>
  <c r="K79" i="75"/>
  <c r="J79" i="75" s="1"/>
  <c r="D79" i="75"/>
  <c r="M78" i="75"/>
  <c r="N78" i="75" s="1"/>
  <c r="K78" i="75"/>
  <c r="J78" i="75" s="1"/>
  <c r="N77" i="75"/>
  <c r="M77" i="75"/>
  <c r="K77" i="75"/>
  <c r="J77" i="75" s="1"/>
  <c r="D77" i="75" s="1"/>
  <c r="M76" i="75"/>
  <c r="N76" i="75" s="1"/>
  <c r="K76" i="75"/>
  <c r="J76" i="75" s="1"/>
  <c r="D76" i="75"/>
  <c r="N75" i="75"/>
  <c r="M75" i="75"/>
  <c r="K75" i="75"/>
  <c r="J75" i="75" s="1"/>
  <c r="D75" i="75"/>
  <c r="M74" i="75"/>
  <c r="N74" i="75" s="1"/>
  <c r="K74" i="75"/>
  <c r="J74" i="75" s="1"/>
  <c r="B74" i="75"/>
  <c r="M73" i="75"/>
  <c r="N73" i="75" s="1"/>
  <c r="K73" i="75"/>
  <c r="J73" i="75" s="1"/>
  <c r="D73" i="75"/>
  <c r="M72" i="75"/>
  <c r="N72" i="75" s="1"/>
  <c r="K72" i="75"/>
  <c r="J72" i="75" s="1"/>
  <c r="F72" i="75"/>
  <c r="H77" i="75" s="1"/>
  <c r="D72" i="75"/>
  <c r="M69" i="75"/>
  <c r="N69" i="75" s="1"/>
  <c r="K69" i="75"/>
  <c r="J69" i="75" s="1"/>
  <c r="D69" i="75"/>
  <c r="M68" i="75"/>
  <c r="N68" i="75" s="1"/>
  <c r="K68" i="75"/>
  <c r="J68" i="75" s="1"/>
  <c r="D68" i="75"/>
  <c r="M67" i="75"/>
  <c r="N67" i="75" s="1"/>
  <c r="K67" i="75"/>
  <c r="J67" i="75" s="1"/>
  <c r="D67" i="75"/>
  <c r="M66" i="75"/>
  <c r="N66" i="75" s="1"/>
  <c r="K66" i="75"/>
  <c r="J66" i="75" s="1"/>
  <c r="D66" i="75"/>
  <c r="M65" i="75"/>
  <c r="N65" i="75" s="1"/>
  <c r="K65" i="75"/>
  <c r="J65" i="75" s="1"/>
  <c r="D65" i="75"/>
  <c r="M64" i="75"/>
  <c r="N64" i="75" s="1"/>
  <c r="K64" i="75"/>
  <c r="J64" i="75" s="1"/>
  <c r="D64" i="75"/>
  <c r="M63" i="75"/>
  <c r="N63" i="75" s="1"/>
  <c r="K63" i="75"/>
  <c r="J63" i="75"/>
  <c r="D63" i="75"/>
  <c r="B63" i="75"/>
  <c r="M62" i="75"/>
  <c r="N62" i="75" s="1"/>
  <c r="K62" i="75"/>
  <c r="J62" i="75" s="1"/>
  <c r="D62" i="75"/>
  <c r="M61" i="75"/>
  <c r="N61" i="75" s="1"/>
  <c r="K61" i="75"/>
  <c r="J61" i="75"/>
  <c r="D61" i="75"/>
  <c r="M58" i="75"/>
  <c r="N58" i="75" s="1"/>
  <c r="K58" i="75"/>
  <c r="J58" i="75"/>
  <c r="D58" i="75"/>
  <c r="M57" i="75"/>
  <c r="N57" i="75" s="1"/>
  <c r="K57" i="75"/>
  <c r="J57" i="75" s="1"/>
  <c r="D57" i="75" s="1"/>
  <c r="M56" i="75"/>
  <c r="N56" i="75" s="1"/>
  <c r="K56" i="75"/>
  <c r="J56" i="75" s="1"/>
  <c r="D56" i="75"/>
  <c r="M55" i="75"/>
  <c r="N55" i="75" s="1"/>
  <c r="K55" i="75"/>
  <c r="D55" i="75" s="1"/>
  <c r="J55" i="75"/>
  <c r="M54" i="75"/>
  <c r="N54" i="75" s="1"/>
  <c r="K54" i="75"/>
  <c r="J54" i="75" s="1"/>
  <c r="D54" i="75"/>
  <c r="M53" i="75"/>
  <c r="N53" i="75" s="1"/>
  <c r="K53" i="75"/>
  <c r="J53" i="75" s="1"/>
  <c r="N52" i="75"/>
  <c r="M52" i="75"/>
  <c r="K52" i="75"/>
  <c r="J52" i="75"/>
  <c r="D52" i="75"/>
  <c r="B52" i="75"/>
  <c r="M51" i="75"/>
  <c r="N51" i="75" s="1"/>
  <c r="K51" i="75"/>
  <c r="J51" i="75" s="1"/>
  <c r="D51" i="75"/>
  <c r="M50" i="75"/>
  <c r="N50" i="75" s="1"/>
  <c r="K50" i="75"/>
  <c r="J50" i="75" s="1"/>
  <c r="H42" i="75"/>
  <c r="H41" i="75"/>
  <c r="H40" i="75"/>
  <c r="H39" i="75"/>
  <c r="H38" i="75"/>
  <c r="H37" i="75"/>
  <c r="J24" i="75"/>
  <c r="G24" i="75"/>
  <c r="E44" i="75" s="1"/>
  <c r="E24" i="75"/>
  <c r="O32" i="75" s="1"/>
  <c r="I23" i="75"/>
  <c r="C22" i="75"/>
  <c r="G17" i="75"/>
  <c r="C17" i="75"/>
  <c r="C13" i="75"/>
  <c r="Y10" i="75"/>
  <c r="C10" i="75"/>
  <c r="C11" i="75" s="1"/>
  <c r="AJ9" i="75"/>
  <c r="AJ10" i="75" s="1"/>
  <c r="AI9" i="75"/>
  <c r="AI10" i="75" s="1"/>
  <c r="AH9" i="75"/>
  <c r="AH10" i="75" s="1"/>
  <c r="AG9" i="75"/>
  <c r="AG10" i="75" s="1"/>
  <c r="AF9" i="75"/>
  <c r="AF10" i="75" s="1"/>
  <c r="AE9" i="75"/>
  <c r="AE10" i="75" s="1"/>
  <c r="AD9" i="75"/>
  <c r="AD10" i="75" s="1"/>
  <c r="AC9" i="75"/>
  <c r="AC10" i="75" s="1"/>
  <c r="AB9" i="75"/>
  <c r="AB10" i="75" s="1"/>
  <c r="AA9" i="75"/>
  <c r="AA10" i="75" s="1"/>
  <c r="Z9" i="75"/>
  <c r="Z10" i="75" s="1"/>
  <c r="C9" i="75"/>
  <c r="C7" i="75"/>
  <c r="G3" i="75"/>
  <c r="G26" i="75" s="1"/>
  <c r="I2" i="75"/>
  <c r="N12" i="75" s="1"/>
  <c r="G2" i="75"/>
  <c r="F39" i="75" s="1"/>
  <c r="F117" i="74"/>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s="1"/>
  <c r="D101" i="74"/>
  <c r="M100" i="74"/>
  <c r="N100" i="74" s="1"/>
  <c r="K100" i="74"/>
  <c r="J100" i="74" s="1"/>
  <c r="D100" i="74"/>
  <c r="M99" i="74"/>
  <c r="N99" i="74" s="1"/>
  <c r="K99" i="74"/>
  <c r="J99" i="74" s="1"/>
  <c r="D99" i="74"/>
  <c r="M98" i="74"/>
  <c r="N98" i="74" s="1"/>
  <c r="K98" i="74"/>
  <c r="J98" i="74" s="1"/>
  <c r="D98" i="74"/>
  <c r="M97" i="74"/>
  <c r="N97" i="74" s="1"/>
  <c r="K97" i="74"/>
  <c r="J97" i="74" s="1"/>
  <c r="D97" i="74"/>
  <c r="B97" i="74"/>
  <c r="M96" i="74"/>
  <c r="N96" i="74" s="1"/>
  <c r="K96" i="74"/>
  <c r="J96" i="74" s="1"/>
  <c r="D96" i="74"/>
  <c r="M95" i="74"/>
  <c r="N95" i="74" s="1"/>
  <c r="K95" i="74"/>
  <c r="J95" i="74" s="1"/>
  <c r="D95" i="74"/>
  <c r="B95" i="74"/>
  <c r="M94" i="74"/>
  <c r="N94" i="74" s="1"/>
  <c r="K94" i="74"/>
  <c r="J94" i="74" s="1"/>
  <c r="D94" i="74"/>
  <c r="M93" i="74"/>
  <c r="N93" i="74" s="1"/>
  <c r="K93" i="74"/>
  <c r="J93" i="74" s="1"/>
  <c r="F93" i="74"/>
  <c r="H101" i="74" s="1"/>
  <c r="D93" i="74"/>
  <c r="M90" i="74"/>
  <c r="N90" i="74" s="1"/>
  <c r="K90" i="74"/>
  <c r="J90" i="74" s="1"/>
  <c r="D90" i="74"/>
  <c r="N89" i="74"/>
  <c r="M89" i="74"/>
  <c r="K89" i="74"/>
  <c r="J89" i="74" s="1"/>
  <c r="D89" i="74"/>
  <c r="N88" i="74"/>
  <c r="M88" i="74"/>
  <c r="K88" i="74"/>
  <c r="J88" i="74" s="1"/>
  <c r="D88" i="74"/>
  <c r="M87" i="74"/>
  <c r="N87" i="74" s="1"/>
  <c r="K87" i="74"/>
  <c r="J87" i="74"/>
  <c r="D87" i="74"/>
  <c r="M86" i="74"/>
  <c r="N86" i="74" s="1"/>
  <c r="K86" i="74"/>
  <c r="J86" i="74" s="1"/>
  <c r="D86" i="74"/>
  <c r="B86" i="74"/>
  <c r="M85" i="74"/>
  <c r="N85" i="74" s="1"/>
  <c r="K85" i="74"/>
  <c r="J85" i="74" s="1"/>
  <c r="D85" i="74"/>
  <c r="B85" i="74"/>
  <c r="N84" i="74"/>
  <c r="M84" i="74"/>
  <c r="K84" i="74"/>
  <c r="J84" i="74" s="1"/>
  <c r="D84" i="74"/>
  <c r="M83" i="74"/>
  <c r="N83" i="74" s="1"/>
  <c r="K83" i="74"/>
  <c r="J83" i="74"/>
  <c r="F83" i="74"/>
  <c r="H88" i="74" s="1"/>
  <c r="D83" i="74"/>
  <c r="M80" i="74"/>
  <c r="N80" i="74" s="1"/>
  <c r="K80" i="74"/>
  <c r="J80" i="74" s="1"/>
  <c r="M79" i="74"/>
  <c r="N79" i="74" s="1"/>
  <c r="K79" i="74"/>
  <c r="J79" i="74" s="1"/>
  <c r="D79" i="74"/>
  <c r="M78" i="74"/>
  <c r="N78" i="74" s="1"/>
  <c r="K78" i="74"/>
  <c r="J78" i="74" s="1"/>
  <c r="M77" i="74"/>
  <c r="N77" i="74" s="1"/>
  <c r="K77" i="74"/>
  <c r="J77" i="74" s="1"/>
  <c r="D77" i="74" s="1"/>
  <c r="M76" i="74"/>
  <c r="N76" i="74" s="1"/>
  <c r="K76" i="74"/>
  <c r="J76" i="74"/>
  <c r="D76" i="74"/>
  <c r="M75" i="74"/>
  <c r="N75" i="74" s="1"/>
  <c r="K75" i="74"/>
  <c r="J75" i="74" s="1"/>
  <c r="D75" i="74"/>
  <c r="M74" i="74"/>
  <c r="N74" i="74" s="1"/>
  <c r="K74" i="74"/>
  <c r="J74" i="74" s="1"/>
  <c r="B74" i="74"/>
  <c r="N73" i="74"/>
  <c r="M73" i="74"/>
  <c r="K73" i="74"/>
  <c r="J73" i="74" s="1"/>
  <c r="D73" i="74"/>
  <c r="M72" i="74"/>
  <c r="N72" i="74" s="1"/>
  <c r="K72" i="74"/>
  <c r="J72" i="74"/>
  <c r="D72" i="74"/>
  <c r="M69" i="74"/>
  <c r="N69" i="74" s="1"/>
  <c r="K69" i="74"/>
  <c r="J69" i="74"/>
  <c r="D69" i="74"/>
  <c r="N68" i="74"/>
  <c r="M68" i="74"/>
  <c r="K68" i="74"/>
  <c r="J68" i="74" s="1"/>
  <c r="D68" i="74"/>
  <c r="M67" i="74"/>
  <c r="N67" i="74" s="1"/>
  <c r="K67" i="74"/>
  <c r="J67" i="74"/>
  <c r="D67" i="74"/>
  <c r="M66" i="74"/>
  <c r="N66" i="74" s="1"/>
  <c r="K66" i="74"/>
  <c r="J66" i="74" s="1"/>
  <c r="D66" i="74"/>
  <c r="M65" i="74"/>
  <c r="N65" i="74" s="1"/>
  <c r="K65" i="74"/>
  <c r="J65" i="74" s="1"/>
  <c r="D65" i="74"/>
  <c r="M64" i="74"/>
  <c r="N64" i="74" s="1"/>
  <c r="K64" i="74"/>
  <c r="J64" i="74"/>
  <c r="D64" i="74"/>
  <c r="M63" i="74"/>
  <c r="N63" i="74" s="1"/>
  <c r="K63" i="74"/>
  <c r="J63" i="74"/>
  <c r="D63" i="74"/>
  <c r="B63" i="74"/>
  <c r="M62" i="74"/>
  <c r="N62" i="74" s="1"/>
  <c r="K62" i="74"/>
  <c r="J62" i="74" s="1"/>
  <c r="D62" i="74"/>
  <c r="M61" i="74"/>
  <c r="N61" i="74" s="1"/>
  <c r="K61" i="74"/>
  <c r="J61" i="74" s="1"/>
  <c r="F61" i="74"/>
  <c r="H62" i="74" s="1"/>
  <c r="D61" i="74"/>
  <c r="M58" i="74"/>
  <c r="N58" i="74" s="1"/>
  <c r="K58" i="74"/>
  <c r="J58" i="74" s="1"/>
  <c r="D58" i="74"/>
  <c r="M57" i="74"/>
  <c r="N57" i="74" s="1"/>
  <c r="K57" i="74"/>
  <c r="J57" i="74" s="1"/>
  <c r="D57" i="74" s="1"/>
  <c r="M56" i="74"/>
  <c r="N56" i="74" s="1"/>
  <c r="K56" i="74"/>
  <c r="J56" i="74" s="1"/>
  <c r="D56" i="74"/>
  <c r="M55" i="74"/>
  <c r="N55" i="74" s="1"/>
  <c r="K55" i="74"/>
  <c r="D55" i="74" s="1"/>
  <c r="M54" i="74"/>
  <c r="N54" i="74" s="1"/>
  <c r="K54" i="74"/>
  <c r="J54" i="74" s="1"/>
  <c r="D54" i="74"/>
  <c r="M53" i="74"/>
  <c r="N53" i="74" s="1"/>
  <c r="K53" i="74"/>
  <c r="J53" i="74" s="1"/>
  <c r="M52" i="74"/>
  <c r="N52" i="74" s="1"/>
  <c r="K52" i="74"/>
  <c r="J52" i="74" s="1"/>
  <c r="B52" i="74"/>
  <c r="M51" i="74"/>
  <c r="N51" i="74" s="1"/>
  <c r="K51" i="74"/>
  <c r="J51" i="74" s="1"/>
  <c r="D51" i="74"/>
  <c r="M50" i="74"/>
  <c r="N50" i="74" s="1"/>
  <c r="K50" i="74"/>
  <c r="J50" i="74"/>
  <c r="H42" i="74"/>
  <c r="H41" i="74"/>
  <c r="H40" i="74"/>
  <c r="H39" i="74"/>
  <c r="H38" i="74"/>
  <c r="H37" i="74"/>
  <c r="N32" i="74"/>
  <c r="J24" i="74"/>
  <c r="G24" i="74"/>
  <c r="E24" i="74"/>
  <c r="P32" i="74" s="1"/>
  <c r="I23" i="74"/>
  <c r="C22" i="74"/>
  <c r="G17" i="74"/>
  <c r="C17" i="74"/>
  <c r="C13" i="74"/>
  <c r="Y10" i="74"/>
  <c r="C10" i="74"/>
  <c r="C11" i="74" s="1"/>
  <c r="AJ9" i="74"/>
  <c r="AJ10" i="74" s="1"/>
  <c r="AI9" i="74"/>
  <c r="AI10" i="74" s="1"/>
  <c r="AH9" i="74"/>
  <c r="AH10" i="74" s="1"/>
  <c r="AG9" i="74"/>
  <c r="AG10" i="74" s="1"/>
  <c r="AF9" i="74"/>
  <c r="AF10" i="74" s="1"/>
  <c r="AE9" i="74"/>
  <c r="AE10" i="74" s="1"/>
  <c r="AD9" i="74"/>
  <c r="AD10" i="74" s="1"/>
  <c r="AC9" i="74"/>
  <c r="AC10" i="74" s="1"/>
  <c r="AB9" i="74"/>
  <c r="AB10" i="74" s="1"/>
  <c r="AA9" i="74"/>
  <c r="AA10" i="74" s="1"/>
  <c r="Z9" i="74"/>
  <c r="Z10" i="74" s="1"/>
  <c r="C9" i="74"/>
  <c r="C7" i="74"/>
  <c r="G3" i="74"/>
  <c r="G26" i="74" s="1"/>
  <c r="I2" i="74"/>
  <c r="N12" i="74" s="1"/>
  <c r="G2" i="74"/>
  <c r="F37" i="74" s="1"/>
  <c r="C13" i="46"/>
  <c r="B59" i="1"/>
  <c r="B35" i="1"/>
  <c r="N14" i="1"/>
  <c r="N9" i="1"/>
  <c r="N10" i="1" s="1"/>
  <c r="N8" i="1"/>
  <c r="N7" i="1"/>
  <c r="L31" i="1"/>
  <c r="D52" i="74" l="1"/>
  <c r="O32" i="74"/>
  <c r="D50" i="75"/>
  <c r="E50" i="75" s="1"/>
  <c r="B48" i="75" s="1"/>
  <c r="C28" i="75" s="1"/>
  <c r="D53" i="75"/>
  <c r="D80" i="75"/>
  <c r="E10" i="74"/>
  <c r="E8" i="74"/>
  <c r="D53" i="74"/>
  <c r="M32" i="74"/>
  <c r="E61" i="75"/>
  <c r="B59" i="75" s="1"/>
  <c r="G18" i="75"/>
  <c r="E10" i="75"/>
  <c r="E8" i="75"/>
  <c r="F17" i="79"/>
  <c r="F17" i="77"/>
  <c r="D50" i="74"/>
  <c r="D74" i="74"/>
  <c r="D80" i="74"/>
  <c r="E93" i="74"/>
  <c r="B91" i="74" s="1"/>
  <c r="D74" i="75"/>
  <c r="E93" i="75"/>
  <c r="B91" i="75" s="1"/>
  <c r="E61" i="74"/>
  <c r="B59" i="74" s="1"/>
  <c r="Q32" i="74"/>
  <c r="E83" i="74"/>
  <c r="B81" i="74" s="1"/>
  <c r="E83" i="75"/>
  <c r="B81" i="75" s="1"/>
  <c r="S4" i="75"/>
  <c r="H95" i="75"/>
  <c r="S5" i="75"/>
  <c r="H93" i="75"/>
  <c r="H96" i="75"/>
  <c r="H75" i="75"/>
  <c r="H78" i="75"/>
  <c r="H99" i="75"/>
  <c r="M6" i="75"/>
  <c r="N9" i="75"/>
  <c r="F61" i="75" s="1"/>
  <c r="M10" i="75"/>
  <c r="L21" i="75"/>
  <c r="E26" i="75"/>
  <c r="P32" i="75"/>
  <c r="F41" i="75"/>
  <c r="M3" i="75"/>
  <c r="N4" i="75"/>
  <c r="N1" i="75"/>
  <c r="M2" i="75"/>
  <c r="N3" i="75"/>
  <c r="N6" i="75"/>
  <c r="C27" i="75"/>
  <c r="Q32" i="75"/>
  <c r="M1" i="75"/>
  <c r="N10" i="75"/>
  <c r="E11" i="75"/>
  <c r="H21" i="75"/>
  <c r="M21" i="75"/>
  <c r="F26" i="75"/>
  <c r="N2" i="75"/>
  <c r="S3" i="75"/>
  <c r="M5" i="75"/>
  <c r="S6" i="75"/>
  <c r="M7" i="75"/>
  <c r="X7" i="75"/>
  <c r="N8" i="75"/>
  <c r="E9" i="75"/>
  <c r="M11" i="75"/>
  <c r="M12" i="75"/>
  <c r="C21" i="75"/>
  <c r="I21" i="75"/>
  <c r="O21" i="75"/>
  <c r="I18" i="75"/>
  <c r="M32" i="75"/>
  <c r="M8" i="75"/>
  <c r="H117" i="75"/>
  <c r="F42" i="75"/>
  <c r="F40" i="75"/>
  <c r="F38" i="75"/>
  <c r="F37" i="75"/>
  <c r="N21" i="75"/>
  <c r="J21" i="75"/>
  <c r="S2" i="75"/>
  <c r="B117" i="75"/>
  <c r="H26" i="75"/>
  <c r="M4" i="75"/>
  <c r="N5" i="75"/>
  <c r="N7" i="75"/>
  <c r="Z7" i="75"/>
  <c r="M9" i="75"/>
  <c r="C6" i="75" s="1"/>
  <c r="N11" i="75"/>
  <c r="D21" i="75"/>
  <c r="K21" i="75"/>
  <c r="J26" i="75"/>
  <c r="N32" i="75"/>
  <c r="F50" i="75"/>
  <c r="H72" i="75"/>
  <c r="H76" i="75"/>
  <c r="D78" i="75"/>
  <c r="E72" i="75" s="1"/>
  <c r="B70" i="75" s="1"/>
  <c r="H79" i="75"/>
  <c r="H83" i="75"/>
  <c r="H87" i="75"/>
  <c r="H90" i="75"/>
  <c r="H94" i="75"/>
  <c r="H97" i="75"/>
  <c r="H100" i="75"/>
  <c r="H86" i="75"/>
  <c r="H89" i="75"/>
  <c r="H74" i="75"/>
  <c r="H80" i="75"/>
  <c r="H85" i="75"/>
  <c r="H98" i="75"/>
  <c r="H73" i="75"/>
  <c r="H84" i="75"/>
  <c r="J55" i="74"/>
  <c r="E50" i="74"/>
  <c r="B48" i="74" s="1"/>
  <c r="S4" i="74"/>
  <c r="X7" i="74"/>
  <c r="S3" i="74"/>
  <c r="N21" i="74"/>
  <c r="F41" i="74"/>
  <c r="H95" i="74"/>
  <c r="H99" i="74"/>
  <c r="H26" i="74"/>
  <c r="H93" i="74"/>
  <c r="H96" i="74"/>
  <c r="I21" i="74"/>
  <c r="S5" i="74"/>
  <c r="C21" i="74"/>
  <c r="J21" i="74"/>
  <c r="F40" i="74"/>
  <c r="S6" i="74"/>
  <c r="D21" i="74"/>
  <c r="L21" i="74"/>
  <c r="M1" i="74"/>
  <c r="N4" i="74"/>
  <c r="N9" i="74"/>
  <c r="F50" i="74" s="1"/>
  <c r="M3" i="74"/>
  <c r="M6" i="74"/>
  <c r="M10" i="74"/>
  <c r="M2" i="74"/>
  <c r="N3" i="74"/>
  <c r="N6" i="74"/>
  <c r="M8" i="74"/>
  <c r="N10" i="74"/>
  <c r="E11" i="74"/>
  <c r="E44" i="74"/>
  <c r="N2" i="74"/>
  <c r="M12" i="74"/>
  <c r="G18" i="74"/>
  <c r="H68" i="74"/>
  <c r="H65" i="74"/>
  <c r="H69" i="74"/>
  <c r="H63" i="74"/>
  <c r="H67" i="74"/>
  <c r="H64" i="74"/>
  <c r="H61" i="74"/>
  <c r="N1" i="74"/>
  <c r="M5" i="74"/>
  <c r="M7" i="74"/>
  <c r="N8" i="74"/>
  <c r="E9" i="74"/>
  <c r="M11" i="74"/>
  <c r="H117" i="74"/>
  <c r="F72" i="74"/>
  <c r="F42" i="74"/>
  <c r="O21" i="74"/>
  <c r="K21" i="74"/>
  <c r="S2" i="74"/>
  <c r="B117" i="74"/>
  <c r="J26" i="74"/>
  <c r="E26" i="74"/>
  <c r="M4" i="74"/>
  <c r="N5" i="74"/>
  <c r="N7" i="74"/>
  <c r="Z7" i="74"/>
  <c r="M9" i="74"/>
  <c r="C6" i="74" s="1"/>
  <c r="N11" i="74"/>
  <c r="I18" i="74"/>
  <c r="H21" i="74"/>
  <c r="M21" i="74"/>
  <c r="F26" i="74"/>
  <c r="C27" i="74"/>
  <c r="F38" i="74"/>
  <c r="F39" i="74"/>
  <c r="H66" i="74"/>
  <c r="D78" i="74"/>
  <c r="E72" i="74" s="1"/>
  <c r="B70" i="74" s="1"/>
  <c r="C28" i="74" s="1"/>
  <c r="H83" i="74"/>
  <c r="H87" i="74"/>
  <c r="H90" i="74"/>
  <c r="H94" i="74"/>
  <c r="H97" i="74"/>
  <c r="H100" i="74"/>
  <c r="H86" i="74"/>
  <c r="H89" i="74"/>
  <c r="H85" i="74"/>
  <c r="H98" i="74"/>
  <c r="H84" i="74"/>
  <c r="J9" i="1"/>
  <c r="J10" i="1" s="1"/>
  <c r="J8" i="1"/>
  <c r="J7" i="1"/>
  <c r="E9" i="6"/>
  <c r="AL13" i="3"/>
  <c r="AF13" i="3"/>
  <c r="AN13" i="3"/>
  <c r="AJ13" i="3"/>
  <c r="AH13" i="3"/>
  <c r="AD13" i="3"/>
  <c r="AT13" i="3"/>
  <c r="O13" i="3"/>
  <c r="AF20" i="1" s="1"/>
  <c r="M13" i="3"/>
  <c r="K13" i="3"/>
  <c r="I13" i="3"/>
  <c r="A3" i="3"/>
  <c r="C40" i="39" s="1"/>
  <c r="B2" i="73"/>
  <c r="I17" i="4"/>
  <c r="H17" i="4"/>
  <c r="G17" i="4"/>
  <c r="F17" i="4"/>
  <c r="C11" i="4"/>
  <c r="D3" i="4"/>
  <c r="E17" i="75" l="1"/>
  <c r="AF22" i="1"/>
  <c r="AH20" i="1" s="1"/>
  <c r="H66" i="75"/>
  <c r="H68" i="75"/>
  <c r="H64" i="75"/>
  <c r="H62" i="75"/>
  <c r="H65" i="75"/>
  <c r="H61" i="75"/>
  <c r="H69" i="75"/>
  <c r="H63" i="75"/>
  <c r="H67" i="75"/>
  <c r="H56" i="75"/>
  <c r="H53" i="75"/>
  <c r="H50" i="75"/>
  <c r="H52" i="75"/>
  <c r="H57" i="75"/>
  <c r="H55" i="75"/>
  <c r="H54" i="75"/>
  <c r="H51" i="75"/>
  <c r="H58" i="75"/>
  <c r="I123" i="75"/>
  <c r="J123" i="75" s="1"/>
  <c r="K123" i="75" s="1"/>
  <c r="L123" i="75" s="1"/>
  <c r="M123" i="75" s="1"/>
  <c r="I122" i="75"/>
  <c r="J122" i="75" s="1"/>
  <c r="K122" i="75" s="1"/>
  <c r="L122" i="75" s="1"/>
  <c r="M122" i="75" s="1"/>
  <c r="I121" i="75"/>
  <c r="J121" i="75" s="1"/>
  <c r="K121" i="75" s="1"/>
  <c r="L121" i="75" s="1"/>
  <c r="M121" i="75" s="1"/>
  <c r="I120" i="75"/>
  <c r="J120" i="75" s="1"/>
  <c r="K120" i="75" s="1"/>
  <c r="L120" i="75" s="1"/>
  <c r="M120" i="75" s="1"/>
  <c r="I119" i="75"/>
  <c r="J119" i="75" s="1"/>
  <c r="K119" i="75" s="1"/>
  <c r="L119" i="75" s="1"/>
  <c r="M119" i="75" s="1"/>
  <c r="D123" i="75"/>
  <c r="E123" i="75" s="1"/>
  <c r="F123" i="75" s="1"/>
  <c r="G123" i="75" s="1"/>
  <c r="H123" i="75" s="1"/>
  <c r="D122" i="75"/>
  <c r="E122" i="75" s="1"/>
  <c r="F122" i="75" s="1"/>
  <c r="D121" i="75"/>
  <c r="E121" i="75" s="1"/>
  <c r="F121" i="75" s="1"/>
  <c r="G121" i="75" s="1"/>
  <c r="H121" i="75" s="1"/>
  <c r="D120" i="75"/>
  <c r="E120" i="75" s="1"/>
  <c r="F120" i="75" s="1"/>
  <c r="G120" i="75" s="1"/>
  <c r="H120" i="75" s="1"/>
  <c r="D119" i="75"/>
  <c r="E119" i="75" s="1"/>
  <c r="F119" i="75" s="1"/>
  <c r="G119" i="75" s="1"/>
  <c r="H119" i="75" s="1"/>
  <c r="G122" i="75"/>
  <c r="H122" i="75" s="1"/>
  <c r="D117" i="75"/>
  <c r="B123" i="75"/>
  <c r="C123" i="75" s="1"/>
  <c r="B122" i="75"/>
  <c r="C122" i="75" s="1"/>
  <c r="B121" i="75"/>
  <c r="C121" i="75" s="1"/>
  <c r="B120" i="75"/>
  <c r="C120" i="75" s="1"/>
  <c r="B119" i="75"/>
  <c r="C119" i="75" s="1"/>
  <c r="D26" i="75"/>
  <c r="C25" i="75" s="1"/>
  <c r="G21" i="75"/>
  <c r="H52" i="74"/>
  <c r="H56" i="74"/>
  <c r="H55" i="74"/>
  <c r="H53" i="74"/>
  <c r="H57" i="74"/>
  <c r="H50" i="74"/>
  <c r="G21" i="74"/>
  <c r="H54" i="74"/>
  <c r="H58" i="74"/>
  <c r="H51" i="74"/>
  <c r="I123" i="74"/>
  <c r="J123" i="74" s="1"/>
  <c r="K123" i="74" s="1"/>
  <c r="L123" i="74" s="1"/>
  <c r="M123" i="74" s="1"/>
  <c r="I122" i="74"/>
  <c r="J122" i="74" s="1"/>
  <c r="K122" i="74" s="1"/>
  <c r="L122" i="74" s="1"/>
  <c r="M122" i="74" s="1"/>
  <c r="I121" i="74"/>
  <c r="J121" i="74" s="1"/>
  <c r="K121" i="74" s="1"/>
  <c r="L121" i="74" s="1"/>
  <c r="M121" i="74" s="1"/>
  <c r="I120" i="74"/>
  <c r="J120" i="74" s="1"/>
  <c r="K120" i="74" s="1"/>
  <c r="L120" i="74" s="1"/>
  <c r="M120" i="74" s="1"/>
  <c r="I119" i="74"/>
  <c r="J119" i="74" s="1"/>
  <c r="K119" i="74" s="1"/>
  <c r="L119" i="74" s="1"/>
  <c r="M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B123" i="74"/>
  <c r="C123" i="74" s="1"/>
  <c r="B122" i="74"/>
  <c r="C122" i="74" s="1"/>
  <c r="B121" i="74"/>
  <c r="C121" i="74" s="1"/>
  <c r="B120" i="74"/>
  <c r="C120" i="74" s="1"/>
  <c r="B119" i="74"/>
  <c r="C119" i="74" s="1"/>
  <c r="E17" i="74"/>
  <c r="H77" i="74"/>
  <c r="H73" i="74"/>
  <c r="H80" i="74"/>
  <c r="H74" i="74"/>
  <c r="H78" i="74"/>
  <c r="H75" i="74"/>
  <c r="H79" i="74"/>
  <c r="H76" i="74"/>
  <c r="H72" i="74"/>
  <c r="D26" i="74"/>
  <c r="C25" i="74" s="1"/>
  <c r="G14" i="65"/>
  <c r="F14" i="65"/>
  <c r="E14" i="65"/>
  <c r="AH21" i="1" l="1"/>
  <c r="AK21" i="1"/>
  <c r="AI20" i="1"/>
  <c r="AI21" i="1" s="1"/>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AH9" i="1" l="1"/>
  <c r="AM21" i="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M96" i="46" l="1"/>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N44" i="70"/>
  <c r="M44" i="70"/>
  <c r="P44" i="70" s="1"/>
  <c r="L44" i="70"/>
  <c r="I44" i="70"/>
  <c r="AD44" i="70" s="1"/>
  <c r="N43" i="70"/>
  <c r="U43" i="70" s="1"/>
  <c r="M43" i="70"/>
  <c r="P43" i="70" s="1"/>
  <c r="L43" i="70"/>
  <c r="S43" i="70" s="1"/>
  <c r="I43" i="70"/>
  <c r="N42" i="70"/>
  <c r="M42" i="70"/>
  <c r="P42" i="70" s="1"/>
  <c r="L42" i="70"/>
  <c r="I42" i="70"/>
  <c r="AD42" i="70" s="1"/>
  <c r="N41" i="70"/>
  <c r="U41" i="70" s="1"/>
  <c r="M41" i="70"/>
  <c r="P41" i="70" s="1"/>
  <c r="L41" i="70"/>
  <c r="S41" i="70" s="1"/>
  <c r="I41" i="70"/>
  <c r="N40" i="70"/>
  <c r="M40" i="70"/>
  <c r="P40" i="70" s="1"/>
  <c r="L40" i="70"/>
  <c r="I40" i="70"/>
  <c r="AD40" i="70" s="1"/>
  <c r="N39" i="70"/>
  <c r="M39" i="70"/>
  <c r="L39" i="70"/>
  <c r="I39" i="70"/>
  <c r="N33" i="70"/>
  <c r="M33" i="70"/>
  <c r="M28" i="70" s="1"/>
  <c r="P28" i="70" s="1"/>
  <c r="L33" i="70"/>
  <c r="I33" i="70"/>
  <c r="N28" i="70"/>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R18" i="70" l="1"/>
  <c r="U42" i="70"/>
  <c r="U44" i="70"/>
  <c r="AD34" i="70"/>
  <c r="AD41" i="70"/>
  <c r="AD43" i="70"/>
  <c r="AD45" i="70"/>
  <c r="AB3" i="70"/>
  <c r="V18" i="70"/>
  <c r="Z3" i="70"/>
  <c r="S40" i="70"/>
  <c r="S42" i="70"/>
  <c r="S44" i="70"/>
  <c r="F7" i="1"/>
  <c r="E36" i="68"/>
  <c r="E21" i="46"/>
  <c r="E21" i="75"/>
  <c r="C20" i="75" s="1"/>
  <c r="E21" i="74"/>
  <c r="C20" i="74" s="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D5" i="75" l="1"/>
  <c r="C5" i="75"/>
  <c r="D5" i="74"/>
  <c r="C5" i="74"/>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R22" i="68"/>
  <c r="R21" i="68"/>
  <c r="N19" i="68"/>
  <c r="R18" i="68"/>
  <c r="R17" i="68"/>
  <c r="R16" i="68"/>
  <c r="M14" i="68"/>
  <c r="N14" i="68" s="1"/>
  <c r="R13" i="68"/>
  <c r="R12" i="68"/>
  <c r="R11" i="68"/>
  <c r="R10" i="68"/>
  <c r="R9" i="68"/>
  <c r="R8" i="68"/>
  <c r="R7" i="68"/>
  <c r="R4" i="68"/>
  <c r="R3" i="68"/>
  <c r="R14" i="68" l="1"/>
  <c r="R25" i="68" s="1"/>
  <c r="R24" i="68"/>
  <c r="R19" i="68"/>
  <c r="R35" i="68"/>
  <c r="U34" i="68" s="1"/>
  <c r="F26" i="43"/>
  <c r="R5" i="68" l="1"/>
  <c r="AH10" i="59"/>
  <c r="AG10" i="59"/>
  <c r="AE10" i="59"/>
  <c r="AF10" i="59" s="1"/>
  <c r="AD10" i="59"/>
  <c r="Q10" i="59"/>
  <c r="P10" i="59"/>
  <c r="O10" i="59"/>
  <c r="N10" i="59"/>
  <c r="U5" i="68" l="1"/>
  <c r="D6" i="68"/>
  <c r="AH11" i="59"/>
  <c r="AG11" i="59"/>
  <c r="AE11" i="59"/>
  <c r="AF11" i="59" s="1"/>
  <c r="AD11" i="59"/>
  <c r="Q11" i="59"/>
  <c r="P11" i="59"/>
  <c r="O11" i="59"/>
  <c r="N11" i="59"/>
  <c r="D17" i="68" l="1"/>
  <c r="D9" i="68"/>
  <c r="D10" i="68"/>
  <c r="C23" i="68"/>
  <c r="D18" i="68"/>
  <c r="D16" i="68"/>
  <c r="D15" i="68"/>
  <c r="AH12" i="59"/>
  <c r="AG12" i="59"/>
  <c r="AE12" i="59"/>
  <c r="AF12" i="59" s="1"/>
  <c r="AD12" i="59"/>
  <c r="Q12" i="59"/>
  <c r="P12" i="59"/>
  <c r="O12" i="59"/>
  <c r="N12" i="59"/>
  <c r="D23" i="68" l="1"/>
  <c r="C29" i="68"/>
  <c r="AH13" i="59"/>
  <c r="AG13" i="59"/>
  <c r="AE13" i="59"/>
  <c r="AF13" i="59" s="1"/>
  <c r="AD13" i="59"/>
  <c r="Q13" i="59"/>
  <c r="P13" i="59"/>
  <c r="O13" i="59"/>
  <c r="N13" i="59"/>
  <c r="E23" i="68" l="1"/>
  <c r="E29" i="68" s="1"/>
  <c r="D29" i="68"/>
  <c r="AH14" i="59"/>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51"/>
  <c r="B19" i="63" s="1"/>
  <c r="B58" i="63"/>
  <c r="B53" i="63"/>
  <c r="B51" i="63"/>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Q71" i="59"/>
  <c r="P71" i="59"/>
  <c r="O71" i="59"/>
  <c r="N71" i="59"/>
  <c r="Q70" i="59"/>
  <c r="P70" i="59"/>
  <c r="O70" i="59"/>
  <c r="N70" i="59"/>
  <c r="D70" i="59"/>
  <c r="F69" i="59"/>
  <c r="V69" i="59" s="1"/>
  <c r="E69" i="59"/>
  <c r="E68" i="59" s="1"/>
  <c r="P68" i="59" s="1"/>
  <c r="C69" i="59"/>
  <c r="C68" i="59" s="1"/>
  <c r="B69" i="59"/>
  <c r="N69" i="59" s="1"/>
  <c r="F68" i="59"/>
  <c r="F67" i="59" s="1"/>
  <c r="Q67" i="59" s="1"/>
  <c r="D66" i="59"/>
  <c r="Q65" i="59"/>
  <c r="P65" i="59"/>
  <c r="O65" i="59"/>
  <c r="N65" i="59"/>
  <c r="Q64" i="59"/>
  <c r="P64" i="59"/>
  <c r="O64" i="59"/>
  <c r="N64" i="59"/>
  <c r="Q63" i="59"/>
  <c r="P63" i="59"/>
  <c r="O63" i="59"/>
  <c r="N63" i="59"/>
  <c r="Q62" i="59"/>
  <c r="F63" i="59" s="1"/>
  <c r="P62" i="59"/>
  <c r="E63" i="59" s="1"/>
  <c r="O62" i="59"/>
  <c r="C63" i="59" s="1"/>
  <c r="N62" i="59"/>
  <c r="B63" i="59"/>
  <c r="D62" i="59"/>
  <c r="Q61" i="59"/>
  <c r="P61" i="59"/>
  <c r="O61" i="59"/>
  <c r="N61" i="59"/>
  <c r="Q60" i="59"/>
  <c r="P60" i="59"/>
  <c r="O60" i="59"/>
  <c r="N60" i="59"/>
  <c r="Q59" i="59"/>
  <c r="P59" i="59"/>
  <c r="O59" i="59"/>
  <c r="N59" i="59"/>
  <c r="Q58" i="59"/>
  <c r="F59" i="59" s="1"/>
  <c r="P58" i="59"/>
  <c r="E59" i="59" s="1"/>
  <c r="E60" i="59" s="1"/>
  <c r="E61" i="59" s="1"/>
  <c r="U61" i="59" s="1"/>
  <c r="O58" i="59"/>
  <c r="C59" i="59" s="1"/>
  <c r="C60"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D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F39" i="59"/>
  <c r="P38" i="59"/>
  <c r="E39" i="59" s="1"/>
  <c r="O38" i="59"/>
  <c r="N38" i="59"/>
  <c r="D38" i="59"/>
  <c r="Q37" i="59"/>
  <c r="P37" i="59"/>
  <c r="O37" i="59"/>
  <c r="N37" i="59"/>
  <c r="Q36" i="59"/>
  <c r="P36" i="59"/>
  <c r="O36" i="59"/>
  <c r="N36" i="59"/>
  <c r="Q35" i="59"/>
  <c r="P35" i="59"/>
  <c r="O35" i="59"/>
  <c r="N35" i="59"/>
  <c r="Q34" i="59"/>
  <c r="P34" i="59"/>
  <c r="O34" i="59"/>
  <c r="C35" i="59" s="1"/>
  <c r="N34" i="59"/>
  <c r="B35" i="59" s="1"/>
  <c r="B36" i="59" s="1"/>
  <c r="B37" i="59" s="1"/>
  <c r="S37" i="59" s="1"/>
  <c r="D34" i="59"/>
  <c r="Q33" i="59"/>
  <c r="AB33" i="59" s="1"/>
  <c r="P33" i="59"/>
  <c r="O33" i="59"/>
  <c r="N33" i="59"/>
  <c r="Q32" i="59"/>
  <c r="P32" i="59"/>
  <c r="O32" i="59"/>
  <c r="N32" i="59"/>
  <c r="Q31" i="59"/>
  <c r="AB31" i="59" s="1"/>
  <c r="P31" i="59"/>
  <c r="O31" i="59"/>
  <c r="N31" i="59"/>
  <c r="Q30" i="59"/>
  <c r="P30" i="59"/>
  <c r="O30" i="59"/>
  <c r="N30" i="59"/>
  <c r="D30" i="59"/>
  <c r="S69" i="59"/>
  <c r="F40" i="59"/>
  <c r="F57" i="59"/>
  <c r="V57" i="59" s="1"/>
  <c r="F64" i="59"/>
  <c r="F65" i="59" s="1"/>
  <c r="V65" i="59" s="1"/>
  <c r="D51" i="59"/>
  <c r="T69" i="59"/>
  <c r="D69" i="59"/>
  <c r="E72" i="59"/>
  <c r="E71" i="59" s="1"/>
  <c r="D73" i="59"/>
  <c r="C76" i="59"/>
  <c r="D76" i="59" s="1"/>
  <c r="D77" i="59"/>
  <c r="D81" i="59"/>
  <c r="C88" i="59"/>
  <c r="D88"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s="1"/>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A74" i="3" s="1"/>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E19" i="4"/>
  <c r="F8" i="1" s="1"/>
  <c r="G7" i="1"/>
  <c r="B2" i="52"/>
  <c r="B15" i="52" s="1"/>
  <c r="F41" i="4"/>
  <c r="J52" i="40" s="1"/>
  <c r="H41" i="46"/>
  <c r="H40" i="46"/>
  <c r="H39" i="46"/>
  <c r="H38" i="46"/>
  <c r="H37" i="46"/>
  <c r="C10" i="46"/>
  <c r="C11" i="46" s="1"/>
  <c r="C9" i="46"/>
  <c r="E24" i="6"/>
  <c r="E25" i="6"/>
  <c r="K12" i="1" s="1"/>
  <c r="M12" i="1" s="1"/>
  <c r="E26" i="6"/>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A19" i="3" s="1"/>
  <c r="BF19" i="3"/>
  <c r="BG19" i="3"/>
  <c r="BH19" i="3"/>
  <c r="BI19" i="3"/>
  <c r="BJ19" i="3"/>
  <c r="BK19" i="3"/>
  <c r="BM19" i="3"/>
  <c r="BN19" i="3"/>
  <c r="BL19" i="3" s="1"/>
  <c r="BO19" i="3"/>
  <c r="BP19" i="3"/>
  <c r="BQ19" i="3"/>
  <c r="BR19" i="3"/>
  <c r="BS19" i="3"/>
  <c r="BT19" i="3"/>
  <c r="H20" i="3"/>
  <c r="AC20" i="3"/>
  <c r="G20" i="3" s="1"/>
  <c r="BB20" i="3"/>
  <c r="BC20" i="3"/>
  <c r="BD20" i="3"/>
  <c r="BE20" i="3"/>
  <c r="BA20" i="3" s="1"/>
  <c r="BF20" i="3"/>
  <c r="BG20" i="3"/>
  <c r="BH20" i="3"/>
  <c r="BI20" i="3"/>
  <c r="BJ20" i="3"/>
  <c r="BK20" i="3"/>
  <c r="BM20" i="3"/>
  <c r="BN20" i="3"/>
  <c r="BO20" i="3"/>
  <c r="BP20" i="3"/>
  <c r="BR20" i="3"/>
  <c r="BS20" i="3"/>
  <c r="BT20" i="3"/>
  <c r="H481" i="3"/>
  <c r="AC481" i="3"/>
  <c r="BB481" i="3"/>
  <c r="BA481" i="3" s="1"/>
  <c r="BC481" i="3"/>
  <c r="BD481" i="3"/>
  <c r="BE481" i="3"/>
  <c r="BF481" i="3"/>
  <c r="BG481" i="3"/>
  <c r="BH481" i="3"/>
  <c r="BI481" i="3"/>
  <c r="BJ481" i="3"/>
  <c r="BK481" i="3"/>
  <c r="BM481" i="3"/>
  <c r="BN481" i="3"/>
  <c r="BO481" i="3"/>
  <c r="BL481" i="3" s="1"/>
  <c r="BP481" i="3"/>
  <c r="BQ481" i="3"/>
  <c r="BR481" i="3"/>
  <c r="BS481" i="3"/>
  <c r="BT481" i="3"/>
  <c r="H482" i="3"/>
  <c r="AC482" i="3"/>
  <c r="BB482" i="3"/>
  <c r="BA482" i="3" s="1"/>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L483" i="3" s="1"/>
  <c r="BQ483" i="3"/>
  <c r="BR483" i="3"/>
  <c r="BS483" i="3"/>
  <c r="BT483" i="3"/>
  <c r="H484" i="3"/>
  <c r="G484" i="3" s="1"/>
  <c r="AC484" i="3"/>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A485" i="3" s="1"/>
  <c r="BE485" i="3"/>
  <c r="BF485" i="3"/>
  <c r="BG485" i="3"/>
  <c r="BH485" i="3"/>
  <c r="BI485" i="3"/>
  <c r="BJ485" i="3"/>
  <c r="BK485" i="3"/>
  <c r="BM485" i="3"/>
  <c r="BL485" i="3" s="1"/>
  <c r="BN485" i="3"/>
  <c r="BO485" i="3"/>
  <c r="BP485" i="3"/>
  <c r="BQ485" i="3"/>
  <c r="BR485" i="3"/>
  <c r="BS485" i="3"/>
  <c r="BT485" i="3"/>
  <c r="H486" i="3"/>
  <c r="AC486" i="3"/>
  <c r="BB486" i="3"/>
  <c r="BC486" i="3"/>
  <c r="BD486" i="3"/>
  <c r="BA486" i="3" s="1"/>
  <c r="BE486" i="3"/>
  <c r="BF486" i="3"/>
  <c r="BG486" i="3"/>
  <c r="BH486" i="3"/>
  <c r="BI486" i="3"/>
  <c r="BJ486" i="3"/>
  <c r="BK486" i="3"/>
  <c r="BM486" i="3"/>
  <c r="BN486" i="3"/>
  <c r="BO486" i="3"/>
  <c r="BP486" i="3"/>
  <c r="BR486" i="3"/>
  <c r="BS486" i="3"/>
  <c r="BT486" i="3"/>
  <c r="H487" i="3"/>
  <c r="AC487" i="3"/>
  <c r="BB487" i="3"/>
  <c r="BC487" i="3"/>
  <c r="BD487" i="3"/>
  <c r="BE487" i="3"/>
  <c r="BA487" i="3" s="1"/>
  <c r="BF487" i="3"/>
  <c r="BG487" i="3"/>
  <c r="BH487" i="3"/>
  <c r="BI487" i="3"/>
  <c r="BJ487" i="3"/>
  <c r="BK487" i="3"/>
  <c r="BM487" i="3"/>
  <c r="BN487" i="3"/>
  <c r="BO487" i="3"/>
  <c r="BP487" i="3"/>
  <c r="BQ487" i="3"/>
  <c r="BR487" i="3"/>
  <c r="BS487" i="3"/>
  <c r="BT487" i="3"/>
  <c r="H488" i="3"/>
  <c r="AC488" i="3"/>
  <c r="G488" i="3" s="1"/>
  <c r="BB488" i="3"/>
  <c r="BC488" i="3"/>
  <c r="BD488" i="3"/>
  <c r="BE488" i="3"/>
  <c r="BA488" i="3" s="1"/>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P489" i="3"/>
  <c r="BQ489" i="3"/>
  <c r="BR489" i="3"/>
  <c r="BS489" i="3"/>
  <c r="BT489" i="3"/>
  <c r="H490" i="3"/>
  <c r="AC490" i="3"/>
  <c r="BB490" i="3"/>
  <c r="BA490" i="3" s="1"/>
  <c r="AZ490" i="3" s="1"/>
  <c r="BC490" i="3"/>
  <c r="BD490" i="3"/>
  <c r="BE490" i="3"/>
  <c r="BF490" i="3"/>
  <c r="BG490" i="3"/>
  <c r="BH490" i="3"/>
  <c r="BI490" i="3"/>
  <c r="BJ490" i="3"/>
  <c r="BK490" i="3"/>
  <c r="BM490" i="3"/>
  <c r="BN490" i="3"/>
  <c r="BO490" i="3"/>
  <c r="BL490" i="3" s="1"/>
  <c r="BP490" i="3"/>
  <c r="BR490" i="3"/>
  <c r="BS490" i="3"/>
  <c r="BT490" i="3"/>
  <c r="H491" i="3"/>
  <c r="AC491" i="3"/>
  <c r="BB491" i="3"/>
  <c r="BC491" i="3"/>
  <c r="BA491" i="3" s="1"/>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A493" i="3" s="1"/>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A495" i="3" s="1"/>
  <c r="AZ495" i="3" s="1"/>
  <c r="BC495" i="3"/>
  <c r="BD495" i="3"/>
  <c r="BE495" i="3"/>
  <c r="BF495" i="3"/>
  <c r="BG495" i="3"/>
  <c r="BH495" i="3"/>
  <c r="BI495" i="3"/>
  <c r="BJ495" i="3"/>
  <c r="BK495" i="3"/>
  <c r="BM495" i="3"/>
  <c r="BN495" i="3"/>
  <c r="BO495" i="3"/>
  <c r="BL495" i="3" s="1"/>
  <c r="BP495" i="3"/>
  <c r="BQ495" i="3"/>
  <c r="BR495" i="3"/>
  <c r="BS495" i="3"/>
  <c r="BT495" i="3"/>
  <c r="H496" i="3"/>
  <c r="AC496" i="3"/>
  <c r="BB496" i="3"/>
  <c r="BA496" i="3" s="1"/>
  <c r="BC496" i="3"/>
  <c r="BD496" i="3"/>
  <c r="BE496" i="3"/>
  <c r="BF496" i="3"/>
  <c r="BG496" i="3"/>
  <c r="BH496" i="3"/>
  <c r="BI496" i="3"/>
  <c r="BJ496" i="3"/>
  <c r="BK496" i="3"/>
  <c r="BM496" i="3"/>
  <c r="BN496" i="3"/>
  <c r="BO496" i="3"/>
  <c r="BP496" i="3"/>
  <c r="BR496" i="3"/>
  <c r="BS496" i="3"/>
  <c r="BT496" i="3"/>
  <c r="H497" i="3"/>
  <c r="AC497" i="3"/>
  <c r="BB497" i="3"/>
  <c r="BC497" i="3"/>
  <c r="BA497" i="3" s="1"/>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L499" i="3" s="1"/>
  <c r="BN499" i="3"/>
  <c r="BO499" i="3"/>
  <c r="BP499" i="3"/>
  <c r="BQ499" i="3"/>
  <c r="BR499" i="3"/>
  <c r="BS499" i="3"/>
  <c r="BT499" i="3"/>
  <c r="H500" i="3"/>
  <c r="AC500" i="3"/>
  <c r="BB500" i="3"/>
  <c r="BC500" i="3"/>
  <c r="BD500" i="3"/>
  <c r="BA500" i="3" s="1"/>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L501" i="3" s="1"/>
  <c r="BO501" i="3"/>
  <c r="BP501" i="3"/>
  <c r="BQ501" i="3"/>
  <c r="BR501" i="3"/>
  <c r="BS501" i="3"/>
  <c r="BT501" i="3"/>
  <c r="H502" i="3"/>
  <c r="AC502" i="3"/>
  <c r="G502" i="3" s="1"/>
  <c r="BB502" i="3"/>
  <c r="BC502" i="3"/>
  <c r="BD502" i="3"/>
  <c r="BE502" i="3"/>
  <c r="BA502" i="3" s="1"/>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L503" i="3" s="1"/>
  <c r="BT503" i="3"/>
  <c r="H504" i="3"/>
  <c r="AC504" i="3"/>
  <c r="BB504" i="3"/>
  <c r="BC504" i="3"/>
  <c r="BD504" i="3"/>
  <c r="BE504" i="3"/>
  <c r="BF504" i="3"/>
  <c r="BG504" i="3"/>
  <c r="BH504" i="3"/>
  <c r="BI504" i="3"/>
  <c r="BJ504" i="3"/>
  <c r="BK504" i="3"/>
  <c r="BM504" i="3"/>
  <c r="BN504" i="3"/>
  <c r="BO504" i="3"/>
  <c r="BL504" i="3" s="1"/>
  <c r="BP504" i="3"/>
  <c r="BR504" i="3"/>
  <c r="BS504" i="3"/>
  <c r="BT504" i="3"/>
  <c r="H505" i="3"/>
  <c r="AC505" i="3"/>
  <c r="BB505" i="3"/>
  <c r="BC505" i="3"/>
  <c r="BA505" i="3" s="1"/>
  <c r="BD505" i="3"/>
  <c r="BE505" i="3"/>
  <c r="BF505" i="3"/>
  <c r="BG505" i="3"/>
  <c r="BH505" i="3"/>
  <c r="BI505" i="3"/>
  <c r="BJ505" i="3"/>
  <c r="BK505" i="3"/>
  <c r="BM505" i="3"/>
  <c r="BN505" i="3"/>
  <c r="BO505" i="3"/>
  <c r="BP505" i="3"/>
  <c r="BL505" i="3" s="1"/>
  <c r="BQ505" i="3"/>
  <c r="BR505" i="3"/>
  <c r="BS505" i="3"/>
  <c r="BT505" i="3"/>
  <c r="H506" i="3"/>
  <c r="BB506" i="3"/>
  <c r="BC506" i="3"/>
  <c r="BD506" i="3"/>
  <c r="BE506" i="3"/>
  <c r="BF506" i="3"/>
  <c r="BG506" i="3"/>
  <c r="BH506" i="3"/>
  <c r="BI506" i="3"/>
  <c r="BJ506" i="3"/>
  <c r="BK506" i="3"/>
  <c r="BM506" i="3"/>
  <c r="BL506" i="3" s="1"/>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L528" i="3" s="1"/>
  <c r="BR528" i="3"/>
  <c r="BS528" i="3"/>
  <c r="BT528" i="3"/>
  <c r="H529" i="3"/>
  <c r="G529" i="3" s="1"/>
  <c r="AC529" i="3"/>
  <c r="BB529" i="3"/>
  <c r="BC529" i="3"/>
  <c r="BD529" i="3"/>
  <c r="BA529" i="3" s="1"/>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L535" i="3" s="1"/>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A553" i="3" s="1"/>
  <c r="BI553" i="3"/>
  <c r="BJ553" i="3"/>
  <c r="BK553" i="3"/>
  <c r="BM553" i="3"/>
  <c r="BN553" i="3"/>
  <c r="BO553" i="3"/>
  <c r="BP553" i="3"/>
  <c r="BQ553" i="3"/>
  <c r="BL553" i="3" s="1"/>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A561" i="3" s="1"/>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L566" i="3" s="1"/>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L568" i="3" s="1"/>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c r="F30" i="36"/>
  <c r="AA30" i="36" s="1"/>
  <c r="C26" i="35"/>
  <c r="C79" i="35" s="1"/>
  <c r="J31" i="35"/>
  <c r="AC31" i="35" s="1"/>
  <c r="H31" i="35"/>
  <c r="F31" i="35"/>
  <c r="D87" i="35"/>
  <c r="E87" i="35" s="1"/>
  <c r="F87" i="35" s="1"/>
  <c r="G87" i="35" s="1"/>
  <c r="H34" i="37"/>
  <c r="AB34" i="37" s="1"/>
  <c r="D101" i="37"/>
  <c r="F34" i="37"/>
  <c r="D99" i="37"/>
  <c r="E99" i="37" s="1"/>
  <c r="F99" i="37" s="1"/>
  <c r="G99" i="37" s="1"/>
  <c r="H99" i="37" s="1"/>
  <c r="I99" i="37" s="1"/>
  <c r="J99" i="37" s="1"/>
  <c r="K99" i="37" s="1"/>
  <c r="L99" i="37" s="1"/>
  <c r="M99" i="37" s="1"/>
  <c r="H42" i="34"/>
  <c r="J42" i="34"/>
  <c r="F42" i="34"/>
  <c r="S42" i="34" s="1"/>
  <c r="J38" i="34"/>
  <c r="AC38" i="34" s="1"/>
  <c r="D114" i="34"/>
  <c r="F38" i="34"/>
  <c r="S38" i="34" s="1"/>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F34" i="40"/>
  <c r="AA34" i="40" s="1"/>
  <c r="B102" i="40"/>
  <c r="J33" i="40" s="1"/>
  <c r="AC33" i="40" s="1"/>
  <c r="D101" i="40"/>
  <c r="E101" i="40" s="1"/>
  <c r="F101" i="40" s="1"/>
  <c r="G101" i="40" s="1"/>
  <c r="H101" i="40" s="1"/>
  <c r="I101" i="40" s="1"/>
  <c r="J101" i="40" s="1"/>
  <c r="K101" i="40" s="1"/>
  <c r="L101" i="40" s="1"/>
  <c r="M101" i="40" s="1"/>
  <c r="D99" i="40"/>
  <c r="E99" i="40" s="1"/>
  <c r="F99" i="40" s="1"/>
  <c r="D97" i="40"/>
  <c r="E97" i="40" s="1"/>
  <c r="B96" i="40"/>
  <c r="F29" i="40" s="1"/>
  <c r="AA29" i="40" s="1"/>
  <c r="D93" i="40"/>
  <c r="E93" i="40" s="1"/>
  <c r="F93" i="40" s="1"/>
  <c r="G93" i="40" s="1"/>
  <c r="D91" i="40"/>
  <c r="D89" i="40"/>
  <c r="H21" i="40"/>
  <c r="AB21" i="40" s="1"/>
  <c r="D87" i="40"/>
  <c r="E87" i="40" s="1"/>
  <c r="F87" i="40" s="1"/>
  <c r="G87" i="40" s="1"/>
  <c r="D85" i="40"/>
  <c r="E85" i="40" s="1"/>
  <c r="J17" i="40"/>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AC45" i="39" s="1"/>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J38" i="37" s="1"/>
  <c r="AC38" i="37" s="1"/>
  <c r="C23" i="37"/>
  <c r="C19" i="37"/>
  <c r="C17" i="37"/>
  <c r="C15" i="37"/>
  <c r="B112" i="37"/>
  <c r="F40" i="37" s="1"/>
  <c r="D107" i="37"/>
  <c r="E107" i="37" s="1"/>
  <c r="F107" i="37" s="1"/>
  <c r="G107" i="37" s="1"/>
  <c r="H107" i="37" s="1"/>
  <c r="I107" i="37" s="1"/>
  <c r="J107" i="37" s="1"/>
  <c r="K107" i="37" s="1"/>
  <c r="L107" i="37" s="1"/>
  <c r="M107" i="37" s="1"/>
  <c r="D105" i="37"/>
  <c r="E105" i="37" s="1"/>
  <c r="H36" i="37"/>
  <c r="D103" i="37"/>
  <c r="J35" i="37"/>
  <c r="F97" i="37"/>
  <c r="E97" i="37"/>
  <c r="D97" i="37"/>
  <c r="C97" i="37"/>
  <c r="D96" i="37"/>
  <c r="E96" i="37" s="1"/>
  <c r="D94" i="37"/>
  <c r="M90" i="37"/>
  <c r="L90" i="37"/>
  <c r="K90" i="37"/>
  <c r="J90" i="37"/>
  <c r="I90" i="37"/>
  <c r="H90" i="37"/>
  <c r="G90" i="37"/>
  <c r="F90" i="37"/>
  <c r="E90" i="37"/>
  <c r="D90" i="37"/>
  <c r="C90" i="37"/>
  <c r="D89" i="37"/>
  <c r="B86" i="37"/>
  <c r="F28" i="37" s="1"/>
  <c r="B84" i="37"/>
  <c r="B82" i="37"/>
  <c r="J26" i="37" s="1"/>
  <c r="D79" i="37"/>
  <c r="E79" i="37" s="1"/>
  <c r="F79" i="37" s="1"/>
  <c r="G79" i="37" s="1"/>
  <c r="D75" i="37"/>
  <c r="E75" i="37" s="1"/>
  <c r="F75" i="37" s="1"/>
  <c r="D73" i="37"/>
  <c r="E73" i="37" s="1"/>
  <c r="F73" i="37" s="1"/>
  <c r="G73" i="37" s="1"/>
  <c r="D71" i="37"/>
  <c r="E71" i="37" s="1"/>
  <c r="F71" i="37" s="1"/>
  <c r="G71" i="37" s="1"/>
  <c r="F15" i="37"/>
  <c r="AA15" i="37" s="1"/>
  <c r="B68" i="37"/>
  <c r="B66" i="37"/>
  <c r="B64" i="37"/>
  <c r="F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C7" i="37"/>
  <c r="C52" i="37" s="1"/>
  <c r="D52" i="37" s="1"/>
  <c r="E52" i="37" s="1"/>
  <c r="F52" i="37" s="1"/>
  <c r="G52" i="37" s="1"/>
  <c r="H52" i="37" s="1"/>
  <c r="I52" i="37" s="1"/>
  <c r="J52" i="37" s="1"/>
  <c r="K52" i="37" s="1"/>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F25" i="36" s="1"/>
  <c r="B73" i="36"/>
  <c r="J24" i="36" s="1"/>
  <c r="W24" i="36" s="1"/>
  <c r="B71" i="36"/>
  <c r="H23" i="36" s="1"/>
  <c r="D70" i="36"/>
  <c r="H22" i="36"/>
  <c r="AB22" i="36" s="1"/>
  <c r="D68" i="36"/>
  <c r="E68" i="36" s="1"/>
  <c r="D64" i="36"/>
  <c r="E64" i="36" s="1"/>
  <c r="F64" i="36" s="1"/>
  <c r="G64" i="36" s="1"/>
  <c r="J16" i="36"/>
  <c r="D62" i="36"/>
  <c r="E62" i="36" s="1"/>
  <c r="B59" i="36"/>
  <c r="H13" i="36" s="1"/>
  <c r="AB13" i="36" s="1"/>
  <c r="B57" i="36"/>
  <c r="J12" i="36" s="1"/>
  <c r="W12" i="36" s="1"/>
  <c r="B55" i="36"/>
  <c r="H11" i="36" s="1"/>
  <c r="AB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U8" i="36" s="1"/>
  <c r="F8" i="36"/>
  <c r="AA8" i="36" s="1"/>
  <c r="D89" i="35"/>
  <c r="H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J35" i="35" s="1"/>
  <c r="AC35" i="35" s="1"/>
  <c r="B97" i="35"/>
  <c r="B77" i="35"/>
  <c r="F25" i="35" s="1"/>
  <c r="AA25" i="35" s="1"/>
  <c r="B75" i="35"/>
  <c r="B73" i="35"/>
  <c r="B57" i="35"/>
  <c r="B61" i="35"/>
  <c r="F13" i="35" s="1"/>
  <c r="B59" i="35"/>
  <c r="H12" i="35" s="1"/>
  <c r="B131" i="34"/>
  <c r="F47" i="34" s="1"/>
  <c r="B129" i="34"/>
  <c r="B127" i="34"/>
  <c r="J45" i="34" s="1"/>
  <c r="W45" i="34" s="1"/>
  <c r="B99" i="34"/>
  <c r="B97" i="34"/>
  <c r="J31" i="34" s="1"/>
  <c r="W31" i="34" s="1"/>
  <c r="B95" i="34"/>
  <c r="B93" i="34"/>
  <c r="H29" i="34" s="1"/>
  <c r="B75" i="34"/>
  <c r="B73" i="34"/>
  <c r="H13" i="34" s="1"/>
  <c r="B71" i="34"/>
  <c r="B130" i="33"/>
  <c r="J46" i="33" s="1"/>
  <c r="AC46" i="33" s="1"/>
  <c r="B128" i="33"/>
  <c r="B126" i="33"/>
  <c r="B98" i="33"/>
  <c r="F31" i="33" s="1"/>
  <c r="AA31" i="33" s="1"/>
  <c r="B96" i="33"/>
  <c r="J30" i="33" s="1"/>
  <c r="B94" i="33"/>
  <c r="H29" i="33" s="1"/>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J28" i="33" s="1"/>
  <c r="W28" i="33" s="1"/>
  <c r="B90" i="33"/>
  <c r="H27" i="33" s="1"/>
  <c r="U27" i="33"/>
  <c r="D87" i="33"/>
  <c r="E87" i="33"/>
  <c r="F87" i="33" s="1"/>
  <c r="G87" i="33" s="1"/>
  <c r="H87" i="33" s="1"/>
  <c r="I87" i="33" s="1"/>
  <c r="J87" i="33" s="1"/>
  <c r="K87" i="33" s="1"/>
  <c r="L87" i="33" s="1"/>
  <c r="M87" i="33" s="1"/>
  <c r="D85" i="33"/>
  <c r="E85" i="33"/>
  <c r="D81" i="33"/>
  <c r="E81" i="33" s="1"/>
  <c r="F81" i="33" s="1"/>
  <c r="G81" i="33" s="1"/>
  <c r="D79" i="33"/>
  <c r="E79" i="33" s="1"/>
  <c r="F79" i="33" s="1"/>
  <c r="G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U8" i="33" s="1"/>
  <c r="F8" i="33"/>
  <c r="AA8" i="33" s="1"/>
  <c r="M102" i="21"/>
  <c r="D102" i="21"/>
  <c r="E102" i="21"/>
  <c r="F102" i="21"/>
  <c r="G102" i="21"/>
  <c r="H102" i="21"/>
  <c r="I102" i="21"/>
  <c r="J102" i="21"/>
  <c r="K102" i="21"/>
  <c r="L102" i="21"/>
  <c r="C102" i="21"/>
  <c r="C63" i="21"/>
  <c r="F9" i="21" s="1"/>
  <c r="S9" i="21" s="1"/>
  <c r="G18" i="20"/>
  <c r="C25" i="40"/>
  <c r="G16" i="20"/>
  <c r="G15" i="20"/>
  <c r="C24" i="20"/>
  <c r="B75" i="46" s="1"/>
  <c r="C21" i="20"/>
  <c r="B76" i="46" s="1"/>
  <c r="C20" i="20"/>
  <c r="B58" i="46" s="1"/>
  <c r="C18" i="20"/>
  <c r="B62" i="46" s="1"/>
  <c r="C17" i="20"/>
  <c r="C16" i="20"/>
  <c r="C15" i="20"/>
  <c r="C17" i="39" s="1"/>
  <c r="E54" i="21"/>
  <c r="F54" i="21" s="1"/>
  <c r="I54" i="21"/>
  <c r="J54" i="21" s="1"/>
  <c r="G54" i="21"/>
  <c r="H54" i="21" s="1"/>
  <c r="D125" i="21"/>
  <c r="E125" i="21" s="1"/>
  <c r="F125" i="21" s="1"/>
  <c r="G125" i="21" s="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B128" i="21"/>
  <c r="H45" i="21" s="1"/>
  <c r="U45" i="21" s="1"/>
  <c r="B126" i="21"/>
  <c r="J44" i="21" s="1"/>
  <c r="B98" i="21"/>
  <c r="B96" i="21"/>
  <c r="J30" i="21" s="1"/>
  <c r="B94" i="21"/>
  <c r="J29" i="21" s="1"/>
  <c r="AC29" i="21" s="1"/>
  <c r="B92" i="21"/>
  <c r="B90" i="21"/>
  <c r="B74" i="21"/>
  <c r="H14" i="21" s="1"/>
  <c r="U14" i="21" s="1"/>
  <c r="B72" i="21"/>
  <c r="F13" i="21" s="1"/>
  <c r="AA13" i="21" s="1"/>
  <c r="B70" i="21"/>
  <c r="F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s="1"/>
  <c r="J35" i="21"/>
  <c r="W35" i="21" s="1"/>
  <c r="Q35" i="21"/>
  <c r="Z35" i="21" s="1"/>
  <c r="Q36" i="21"/>
  <c r="Z36" i="21" s="1"/>
  <c r="Q37" i="21"/>
  <c r="Z37" i="21" s="1"/>
  <c r="J38" i="21"/>
  <c r="AC38" i="21" s="1"/>
  <c r="Q38" i="21"/>
  <c r="Z38" i="21"/>
  <c r="J39" i="21"/>
  <c r="AC39" i="21" s="1"/>
  <c r="Q39" i="21"/>
  <c r="Z39" i="21" s="1"/>
  <c r="Q40" i="21"/>
  <c r="Z40" i="21" s="1"/>
  <c r="Q41" i="21"/>
  <c r="Z41" i="21" s="1"/>
  <c r="Q42" i="21"/>
  <c r="Z42" i="21" s="1"/>
  <c r="Q43" i="21"/>
  <c r="Z43" i="21"/>
  <c r="Q44" i="21"/>
  <c r="Z44" i="21" s="1"/>
  <c r="Q45" i="21"/>
  <c r="Z45" i="21" s="1"/>
  <c r="Q46" i="21"/>
  <c r="Z46" i="21" s="1"/>
  <c r="P47" i="21"/>
  <c r="R47" i="21"/>
  <c r="T47" i="21"/>
  <c r="V47" i="21"/>
  <c r="P48" i="21"/>
  <c r="P49" i="21"/>
  <c r="F8" i="21"/>
  <c r="AA8" i="21" s="1"/>
  <c r="E13" i="11"/>
  <c r="E12" i="11"/>
  <c r="BB12" i="3"/>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K31" i="1" s="1"/>
  <c r="M31" i="1" s="1"/>
  <c r="I5" i="3"/>
  <c r="F19" i="6" s="1"/>
  <c r="D33" i="46" s="1"/>
  <c r="L5" i="3"/>
  <c r="M5" i="3"/>
  <c r="F21" i="6" s="1"/>
  <c r="N5" i="3"/>
  <c r="O5" i="3"/>
  <c r="P5" i="3"/>
  <c r="Q5" i="3"/>
  <c r="R5" i="3"/>
  <c r="S5" i="3"/>
  <c r="T5" i="3"/>
  <c r="U5" i="3"/>
  <c r="V5" i="3"/>
  <c r="W5" i="3"/>
  <c r="X5" i="3"/>
  <c r="Y5" i="3"/>
  <c r="Z5" i="3"/>
  <c r="AA5" i="3"/>
  <c r="AB5" i="3"/>
  <c r="H570" i="3"/>
  <c r="H571" i="3"/>
  <c r="H572" i="3"/>
  <c r="F5" i="3"/>
  <c r="F34" i="21"/>
  <c r="AA34" i="21" s="1"/>
  <c r="H34" i="21"/>
  <c r="U34" i="21" s="1"/>
  <c r="H38" i="21"/>
  <c r="AB38" i="21" s="1"/>
  <c r="F32" i="21"/>
  <c r="AA32"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S33" i="21" s="1"/>
  <c r="J10" i="21"/>
  <c r="AC10" i="21"/>
  <c r="H26" i="21"/>
  <c r="J12" i="21"/>
  <c r="W12" i="21" s="1"/>
  <c r="J26" i="21"/>
  <c r="W26" i="21" s="1"/>
  <c r="F26" i="21"/>
  <c r="W41" i="21"/>
  <c r="S10" i="39"/>
  <c r="E103" i="37"/>
  <c r="F103" i="37" s="1"/>
  <c r="G103" i="37" s="1"/>
  <c r="H103" i="37" s="1"/>
  <c r="I103" i="37" s="1"/>
  <c r="J103" i="37" s="1"/>
  <c r="K103" i="37" s="1"/>
  <c r="L103" i="37" s="1"/>
  <c r="M103" i="37" s="1"/>
  <c r="F39" i="37"/>
  <c r="S39" i="37" s="1"/>
  <c r="F29" i="36"/>
  <c r="AA29" i="36" s="1"/>
  <c r="F16" i="36"/>
  <c r="AA16" i="36" s="1"/>
  <c r="U22" i="36"/>
  <c r="W22" i="36"/>
  <c r="AC31" i="36"/>
  <c r="U31" i="35"/>
  <c r="W31" i="35"/>
  <c r="F36" i="34"/>
  <c r="S34" i="34"/>
  <c r="H39" i="33"/>
  <c r="AB39" i="33" s="1"/>
  <c r="F26" i="33"/>
  <c r="AA26" i="33" s="1"/>
  <c r="W38" i="33"/>
  <c r="H39" i="37"/>
  <c r="AB39" i="37" s="1"/>
  <c r="AB27" i="35"/>
  <c r="W10" i="40"/>
  <c r="U11" i="40"/>
  <c r="U36" i="40"/>
  <c r="F11" i="21"/>
  <c r="S11" i="21" s="1"/>
  <c r="AC40" i="21"/>
  <c r="C29" i="39"/>
  <c r="U36" i="39"/>
  <c r="H32" i="33"/>
  <c r="AB32" i="33"/>
  <c r="H11" i="21"/>
  <c r="U11" i="21" s="1"/>
  <c r="J11" i="21"/>
  <c r="F85" i="40"/>
  <c r="G85" i="40" s="1"/>
  <c r="J27" i="36"/>
  <c r="J34" i="36"/>
  <c r="W34" i="36"/>
  <c r="J30" i="35"/>
  <c r="W30" i="35" s="1"/>
  <c r="F22" i="35"/>
  <c r="AA22" i="35" s="1"/>
  <c r="H10" i="35"/>
  <c r="U10" i="35" s="1"/>
  <c r="AC24" i="36"/>
  <c r="U29" i="36"/>
  <c r="U24" i="36"/>
  <c r="E85" i="36"/>
  <c r="F85" i="36" s="1"/>
  <c r="G85" i="36" s="1"/>
  <c r="H85" i="36" s="1"/>
  <c r="I85" i="36" s="1"/>
  <c r="J85" i="36" s="1"/>
  <c r="K85" i="36" s="1"/>
  <c r="L85" i="36" s="1"/>
  <c r="M85" i="36" s="1"/>
  <c r="J29" i="36"/>
  <c r="AC29" i="36" s="1"/>
  <c r="F34" i="36"/>
  <c r="S34" i="36" s="1"/>
  <c r="AB8" i="36"/>
  <c r="H16" i="35"/>
  <c r="U16" i="35" s="1"/>
  <c r="H33" i="35"/>
  <c r="AB33" i="35" s="1"/>
  <c r="W8" i="35"/>
  <c r="AC8" i="35"/>
  <c r="F35" i="37"/>
  <c r="AA35" i="37" s="1"/>
  <c r="E101" i="37"/>
  <c r="F101" i="37" s="1"/>
  <c r="G101" i="37" s="1"/>
  <c r="H101" i="37" s="1"/>
  <c r="I101" i="37" s="1"/>
  <c r="J101" i="37" s="1"/>
  <c r="K101" i="37" s="1"/>
  <c r="L101" i="37" s="1"/>
  <c r="M101" i="37" s="1"/>
  <c r="J34" i="37"/>
  <c r="W34" i="37"/>
  <c r="H43" i="34"/>
  <c r="U43" i="34" s="1"/>
  <c r="U42" i="34"/>
  <c r="E114" i="34"/>
  <c r="H36" i="34"/>
  <c r="F37" i="34"/>
  <c r="AA37" i="34" s="1"/>
  <c r="F33" i="34"/>
  <c r="S33" i="34" s="1"/>
  <c r="F19" i="34"/>
  <c r="AA19" i="34" s="1"/>
  <c r="J10" i="34"/>
  <c r="AC10" i="34" s="1"/>
  <c r="W8" i="34"/>
  <c r="E113" i="33"/>
  <c r="F113" i="33" s="1"/>
  <c r="G113" i="33" s="1"/>
  <c r="H113" i="33" s="1"/>
  <c r="I113" i="33" s="1"/>
  <c r="J113" i="33" s="1"/>
  <c r="K113" i="33" s="1"/>
  <c r="L113" i="33" s="1"/>
  <c r="M113" i="33" s="1"/>
  <c r="F36" i="33"/>
  <c r="S36" i="33" s="1"/>
  <c r="F19" i="33"/>
  <c r="AA19" i="33" s="1"/>
  <c r="J19" i="33"/>
  <c r="AB30" i="36"/>
  <c r="AC34" i="36"/>
  <c r="H29" i="35"/>
  <c r="U34" i="37"/>
  <c r="S34" i="37"/>
  <c r="AA34" i="37"/>
  <c r="AB42" i="34"/>
  <c r="W36" i="34"/>
  <c r="J19" i="34"/>
  <c r="AC19" i="34" s="1"/>
  <c r="H37" i="33"/>
  <c r="AB37" i="33" s="1"/>
  <c r="AC42" i="34"/>
  <c r="W42" i="34"/>
  <c r="AA42" i="34"/>
  <c r="W38" i="34"/>
  <c r="J37" i="33"/>
  <c r="W37" i="33" s="1"/>
  <c r="J44" i="34"/>
  <c r="AC44" i="34" s="1"/>
  <c r="F44" i="34"/>
  <c r="S44" i="34" s="1"/>
  <c r="J10" i="35"/>
  <c r="W10" i="35" s="1"/>
  <c r="AL5" i="3"/>
  <c r="BQ13" i="3"/>
  <c r="J14" i="21"/>
  <c r="F14" i="21"/>
  <c r="H28" i="21"/>
  <c r="AB28" i="21" s="1"/>
  <c r="F28" i="21"/>
  <c r="AA28" i="21" s="1"/>
  <c r="J28" i="21"/>
  <c r="AC28" i="21" s="1"/>
  <c r="H46" i="21"/>
  <c r="AB46" i="21" s="1"/>
  <c r="J46" i="21"/>
  <c r="W46" i="21" s="1"/>
  <c r="F46" i="21"/>
  <c r="F33" i="35"/>
  <c r="S33" i="35" s="1"/>
  <c r="J33" i="35"/>
  <c r="W33" i="35" s="1"/>
  <c r="F30" i="35"/>
  <c r="AA30" i="35" s="1"/>
  <c r="E89" i="35"/>
  <c r="F89" i="35" s="1"/>
  <c r="G89" i="35" s="1"/>
  <c r="H89" i="35" s="1"/>
  <c r="I89" i="35" s="1"/>
  <c r="J89" i="35" s="1"/>
  <c r="K89" i="35" s="1"/>
  <c r="L89" i="35" s="1"/>
  <c r="M89" i="35" s="1"/>
  <c r="H10" i="36"/>
  <c r="AB10" i="36" s="1"/>
  <c r="F28" i="36"/>
  <c r="S28" i="36" s="1"/>
  <c r="F27" i="36"/>
  <c r="H13" i="21"/>
  <c r="U13" i="21" s="1"/>
  <c r="J13" i="21"/>
  <c r="AC13" i="21" s="1"/>
  <c r="F27" i="21"/>
  <c r="AA27" i="21" s="1"/>
  <c r="H29" i="21"/>
  <c r="U29" i="21" s="1"/>
  <c r="F29" i="21"/>
  <c r="F31" i="21"/>
  <c r="J45" i="21"/>
  <c r="F45" i="21"/>
  <c r="AA45" i="21" s="1"/>
  <c r="J27" i="33"/>
  <c r="AC27" i="33" s="1"/>
  <c r="F27" i="33"/>
  <c r="S27" i="33" s="1"/>
  <c r="F13" i="33"/>
  <c r="F11" i="35"/>
  <c r="S11" i="35" s="1"/>
  <c r="H28" i="36"/>
  <c r="U28" i="36" s="1"/>
  <c r="H32" i="36"/>
  <c r="J32" i="36"/>
  <c r="J11" i="36"/>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14" i="33"/>
  <c r="F14" i="33"/>
  <c r="S14" i="33" s="1"/>
  <c r="AA14" i="33"/>
  <c r="J14" i="33"/>
  <c r="AC14" i="33" s="1"/>
  <c r="H30" i="33"/>
  <c r="AB30" i="33" s="1"/>
  <c r="F30" i="33"/>
  <c r="AA30" i="33" s="1"/>
  <c r="S30" i="33"/>
  <c r="H44" i="33"/>
  <c r="U44" i="33" s="1"/>
  <c r="J44" i="33"/>
  <c r="F44" i="33"/>
  <c r="F46" i="33"/>
  <c r="H46" i="33"/>
  <c r="AB46" i="33" s="1"/>
  <c r="F13" i="34"/>
  <c r="AA13" i="34" s="1"/>
  <c r="H31" i="34"/>
  <c r="AB31" i="34" s="1"/>
  <c r="F31" i="34"/>
  <c r="S31" i="34" s="1"/>
  <c r="H45" i="34"/>
  <c r="U45" i="34" s="1"/>
  <c r="F45" i="34"/>
  <c r="J13" i="35"/>
  <c r="AC13" i="35" s="1"/>
  <c r="J25" i="35"/>
  <c r="AC25" i="35" s="1"/>
  <c r="H25" i="35"/>
  <c r="J25" i="36"/>
  <c r="W25" i="36" s="1"/>
  <c r="H25" i="36"/>
  <c r="AB25" i="36" s="1"/>
  <c r="H13" i="37"/>
  <c r="AB13" i="37" s="1"/>
  <c r="F13" i="37"/>
  <c r="S13" i="37" s="1"/>
  <c r="J13" i="37"/>
  <c r="AC13" i="37" s="1"/>
  <c r="H38" i="37"/>
  <c r="AB38" i="37" s="1"/>
  <c r="F38" i="37"/>
  <c r="S38" i="37" s="1"/>
  <c r="F14" i="37"/>
  <c r="AA14" i="37" s="1"/>
  <c r="F27" i="37"/>
  <c r="AA27" i="37" s="1"/>
  <c r="J36" i="37"/>
  <c r="AC36" i="37" s="1"/>
  <c r="AB28" i="36"/>
  <c r="U46" i="21"/>
  <c r="S28" i="21"/>
  <c r="AB14" i="21"/>
  <c r="U36" i="37"/>
  <c r="AC13" i="36"/>
  <c r="AB27" i="33"/>
  <c r="G499" i="3"/>
  <c r="G17" i="3"/>
  <c r="G565" i="3"/>
  <c r="G557" i="3"/>
  <c r="G549" i="3"/>
  <c r="BL563" i="3"/>
  <c r="G518" i="3"/>
  <c r="BA562" i="3"/>
  <c r="BA532" i="3"/>
  <c r="BA498" i="3"/>
  <c r="G562" i="3"/>
  <c r="G560" i="3"/>
  <c r="G558" i="3"/>
  <c r="G550" i="3"/>
  <c r="AC542" i="3"/>
  <c r="G542" i="3" s="1"/>
  <c r="BQ542" i="3"/>
  <c r="BQ568" i="3"/>
  <c r="BQ566" i="3"/>
  <c r="BQ564" i="3"/>
  <c r="BQ562" i="3"/>
  <c r="BQ560" i="3"/>
  <c r="BQ558" i="3"/>
  <c r="BQ556" i="3"/>
  <c r="BQ554" i="3"/>
  <c r="BQ552" i="3"/>
  <c r="BQ550" i="3"/>
  <c r="BQ548" i="3"/>
  <c r="BQ546" i="3"/>
  <c r="BQ544" i="3"/>
  <c r="BL544" i="3" s="1"/>
  <c r="G544" i="3"/>
  <c r="G526" i="3"/>
  <c r="BQ540" i="3"/>
  <c r="BQ538" i="3"/>
  <c r="BQ536" i="3"/>
  <c r="BQ534" i="3"/>
  <c r="BQ532" i="3"/>
  <c r="BQ530" i="3"/>
  <c r="BQ528" i="3"/>
  <c r="BQ526" i="3"/>
  <c r="BQ524" i="3"/>
  <c r="BQ522" i="3"/>
  <c r="BQ520" i="3"/>
  <c r="BQ518" i="3"/>
  <c r="BQ516" i="3"/>
  <c r="BQ514" i="3"/>
  <c r="BQ512" i="3"/>
  <c r="BQ510" i="3"/>
  <c r="BQ508" i="3"/>
  <c r="AC506" i="3"/>
  <c r="G506" i="3" s="1"/>
  <c r="BQ506" i="3"/>
  <c r="G498" i="3"/>
  <c r="BQ504" i="3"/>
  <c r="BQ502" i="3"/>
  <c r="BQ500" i="3"/>
  <c r="BQ498" i="3"/>
  <c r="BL498" i="3" s="1"/>
  <c r="BQ496" i="3"/>
  <c r="AC494" i="3"/>
  <c r="BQ494" i="3"/>
  <c r="BL493" i="3"/>
  <c r="G492" i="3"/>
  <c r="BQ492" i="3"/>
  <c r="BL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E125" i="33"/>
  <c r="F125" i="33" s="1"/>
  <c r="G125" i="33" s="1"/>
  <c r="H43" i="33"/>
  <c r="U43" i="33" s="1"/>
  <c r="H17" i="37"/>
  <c r="U17" i="37" s="1"/>
  <c r="F23" i="37"/>
  <c r="S23" i="37" s="1"/>
  <c r="F39" i="33"/>
  <c r="AA39" i="33" s="1"/>
  <c r="F42" i="33"/>
  <c r="AA42" i="33" s="1"/>
  <c r="F22" i="36"/>
  <c r="H35" i="34"/>
  <c r="F41" i="34"/>
  <c r="H41" i="34"/>
  <c r="U41" i="34" s="1"/>
  <c r="J41" i="34"/>
  <c r="W41" i="34" s="1"/>
  <c r="F10" i="35"/>
  <c r="AA10" i="35" s="1"/>
  <c r="H23" i="37"/>
  <c r="AB23" i="37" s="1"/>
  <c r="J32" i="37"/>
  <c r="AC32" i="37" s="1"/>
  <c r="F36" i="37"/>
  <c r="S36" i="37" s="1"/>
  <c r="F37" i="37"/>
  <c r="AA37" i="37" s="1"/>
  <c r="U23" i="37"/>
  <c r="H42" i="33"/>
  <c r="J43" i="33"/>
  <c r="AC43" i="33" s="1"/>
  <c r="J23" i="37"/>
  <c r="W23" i="37" s="1"/>
  <c r="F17" i="37"/>
  <c r="AA17" i="37" s="1"/>
  <c r="AB43" i="33"/>
  <c r="U39" i="37"/>
  <c r="AC36" i="34"/>
  <c r="AC37" i="33"/>
  <c r="AC33" i="21"/>
  <c r="S39" i="33"/>
  <c r="F43" i="33"/>
  <c r="AA43" i="33" s="1"/>
  <c r="AA9" i="21"/>
  <c r="H19" i="34"/>
  <c r="U19" i="34" s="1"/>
  <c r="J10" i="37"/>
  <c r="AC10" i="37" s="1"/>
  <c r="F11" i="37"/>
  <c r="S11" i="37" s="1"/>
  <c r="J12" i="37"/>
  <c r="H12" i="37"/>
  <c r="U12" i="37" s="1"/>
  <c r="H15" i="37"/>
  <c r="E94" i="37"/>
  <c r="F94" i="37" s="1"/>
  <c r="G94" i="37" s="1"/>
  <c r="H94" i="37" s="1"/>
  <c r="I94" i="37" s="1"/>
  <c r="J94" i="37" s="1"/>
  <c r="K94" i="37" s="1"/>
  <c r="L94" i="37" s="1"/>
  <c r="M94" i="37" s="1"/>
  <c r="F31" i="37"/>
  <c r="S31" i="37" s="1"/>
  <c r="H31" i="37"/>
  <c r="U31" i="37" s="1"/>
  <c r="J15" i="37"/>
  <c r="W15" i="37" s="1"/>
  <c r="J11" i="37"/>
  <c r="E89" i="40"/>
  <c r="F89" i="40" s="1"/>
  <c r="G89" i="40" s="1"/>
  <c r="F21" i="40"/>
  <c r="J21" i="40"/>
  <c r="AC21" i="40" s="1"/>
  <c r="S27" i="31"/>
  <c r="G507" i="3"/>
  <c r="BA15" i="3"/>
  <c r="BL17" i="3"/>
  <c r="BL15" i="3"/>
  <c r="AZ15" i="3" s="1"/>
  <c r="BA14" i="3"/>
  <c r="AZ14" i="3" s="1"/>
  <c r="J57" i="39"/>
  <c r="H13" i="40"/>
  <c r="U13" i="40" s="1"/>
  <c r="I4" i="4"/>
  <c r="K141" i="21"/>
  <c r="K143" i="21"/>
  <c r="K144" i="21"/>
  <c r="I58" i="40"/>
  <c r="C58" i="40" s="1"/>
  <c r="G297" i="3"/>
  <c r="BL298" i="3"/>
  <c r="G299" i="3"/>
  <c r="BL300" i="3"/>
  <c r="BA302" i="3"/>
  <c r="BA303" i="3"/>
  <c r="BL303" i="3"/>
  <c r="G304" i="3"/>
  <c r="BA305" i="3"/>
  <c r="G321" i="3"/>
  <c r="BL322" i="3"/>
  <c r="AZ322" i="3" s="1"/>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BL347" i="3"/>
  <c r="G348" i="3"/>
  <c r="G351" i="3"/>
  <c r="BL352" i="3"/>
  <c r="BA354" i="3"/>
  <c r="AZ354" i="3" s="1"/>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G346" i="3"/>
  <c r="BA348" i="3"/>
  <c r="BL349" i="3"/>
  <c r="G350" i="3"/>
  <c r="BA352" i="3"/>
  <c r="AZ352" i="3" s="1"/>
  <c r="BL353" i="3"/>
  <c r="G354" i="3"/>
  <c r="BA356" i="3"/>
  <c r="BL357" i="3"/>
  <c r="G358" i="3"/>
  <c r="BA362" i="3"/>
  <c r="BL363" i="3"/>
  <c r="G364" i="3"/>
  <c r="BA366" i="3"/>
  <c r="BL367" i="3"/>
  <c r="G368" i="3"/>
  <c r="BA370" i="3"/>
  <c r="BL371" i="3"/>
  <c r="G372" i="3"/>
  <c r="BA374" i="3"/>
  <c r="AZ374" i="3" s="1"/>
  <c r="BL375" i="3"/>
  <c r="G376" i="3"/>
  <c r="BA378" i="3"/>
  <c r="BL379" i="3"/>
  <c r="G380" i="3"/>
  <c r="BA382" i="3"/>
  <c r="BL383" i="3"/>
  <c r="G384" i="3"/>
  <c r="AZ311" i="3"/>
  <c r="F37" i="46"/>
  <c r="AA13" i="40"/>
  <c r="R16" i="4"/>
  <c r="G4" i="4"/>
  <c r="J16" i="35"/>
  <c r="AC16" i="35" s="1"/>
  <c r="H13" i="39"/>
  <c r="AB13" i="39" s="1"/>
  <c r="F13" i="39"/>
  <c r="S13" i="39" s="1"/>
  <c r="J13" i="39"/>
  <c r="AC13" i="39" s="1"/>
  <c r="H11" i="37"/>
  <c r="AB11" i="37" s="1"/>
  <c r="W37" i="37"/>
  <c r="AA36" i="37"/>
  <c r="U32" i="33"/>
  <c r="AB45" i="34"/>
  <c r="S25" i="35"/>
  <c r="AC30" i="33"/>
  <c r="W30" i="33"/>
  <c r="AC29" i="37"/>
  <c r="J33" i="34"/>
  <c r="AC33" i="34" s="1"/>
  <c r="J40" i="34"/>
  <c r="F16" i="35"/>
  <c r="AA16" i="35" s="1"/>
  <c r="W42" i="33"/>
  <c r="J35" i="34"/>
  <c r="W35" i="34" s="1"/>
  <c r="S30" i="36"/>
  <c r="H16" i="36"/>
  <c r="H35" i="37"/>
  <c r="AB35" i="37" s="1"/>
  <c r="H32" i="21"/>
  <c r="U32" i="21" s="1"/>
  <c r="AB26" i="21"/>
  <c r="U26" i="21"/>
  <c r="J32" i="21"/>
  <c r="AC32" i="21" s="1"/>
  <c r="F40" i="21"/>
  <c r="H40" i="2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J13" i="33"/>
  <c r="W13" i="33" s="1"/>
  <c r="H13" i="33"/>
  <c r="AB13" i="33" s="1"/>
  <c r="J12" i="34"/>
  <c r="AC12" i="34" s="1"/>
  <c r="H12" i="34"/>
  <c r="AB12" i="34" s="1"/>
  <c r="F12" i="34"/>
  <c r="S12" i="34" s="1"/>
  <c r="H30" i="34"/>
  <c r="F30" i="34"/>
  <c r="S30" i="34" s="1"/>
  <c r="J30" i="34"/>
  <c r="W30" i="34" s="1"/>
  <c r="H32" i="34"/>
  <c r="AB32" i="34" s="1"/>
  <c r="H46" i="34"/>
  <c r="AB46" i="34" s="1"/>
  <c r="F46" i="34"/>
  <c r="AA46" i="34" s="1"/>
  <c r="J46" i="34"/>
  <c r="AC46" i="34" s="1"/>
  <c r="H11" i="35"/>
  <c r="J11" i="35"/>
  <c r="AC11" i="35" s="1"/>
  <c r="F96" i="37"/>
  <c r="H32" i="37"/>
  <c r="F19" i="39"/>
  <c r="S19" i="39" s="1"/>
  <c r="H19" i="39"/>
  <c r="AB19" i="39" s="1"/>
  <c r="J19" i="39"/>
  <c r="W19" i="39" s="1"/>
  <c r="U31" i="34"/>
  <c r="W27" i="33"/>
  <c r="AA44" i="34"/>
  <c r="AC19" i="33"/>
  <c r="W19" i="33"/>
  <c r="AB43" i="34"/>
  <c r="AC34" i="37"/>
  <c r="S35" i="37"/>
  <c r="AB40" i="33"/>
  <c r="U40" i="33"/>
  <c r="AA35" i="34"/>
  <c r="S35" i="34"/>
  <c r="E90" i="34"/>
  <c r="H27" i="34"/>
  <c r="AB27" i="34" s="1"/>
  <c r="AB8" i="35"/>
  <c r="J14" i="35"/>
  <c r="AC14" i="35" s="1"/>
  <c r="F14" i="35"/>
  <c r="AA14" i="35" s="1"/>
  <c r="E80" i="35"/>
  <c r="E94" i="35"/>
  <c r="F94" i="35" s="1"/>
  <c r="G94" i="35" s="1"/>
  <c r="H94" i="35" s="1"/>
  <c r="I94" i="35" s="1"/>
  <c r="J94" i="35" s="1"/>
  <c r="K94" i="35" s="1"/>
  <c r="L94" i="35" s="1"/>
  <c r="M94" i="35" s="1"/>
  <c r="J32" i="35"/>
  <c r="AC32" i="35" s="1"/>
  <c r="F11" i="36"/>
  <c r="S11" i="36" s="1"/>
  <c r="W16" i="36"/>
  <c r="AC16" i="36"/>
  <c r="F26" i="36"/>
  <c r="U34" i="36"/>
  <c r="AB34" i="36"/>
  <c r="F33" i="36"/>
  <c r="S33" i="36" s="1"/>
  <c r="H27" i="36"/>
  <c r="AB27" i="36" s="1"/>
  <c r="AA31" i="36"/>
  <c r="AC26" i="37"/>
  <c r="W26" i="37"/>
  <c r="AB29" i="37"/>
  <c r="AA30" i="37"/>
  <c r="S30" i="37"/>
  <c r="AC31" i="37"/>
  <c r="W31" i="37"/>
  <c r="F17" i="39"/>
  <c r="AA17" i="39" s="1"/>
  <c r="H17" i="39"/>
  <c r="U17" i="39" s="1"/>
  <c r="J17" i="39"/>
  <c r="W17" i="39" s="1"/>
  <c r="F21" i="39"/>
  <c r="S21" i="39" s="1"/>
  <c r="H21" i="39"/>
  <c r="U21" i="39" s="1"/>
  <c r="J21" i="39"/>
  <c r="W21" i="39" s="1"/>
  <c r="F33" i="39"/>
  <c r="AA33" i="39" s="1"/>
  <c r="H33" i="39"/>
  <c r="U33" i="39" s="1"/>
  <c r="J33" i="39"/>
  <c r="AC33" i="39" s="1"/>
  <c r="F46" i="39"/>
  <c r="S46" i="39" s="1"/>
  <c r="H46" i="39"/>
  <c r="U46" i="39" s="1"/>
  <c r="J46" i="39"/>
  <c r="W46" i="39" s="1"/>
  <c r="E102" i="39"/>
  <c r="F34" i="39"/>
  <c r="AA34" i="39" s="1"/>
  <c r="H34" i="39"/>
  <c r="AB34" i="39" s="1"/>
  <c r="J34" i="39"/>
  <c r="AC34" i="39" s="1"/>
  <c r="F39" i="39"/>
  <c r="H39" i="39"/>
  <c r="AB39" i="39" s="1"/>
  <c r="J39" i="39"/>
  <c r="F37" i="39"/>
  <c r="S37" i="39" s="1"/>
  <c r="H37" i="39"/>
  <c r="U37" i="39" s="1"/>
  <c r="J37" i="39"/>
  <c r="W37" i="39" s="1"/>
  <c r="BL536" i="3"/>
  <c r="BA530" i="3"/>
  <c r="BA499" i="3"/>
  <c r="BA494" i="3"/>
  <c r="BL489" i="3"/>
  <c r="BA483"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B10" i="21"/>
  <c r="AB8" i="21"/>
  <c r="AB8" i="33"/>
  <c r="E106" i="33"/>
  <c r="F106" i="33" s="1"/>
  <c r="G106" i="33" s="1"/>
  <c r="H106" i="33" s="1"/>
  <c r="I106" i="33" s="1"/>
  <c r="J106" i="33" s="1"/>
  <c r="K106" i="33" s="1"/>
  <c r="L106" i="33" s="1"/>
  <c r="M106" i="33" s="1"/>
  <c r="H34" i="33"/>
  <c r="U34" i="33" s="1"/>
  <c r="F34" i="33"/>
  <c r="F41" i="33"/>
  <c r="S41" i="33" s="1"/>
  <c r="AA39" i="34"/>
  <c r="S39" i="34"/>
  <c r="S43" i="34"/>
  <c r="F15" i="34"/>
  <c r="S15" i="34" s="1"/>
  <c r="W28" i="35"/>
  <c r="H22" i="35"/>
  <c r="AB22" i="35" s="1"/>
  <c r="F23" i="35"/>
  <c r="S8" i="37"/>
  <c r="AA8" i="37"/>
  <c r="F14" i="39"/>
  <c r="AA14" i="39" s="1"/>
  <c r="H14" i="39"/>
  <c r="AB14" i="39" s="1"/>
  <c r="J14" i="39"/>
  <c r="AC14" i="39" s="1"/>
  <c r="F16" i="39"/>
  <c r="AA16" i="39" s="1"/>
  <c r="E91" i="40"/>
  <c r="F91" i="40" s="1"/>
  <c r="G91" i="40" s="1"/>
  <c r="H23" i="40"/>
  <c r="U23" i="40" s="1"/>
  <c r="F41" i="40"/>
  <c r="H36" i="33"/>
  <c r="AB36" i="33" s="1"/>
  <c r="H37" i="34"/>
  <c r="F15" i="39"/>
  <c r="AA15" i="39" s="1"/>
  <c r="H15" i="39"/>
  <c r="AB15" i="39" s="1"/>
  <c r="J15" i="39"/>
  <c r="AC15" i="39" s="1"/>
  <c r="F45" i="39"/>
  <c r="AA45" i="39" s="1"/>
  <c r="H45" i="39"/>
  <c r="U45" i="39" s="1"/>
  <c r="F47" i="39"/>
  <c r="AA47" i="39" s="1"/>
  <c r="H47" i="39"/>
  <c r="AB47" i="39" s="1"/>
  <c r="J47" i="39"/>
  <c r="W47" i="39" s="1"/>
  <c r="J41" i="39"/>
  <c r="AC41" i="39" s="1"/>
  <c r="J25" i="40"/>
  <c r="AC25" i="40" s="1"/>
  <c r="J32" i="40"/>
  <c r="AC32" i="40" s="1"/>
  <c r="H32" i="40"/>
  <c r="U32" i="40" s="1"/>
  <c r="H33" i="40"/>
  <c r="F33" i="40"/>
  <c r="AA33" i="40" s="1"/>
  <c r="J38" i="39"/>
  <c r="W38" i="39" s="1"/>
  <c r="H38" i="39"/>
  <c r="J14" i="40"/>
  <c r="W14" i="40" s="1"/>
  <c r="H42" i="40"/>
  <c r="AB42" i="40" s="1"/>
  <c r="H40" i="40"/>
  <c r="H34" i="40"/>
  <c r="U34" i="40"/>
  <c r="B41" i="1"/>
  <c r="J42" i="40"/>
  <c r="AC42" i="40" s="1"/>
  <c r="J40" i="40"/>
  <c r="W40" i="40" s="1"/>
  <c r="AC40" i="40"/>
  <c r="J34" i="40"/>
  <c r="AC34" i="40" s="1"/>
  <c r="H16" i="40"/>
  <c r="AB16" i="40" s="1"/>
  <c r="H14" i="40"/>
  <c r="U14" i="40" s="1"/>
  <c r="F32" i="40"/>
  <c r="AA32" i="40" s="1"/>
  <c r="F61" i="46"/>
  <c r="H61" i="46" s="1"/>
  <c r="F72" i="46"/>
  <c r="H74" i="46" s="1"/>
  <c r="J13" i="40"/>
  <c r="W13" i="40" s="1"/>
  <c r="AB14" i="40"/>
  <c r="U37" i="34"/>
  <c r="AB37" i="34"/>
  <c r="J23" i="40"/>
  <c r="AC23" i="40" s="1"/>
  <c r="F23" i="40"/>
  <c r="S23" i="40" s="1"/>
  <c r="H15" i="34"/>
  <c r="AB15" i="34" s="1"/>
  <c r="J15" i="34"/>
  <c r="AC15" i="34" s="1"/>
  <c r="H41" i="33"/>
  <c r="U41" i="33" s="1"/>
  <c r="F30" i="40"/>
  <c r="U39" i="39"/>
  <c r="F33" i="37"/>
  <c r="AA33" i="37" s="1"/>
  <c r="U46" i="34"/>
  <c r="H15" i="33"/>
  <c r="U15" i="33" s="1"/>
  <c r="AA11" i="33"/>
  <c r="AB34" i="40"/>
  <c r="H25" i="40"/>
  <c r="AB25" i="40" s="1"/>
  <c r="J37" i="34"/>
  <c r="AC37" i="34" s="1"/>
  <c r="J36" i="33"/>
  <c r="W36" i="33" s="1"/>
  <c r="AB23" i="40"/>
  <c r="J34" i="33"/>
  <c r="AC34" i="33" s="1"/>
  <c r="U30" i="40"/>
  <c r="AC39" i="39"/>
  <c r="W39" i="39"/>
  <c r="U34"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F17" i="34"/>
  <c r="AA17" i="34" s="1"/>
  <c r="J17" i="34"/>
  <c r="AC17" i="34" s="1"/>
  <c r="H11" i="34"/>
  <c r="AB11" i="34" s="1"/>
  <c r="J35" i="33"/>
  <c r="W35" i="33" s="1"/>
  <c r="H11" i="33"/>
  <c r="U11" i="33" s="1"/>
  <c r="H10" i="33"/>
  <c r="U10" i="33" s="1"/>
  <c r="J10" i="33"/>
  <c r="W10" i="33" s="1"/>
  <c r="U11" i="37"/>
  <c r="J11" i="34"/>
  <c r="W11" i="34" s="1"/>
  <c r="AC36" i="33"/>
  <c r="F25" i="40"/>
  <c r="AA25" i="40" s="1"/>
  <c r="J11" i="33"/>
  <c r="W11" i="33" s="1"/>
  <c r="H33" i="37"/>
  <c r="AB33" i="37" s="1"/>
  <c r="B11" i="1"/>
  <c r="E11" i="1" s="1"/>
  <c r="K11" i="1"/>
  <c r="M11" i="1" s="1"/>
  <c r="B9" i="1"/>
  <c r="E9" i="1" s="1"/>
  <c r="AP6" i="1"/>
  <c r="AA28" i="36"/>
  <c r="H20" i="36"/>
  <c r="U20" i="36" s="1"/>
  <c r="F68" i="36"/>
  <c r="G68" i="36" s="1"/>
  <c r="J20" i="36"/>
  <c r="AC20" i="36" s="1"/>
  <c r="F20" i="36"/>
  <c r="F62" i="36"/>
  <c r="G62" i="36" s="1"/>
  <c r="J14" i="36"/>
  <c r="AC14" i="36" s="1"/>
  <c r="H14" i="36"/>
  <c r="AB14" i="36" s="1"/>
  <c r="F14" i="36"/>
  <c r="AA14" i="36" s="1"/>
  <c r="U27" i="36"/>
  <c r="S16" i="36"/>
  <c r="S29" i="36"/>
  <c r="AC18" i="35"/>
  <c r="W18" i="35"/>
  <c r="U18" i="35"/>
  <c r="AB18" i="35"/>
  <c r="S27" i="35"/>
  <c r="S17" i="37"/>
  <c r="S33" i="37"/>
  <c r="J33" i="37"/>
  <c r="W33" i="37" s="1"/>
  <c r="S29" i="37"/>
  <c r="J19" i="37"/>
  <c r="AC19" i="37" s="1"/>
  <c r="G75" i="37"/>
  <c r="F19" i="37"/>
  <c r="AA19" i="37" s="1"/>
  <c r="H19" i="37"/>
  <c r="J17" i="37"/>
  <c r="W17" i="37" s="1"/>
  <c r="S15" i="37"/>
  <c r="AC21" i="37"/>
  <c r="W21" i="37"/>
  <c r="W32" i="37"/>
  <c r="U35" i="37"/>
  <c r="AB21" i="37"/>
  <c r="U21" i="37"/>
  <c r="S37" i="37"/>
  <c r="AA11" i="37"/>
  <c r="AA40" i="34"/>
  <c r="W33" i="34"/>
  <c r="AA12" i="34"/>
  <c r="AC35" i="34"/>
  <c r="AA33" i="34"/>
  <c r="U34" i="34"/>
  <c r="AA27" i="34"/>
  <c r="J25" i="34"/>
  <c r="W25" i="34" s="1"/>
  <c r="H25" i="34"/>
  <c r="U25" i="34" s="1"/>
  <c r="F25" i="34"/>
  <c r="J23" i="34"/>
  <c r="F86" i="34"/>
  <c r="G86" i="34" s="1"/>
  <c r="F23" i="34"/>
  <c r="AA23" i="34" s="1"/>
  <c r="H23" i="34"/>
  <c r="W17" i="34"/>
  <c r="U11" i="34"/>
  <c r="W44" i="34"/>
  <c r="W19" i="34"/>
  <c r="AC21" i="34"/>
  <c r="W21" i="34"/>
  <c r="U15" i="34"/>
  <c r="AB21" i="34"/>
  <c r="U21" i="34"/>
  <c r="AB41" i="34"/>
  <c r="U39" i="33"/>
  <c r="S35" i="33"/>
  <c r="AB41" i="33"/>
  <c r="W43" i="33"/>
  <c r="U46" i="33"/>
  <c r="W39" i="33"/>
  <c r="U35" i="33"/>
  <c r="W26" i="33"/>
  <c r="H25" i="33"/>
  <c r="AB25" i="33" s="1"/>
  <c r="J25" i="33"/>
  <c r="W25" i="33" s="1"/>
  <c r="F25" i="33"/>
  <c r="AA25" i="33" s="1"/>
  <c r="F85" i="33"/>
  <c r="G85" i="33" s="1"/>
  <c r="J23" i="33"/>
  <c r="W23" i="33" s="1"/>
  <c r="F23" i="33"/>
  <c r="AA23" i="33" s="1"/>
  <c r="H23" i="33"/>
  <c r="AB23" i="33" s="1"/>
  <c r="U19" i="33"/>
  <c r="F17" i="33"/>
  <c r="S17" i="33" s="1"/>
  <c r="H17" i="33"/>
  <c r="J17" i="33"/>
  <c r="AB15" i="33"/>
  <c r="AC21" i="33"/>
  <c r="W21" i="33"/>
  <c r="W14" i="33"/>
  <c r="AB21" i="33"/>
  <c r="U21" i="33"/>
  <c r="AA21" i="33"/>
  <c r="S21" i="33"/>
  <c r="AA36" i="33"/>
  <c r="AC26" i="21"/>
  <c r="W13" i="21"/>
  <c r="AA11" i="21"/>
  <c r="AC21" i="21"/>
  <c r="W21" i="21"/>
  <c r="W10" i="21"/>
  <c r="AB21" i="21"/>
  <c r="U21" i="21"/>
  <c r="S14" i="40"/>
  <c r="AB13" i="40"/>
  <c r="W11" i="40"/>
  <c r="U21" i="40"/>
  <c r="F37" i="40"/>
  <c r="S37" i="40" s="1"/>
  <c r="J37" i="40"/>
  <c r="AC37" i="40" s="1"/>
  <c r="H37" i="40"/>
  <c r="F39" i="40"/>
  <c r="S39" i="40" s="1"/>
  <c r="H39" i="40"/>
  <c r="U39" i="40" s="1"/>
  <c r="J39" i="40"/>
  <c r="W39" i="40" s="1"/>
  <c r="W38" i="40"/>
  <c r="H29" i="40"/>
  <c r="U29" i="40" s="1"/>
  <c r="J29" i="40"/>
  <c r="F97" i="40"/>
  <c r="G97" i="40" s="1"/>
  <c r="H97" i="40" s="1"/>
  <c r="I97" i="40" s="1"/>
  <c r="J97" i="40" s="1"/>
  <c r="K97" i="40" s="1"/>
  <c r="L97" i="40" s="1"/>
  <c r="M97" i="40" s="1"/>
  <c r="S25" i="40"/>
  <c r="AA23" i="40"/>
  <c r="F19" i="40"/>
  <c r="AA19" i="40" s="1"/>
  <c r="H19" i="40"/>
  <c r="J19" i="40"/>
  <c r="AC19" i="40" s="1"/>
  <c r="W17" i="40"/>
  <c r="AC17" i="40"/>
  <c r="F17" i="40"/>
  <c r="AA17" i="40" s="1"/>
  <c r="H17" i="40"/>
  <c r="U17" i="40" s="1"/>
  <c r="W21" i="40"/>
  <c r="U10" i="40"/>
  <c r="U27" i="40"/>
  <c r="AB27" i="40"/>
  <c r="U11" i="39"/>
  <c r="U31" i="39"/>
  <c r="AB31" i="39"/>
  <c r="D96" i="9"/>
  <c r="A18" i="64"/>
  <c r="B74" i="63" s="1"/>
  <c r="C53" i="10"/>
  <c r="A25" i="64" s="1"/>
  <c r="A18" i="51"/>
  <c r="B14" i="63" s="1"/>
  <c r="BA16" i="3"/>
  <c r="AZ16" i="3" s="1"/>
  <c r="BA17" i="3"/>
  <c r="AZ17" i="3" s="1"/>
  <c r="BL18" i="3"/>
  <c r="AZ18" i="3" s="1"/>
  <c r="BL16" i="3"/>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B46" i="50"/>
  <c r="B4" i="63" s="1"/>
  <c r="H89" i="46"/>
  <c r="H85" i="46"/>
  <c r="H90" i="46"/>
  <c r="H88" i="46"/>
  <c r="H86" i="46"/>
  <c r="S13" i="1"/>
  <c r="R13" i="1"/>
  <c r="B6" i="1"/>
  <c r="E6" i="1" s="1"/>
  <c r="B10" i="1"/>
  <c r="E10" i="1" s="1"/>
  <c r="B8" i="1"/>
  <c r="E8" i="1" s="1"/>
  <c r="B12" i="1"/>
  <c r="E12" i="1" s="1"/>
  <c r="G1" i="15"/>
  <c r="F66" i="36"/>
  <c r="G66" i="36" s="1"/>
  <c r="H18" i="36"/>
  <c r="U18" i="36" s="1"/>
  <c r="AA34" i="36"/>
  <c r="W28" i="36"/>
  <c r="AA32" i="36"/>
  <c r="U13" i="36"/>
  <c r="W29" i="36"/>
  <c r="W9" i="36"/>
  <c r="U32" i="35"/>
  <c r="W22" i="35"/>
  <c r="S32" i="35"/>
  <c r="U33" i="37"/>
  <c r="AC15" i="37"/>
  <c r="AA13" i="37"/>
  <c r="U38" i="37"/>
  <c r="AA31" i="34"/>
  <c r="S19" i="34"/>
  <c r="S8" i="34"/>
  <c r="S43" i="33"/>
  <c r="S26" i="33"/>
  <c r="S15" i="33"/>
  <c r="AB45" i="21"/>
  <c r="S27" i="21"/>
  <c r="W29" i="21"/>
  <c r="G95" i="40"/>
  <c r="J27" i="40"/>
  <c r="W27" i="40" s="1"/>
  <c r="W37" i="40"/>
  <c r="W30" i="40"/>
  <c r="S34" i="40"/>
  <c r="U38" i="40"/>
  <c r="S40" i="40"/>
  <c r="S42" i="40"/>
  <c r="G104" i="39"/>
  <c r="J31" i="39"/>
  <c r="W31" i="39" s="1"/>
  <c r="S45" i="39"/>
  <c r="AC46" i="39"/>
  <c r="W10" i="39"/>
  <c r="W11" i="39"/>
  <c r="C17" i="40"/>
  <c r="C19" i="40"/>
  <c r="C19" i="39"/>
  <c r="C21" i="39"/>
  <c r="C23" i="40"/>
  <c r="B54" i="46"/>
  <c r="B65" i="46"/>
  <c r="B69" i="46"/>
  <c r="B56" i="46"/>
  <c r="B67" i="46"/>
  <c r="D24" i="15"/>
  <c r="S14" i="36"/>
  <c r="AB20" i="36"/>
  <c r="W14" i="36"/>
  <c r="U14" i="36"/>
  <c r="AB25" i="34"/>
  <c r="AA25" i="34"/>
  <c r="S25" i="34"/>
  <c r="U23" i="34"/>
  <c r="AB23" i="34"/>
  <c r="S25" i="33"/>
  <c r="U23" i="33"/>
  <c r="AA17" i="33"/>
  <c r="U17" i="33"/>
  <c r="AB17" i="33"/>
  <c r="U37" i="40"/>
  <c r="AB37" i="40"/>
  <c r="AA37" i="40"/>
  <c r="J18" i="36"/>
  <c r="L20" i="6"/>
  <c r="C45" i="9"/>
  <c r="B7" i="66" s="1"/>
  <c r="B8" i="66"/>
  <c r="J21" i="46"/>
  <c r="F38" i="46"/>
  <c r="F41" i="46"/>
  <c r="F40" i="46"/>
  <c r="H117" i="46"/>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F6" i="15"/>
  <c r="M8" i="15"/>
  <c r="F10" i="67"/>
  <c r="F8" i="15"/>
  <c r="B13" i="67"/>
  <c r="B14" i="67"/>
  <c r="F26" i="15"/>
  <c r="F9" i="15"/>
  <c r="J4" i="65"/>
  <c r="F13" i="15"/>
  <c r="N4" i="65"/>
  <c r="F40" i="15"/>
  <c r="M9" i="15"/>
  <c r="M22" i="15"/>
  <c r="N5" i="65"/>
  <c r="N7" i="65"/>
  <c r="E10" i="67"/>
  <c r="M28" i="15"/>
  <c r="J6" i="65"/>
  <c r="B10" i="67"/>
  <c r="E12" i="67"/>
  <c r="J15" i="15"/>
  <c r="I6" i="65"/>
  <c r="N6" i="65"/>
  <c r="I5" i="65"/>
  <c r="F12" i="67"/>
  <c r="E14" i="67"/>
  <c r="B12" i="67"/>
  <c r="E13" i="67"/>
  <c r="F13" i="67"/>
  <c r="F14" i="67"/>
  <c r="I4" i="65"/>
  <c r="N3" i="65"/>
  <c r="E11" i="67"/>
  <c r="B11" i="67"/>
  <c r="F11" i="67"/>
  <c r="J5" i="65"/>
  <c r="AC23" i="34" l="1"/>
  <c r="W23" i="34"/>
  <c r="AA41" i="40"/>
  <c r="S41" i="40"/>
  <c r="AA45" i="34"/>
  <c r="S45" i="34"/>
  <c r="AC44" i="33"/>
  <c r="W44" i="33"/>
  <c r="U14" i="33"/>
  <c r="AB14" i="33"/>
  <c r="AB32" i="36"/>
  <c r="U32" i="36"/>
  <c r="AB29" i="35"/>
  <c r="U29" i="35"/>
  <c r="BL530" i="3"/>
  <c r="AZ530" i="3" s="1"/>
  <c r="BA522" i="3"/>
  <c r="BA512" i="3"/>
  <c r="BA508" i="3"/>
  <c r="BA507" i="3"/>
  <c r="U32" i="34"/>
  <c r="AB33" i="40"/>
  <c r="U33" i="40"/>
  <c r="S34" i="33"/>
  <c r="AA34" i="33"/>
  <c r="S39" i="39"/>
  <c r="AA39" i="39"/>
  <c r="AB32" i="37"/>
  <c r="U32" i="37"/>
  <c r="AC36" i="35"/>
  <c r="W36" i="35"/>
  <c r="H9" i="35"/>
  <c r="F9" i="35"/>
  <c r="H45" i="33"/>
  <c r="J45" i="33"/>
  <c r="F14" i="34"/>
  <c r="J14" i="34"/>
  <c r="H14" i="34"/>
  <c r="J32" i="34"/>
  <c r="F32" i="34"/>
  <c r="AB12" i="35"/>
  <c r="U12" i="35"/>
  <c r="J24" i="35"/>
  <c r="H24" i="35"/>
  <c r="H36" i="35"/>
  <c r="F36" i="35"/>
  <c r="U30" i="35"/>
  <c r="AB30" i="35"/>
  <c r="AC8" i="36"/>
  <c r="W8" i="36"/>
  <c r="AB23" i="36"/>
  <c r="U23" i="36"/>
  <c r="AB31" i="36"/>
  <c r="U31" i="36"/>
  <c r="AC35" i="37"/>
  <c r="W35" i="37"/>
  <c r="H25" i="37"/>
  <c r="J25" i="37"/>
  <c r="F25" i="37"/>
  <c r="J41" i="40"/>
  <c r="AC41" i="40" s="1"/>
  <c r="H41" i="40"/>
  <c r="AA37" i="33"/>
  <c r="S37" i="33"/>
  <c r="H87" i="35"/>
  <c r="I87" i="35" s="1"/>
  <c r="J87" i="35" s="1"/>
  <c r="K87" i="35" s="1"/>
  <c r="L87" i="35" s="1"/>
  <c r="M87" i="35" s="1"/>
  <c r="J29" i="35"/>
  <c r="AC29" i="35" s="1"/>
  <c r="W30" i="36"/>
  <c r="AC30" i="36"/>
  <c r="BL569" i="3"/>
  <c r="BA569" i="3"/>
  <c r="BA568" i="3"/>
  <c r="AZ568" i="3" s="1"/>
  <c r="BL567" i="3"/>
  <c r="BA566" i="3"/>
  <c r="BL565" i="3"/>
  <c r="BA564" i="3"/>
  <c r="BA560" i="3"/>
  <c r="BA559" i="3"/>
  <c r="BA558" i="3"/>
  <c r="BL557" i="3"/>
  <c r="BA557" i="3"/>
  <c r="BL555" i="3"/>
  <c r="BA555" i="3"/>
  <c r="BA554" i="3"/>
  <c r="BA552" i="3"/>
  <c r="BL551" i="3"/>
  <c r="BA550" i="3"/>
  <c r="BL549" i="3"/>
  <c r="AZ549" i="3" s="1"/>
  <c r="BA549" i="3"/>
  <c r="BA548" i="3"/>
  <c r="BL547" i="3"/>
  <c r="AZ547" i="3" s="1"/>
  <c r="BA547" i="3"/>
  <c r="BL545" i="3"/>
  <c r="BA545" i="3"/>
  <c r="BA544" i="3"/>
  <c r="BL543" i="3"/>
  <c r="BA543" i="3"/>
  <c r="BA534" i="3"/>
  <c r="BL533" i="3"/>
  <c r="BL531" i="3"/>
  <c r="BA531" i="3"/>
  <c r="AA30" i="40"/>
  <c r="S30" i="40"/>
  <c r="W27" i="36"/>
  <c r="AC27" i="36"/>
  <c r="BL529" i="3"/>
  <c r="BA528" i="3"/>
  <c r="BA506" i="3"/>
  <c r="BA504" i="3"/>
  <c r="AZ485" i="3"/>
  <c r="AA23" i="35"/>
  <c r="S23" i="35"/>
  <c r="AB16" i="36"/>
  <c r="U16" i="36"/>
  <c r="AA14" i="21"/>
  <c r="S14" i="21"/>
  <c r="W27" i="35"/>
  <c r="AC27" i="35"/>
  <c r="AB26" i="36"/>
  <c r="U26" i="36"/>
  <c r="H33" i="36"/>
  <c r="J33" i="36"/>
  <c r="W33" i="36" s="1"/>
  <c r="AB8" i="37"/>
  <c r="U8" i="37"/>
  <c r="AB30" i="37"/>
  <c r="U30" i="37"/>
  <c r="F9" i="37"/>
  <c r="J9" i="37"/>
  <c r="H27" i="37"/>
  <c r="J27" i="37"/>
  <c r="J16" i="39"/>
  <c r="AC16" i="39" s="1"/>
  <c r="H16" i="39"/>
  <c r="H44" i="39"/>
  <c r="U44" i="39" s="1"/>
  <c r="F44" i="39"/>
  <c r="S44" i="39" s="1"/>
  <c r="E121" i="39"/>
  <c r="F121" i="39" s="1"/>
  <c r="G121" i="39" s="1"/>
  <c r="H121" i="39" s="1"/>
  <c r="I121" i="39" s="1"/>
  <c r="J121" i="39" s="1"/>
  <c r="K121" i="39" s="1"/>
  <c r="L121" i="39" s="1"/>
  <c r="M121" i="39" s="1"/>
  <c r="F41" i="39"/>
  <c r="AA41" i="39" s="1"/>
  <c r="H41" i="39"/>
  <c r="AB41" i="39" s="1"/>
  <c r="F15" i="40"/>
  <c r="J15" i="40"/>
  <c r="W15" i="40" s="1"/>
  <c r="H35" i="40"/>
  <c r="J35" i="40"/>
  <c r="AC35" i="40" s="1"/>
  <c r="S40" i="33"/>
  <c r="AA40" i="33"/>
  <c r="W18" i="36"/>
  <c r="AC18" i="36"/>
  <c r="U38" i="39"/>
  <c r="AB38" i="39"/>
  <c r="F29" i="35"/>
  <c r="S29" i="35" s="1"/>
  <c r="AB15" i="37"/>
  <c r="U15" i="37"/>
  <c r="H9" i="37"/>
  <c r="S29" i="21"/>
  <c r="AA29" i="21"/>
  <c r="U36" i="34"/>
  <c r="AB36" i="34"/>
  <c r="AZ528" i="3"/>
  <c r="W13" i="37"/>
  <c r="U19" i="40"/>
  <c r="AB19" i="40"/>
  <c r="W17" i="33"/>
  <c r="AC17" i="33"/>
  <c r="AC25" i="36"/>
  <c r="S21" i="40"/>
  <c r="AA21" i="40"/>
  <c r="F24" i="35"/>
  <c r="AA24" i="35" s="1"/>
  <c r="S41" i="34"/>
  <c r="AA41" i="34"/>
  <c r="BL560" i="3"/>
  <c r="AZ560" i="3" s="1"/>
  <c r="F45" i="33"/>
  <c r="S36" i="34"/>
  <c r="AA36" i="34"/>
  <c r="H28" i="33"/>
  <c r="U28" i="33" s="1"/>
  <c r="F28" i="33"/>
  <c r="AC34" i="34"/>
  <c r="W34" i="34"/>
  <c r="AC39" i="34"/>
  <c r="W39" i="34"/>
  <c r="AB44" i="34"/>
  <c r="U44" i="34"/>
  <c r="BL487" i="3"/>
  <c r="AZ487" i="3" s="1"/>
  <c r="AB19" i="37"/>
  <c r="U19" i="37"/>
  <c r="U40" i="40"/>
  <c r="AB40" i="40"/>
  <c r="BB5" i="3"/>
  <c r="F102" i="39"/>
  <c r="J29" i="39"/>
  <c r="AC29" i="39" s="1"/>
  <c r="AB40" i="21"/>
  <c r="U40" i="21"/>
  <c r="W40" i="34"/>
  <c r="AC40" i="34"/>
  <c r="AZ379" i="3"/>
  <c r="AZ363" i="3"/>
  <c r="U35" i="34"/>
  <c r="AB35" i="34"/>
  <c r="BL486" i="3"/>
  <c r="AB25" i="35"/>
  <c r="U25" i="35"/>
  <c r="S27" i="36"/>
  <c r="AA27" i="36"/>
  <c r="W14" i="21"/>
  <c r="AC14" i="21"/>
  <c r="AA26" i="21"/>
  <c r="S26" i="21"/>
  <c r="H14" i="37"/>
  <c r="J14" i="37"/>
  <c r="F16" i="40"/>
  <c r="J16" i="40"/>
  <c r="W16" i="40" s="1"/>
  <c r="AA31" i="35"/>
  <c r="S31" i="35"/>
  <c r="AA38" i="39"/>
  <c r="S38" i="39"/>
  <c r="BA567" i="3"/>
  <c r="BA563" i="3"/>
  <c r="BL559" i="3"/>
  <c r="BA556" i="3"/>
  <c r="G556" i="3"/>
  <c r="W19" i="40"/>
  <c r="AC39" i="40"/>
  <c r="W29" i="40"/>
  <c r="AC29" i="40"/>
  <c r="W37" i="34"/>
  <c r="AA11" i="34"/>
  <c r="U13" i="33"/>
  <c r="S40" i="21"/>
  <c r="AA40" i="21"/>
  <c r="W11" i="37"/>
  <c r="AC11" i="37"/>
  <c r="AC12" i="37"/>
  <c r="W12" i="37"/>
  <c r="AA23" i="37"/>
  <c r="U42" i="33"/>
  <c r="AB42" i="33"/>
  <c r="S22" i="36"/>
  <c r="AA22" i="36"/>
  <c r="BL502" i="3"/>
  <c r="BL538" i="3"/>
  <c r="W11" i="36"/>
  <c r="AC11" i="36"/>
  <c r="W45" i="21"/>
  <c r="AC45" i="21"/>
  <c r="AA46" i="21"/>
  <c r="S46" i="21"/>
  <c r="W11" i="21"/>
  <c r="AC11" i="21"/>
  <c r="BC5" i="3"/>
  <c r="BL571" i="3"/>
  <c r="BA571" i="3"/>
  <c r="BL570" i="3"/>
  <c r="BP5" i="3"/>
  <c r="J27" i="21"/>
  <c r="H27" i="21"/>
  <c r="H31" i="21"/>
  <c r="U31" i="21" s="1"/>
  <c r="J31" i="21"/>
  <c r="F28" i="34"/>
  <c r="J28" i="34"/>
  <c r="W28" i="34" s="1"/>
  <c r="H28" i="34"/>
  <c r="AA12" i="37"/>
  <c r="S12" i="37"/>
  <c r="BA503" i="3"/>
  <c r="AZ503" i="3" s="1"/>
  <c r="BL494" i="3"/>
  <c r="AZ19" i="3"/>
  <c r="S20" i="36"/>
  <c r="AA20" i="36"/>
  <c r="S26" i="36"/>
  <c r="AA26" i="36"/>
  <c r="AB30" i="34"/>
  <c r="U30" i="34"/>
  <c r="AZ347" i="3"/>
  <c r="AZ338" i="3"/>
  <c r="AZ361" i="3"/>
  <c r="U25" i="21"/>
  <c r="AB25" i="21"/>
  <c r="BL482" i="3"/>
  <c r="AZ482" i="3" s="1"/>
  <c r="BL496" i="3"/>
  <c r="BL508" i="3"/>
  <c r="BL516" i="3"/>
  <c r="BL532" i="3"/>
  <c r="BL558" i="3"/>
  <c r="S44" i="33"/>
  <c r="AA44" i="33"/>
  <c r="W32" i="36"/>
  <c r="AC32" i="36"/>
  <c r="S31" i="21"/>
  <c r="AA31" i="21"/>
  <c r="C23" i="39"/>
  <c r="H9" i="21"/>
  <c r="AB9" i="21" s="1"/>
  <c r="F70" i="35"/>
  <c r="H20" i="35"/>
  <c r="U20" i="35" s="1"/>
  <c r="J23" i="35"/>
  <c r="H23" i="35"/>
  <c r="W26" i="36"/>
  <c r="AC26" i="36"/>
  <c r="BA542" i="3"/>
  <c r="BL541" i="3"/>
  <c r="BA541" i="3"/>
  <c r="BA540" i="3"/>
  <c r="BL539" i="3"/>
  <c r="BA539" i="3"/>
  <c r="G539" i="3"/>
  <c r="BA538" i="3"/>
  <c r="AZ538" i="3" s="1"/>
  <c r="BL537" i="3"/>
  <c r="BA537" i="3"/>
  <c r="BA536" i="3"/>
  <c r="BA535" i="3"/>
  <c r="AZ535" i="3" s="1"/>
  <c r="BA533" i="3"/>
  <c r="AZ533" i="3" s="1"/>
  <c r="BA515" i="3"/>
  <c r="BA501" i="3"/>
  <c r="BL497" i="3"/>
  <c r="AZ497" i="3" s="1"/>
  <c r="BL491" i="3"/>
  <c r="AZ491" i="3" s="1"/>
  <c r="BA565" i="3"/>
  <c r="BL561" i="3"/>
  <c r="BA551" i="3"/>
  <c r="BA546" i="3"/>
  <c r="H14" i="35"/>
  <c r="U14" i="35" s="1"/>
  <c r="AZ373" i="3"/>
  <c r="AC8" i="37"/>
  <c r="BL20" i="3"/>
  <c r="BL488" i="3"/>
  <c r="BL500" i="3"/>
  <c r="AZ500" i="3" s="1"/>
  <c r="BL534" i="3"/>
  <c r="BL548" i="3"/>
  <c r="AZ548" i="3" s="1"/>
  <c r="BL556" i="3"/>
  <c r="BL564" i="3"/>
  <c r="H26" i="33"/>
  <c r="F44" i="21"/>
  <c r="AB40" i="34"/>
  <c r="F24" i="36"/>
  <c r="AA24" i="36" s="1"/>
  <c r="AC35" i="21"/>
  <c r="S33" i="33"/>
  <c r="D68" i="59"/>
  <c r="O68" i="59"/>
  <c r="C67" i="59"/>
  <c r="O66" i="59" s="1"/>
  <c r="BL527" i="3"/>
  <c r="BA527" i="3"/>
  <c r="AZ527" i="3" s="1"/>
  <c r="BA526" i="3"/>
  <c r="BL525" i="3"/>
  <c r="BA525" i="3"/>
  <c r="BA524" i="3"/>
  <c r="AA3" i="59"/>
  <c r="G19" i="3"/>
  <c r="BL410" i="3"/>
  <c r="BL226" i="3"/>
  <c r="G245" i="3"/>
  <c r="BA245" i="3"/>
  <c r="BL247" i="3"/>
  <c r="BL293" i="3"/>
  <c r="BA115" i="3"/>
  <c r="AZ115" i="3" s="1"/>
  <c r="BL117" i="3"/>
  <c r="BA156" i="3"/>
  <c r="G21" i="3"/>
  <c r="BL72" i="3"/>
  <c r="G74" i="3"/>
  <c r="C87" i="59"/>
  <c r="D87" i="59" s="1"/>
  <c r="O69" i="59"/>
  <c r="AB35" i="59"/>
  <c r="AB37" i="59"/>
  <c r="E40" i="59"/>
  <c r="E41" i="59" s="1"/>
  <c r="BL523" i="3"/>
  <c r="BA523" i="3"/>
  <c r="BL522" i="3"/>
  <c r="AZ522" i="3" s="1"/>
  <c r="BL521" i="3"/>
  <c r="BA521" i="3"/>
  <c r="G521" i="3"/>
  <c r="BA520" i="3"/>
  <c r="BL519" i="3"/>
  <c r="BA519" i="3"/>
  <c r="G519" i="3"/>
  <c r="BL518" i="3"/>
  <c r="BA518" i="3"/>
  <c r="BL517" i="3"/>
  <c r="BA517" i="3"/>
  <c r="G517" i="3"/>
  <c r="BK5" i="3"/>
  <c r="BA516" i="3"/>
  <c r="BL515" i="3"/>
  <c r="BJ5" i="3"/>
  <c r="BA514" i="3"/>
  <c r="BO5" i="3"/>
  <c r="BA513" i="3"/>
  <c r="BS5" i="3"/>
  <c r="BL511" i="3"/>
  <c r="BA511" i="3"/>
  <c r="BA510" i="3"/>
  <c r="G510" i="3"/>
  <c r="BL509" i="3"/>
  <c r="BA509" i="3"/>
  <c r="G503" i="3"/>
  <c r="G490" i="3"/>
  <c r="G482" i="3"/>
  <c r="S22" i="31"/>
  <c r="R22" i="31" s="1"/>
  <c r="B21" i="31" s="1"/>
  <c r="G394" i="3"/>
  <c r="G395" i="3"/>
  <c r="BL406" i="3"/>
  <c r="G407" i="3"/>
  <c r="BL426" i="3"/>
  <c r="BL446" i="3"/>
  <c r="BA452" i="3"/>
  <c r="BA315" i="3"/>
  <c r="AZ315" i="3" s="1"/>
  <c r="G320" i="3"/>
  <c r="G336" i="3"/>
  <c r="BA369" i="3"/>
  <c r="G381" i="3"/>
  <c r="G214" i="3"/>
  <c r="G255" i="3"/>
  <c r="G259" i="3"/>
  <c r="G264" i="3"/>
  <c r="G276" i="3"/>
  <c r="G280" i="3"/>
  <c r="G284" i="3"/>
  <c r="G292" i="3"/>
  <c r="G121" i="3"/>
  <c r="G129" i="3"/>
  <c r="G130" i="3"/>
  <c r="G133" i="3"/>
  <c r="BL137" i="3"/>
  <c r="G141" i="3"/>
  <c r="G145" i="3"/>
  <c r="G149" i="3"/>
  <c r="G61" i="3"/>
  <c r="G76" i="3"/>
  <c r="G80" i="3"/>
  <c r="G84" i="3"/>
  <c r="G85" i="3"/>
  <c r="G93" i="3"/>
  <c r="D78" i="46"/>
  <c r="Q69" i="59"/>
  <c r="X35" i="59"/>
  <c r="F9" i="1"/>
  <c r="AP9" i="1" s="1"/>
  <c r="G401" i="3"/>
  <c r="G414" i="3"/>
  <c r="G418" i="3"/>
  <c r="G426" i="3"/>
  <c r="G438" i="3"/>
  <c r="G446" i="3"/>
  <c r="G454" i="3"/>
  <c r="G458" i="3"/>
  <c r="G466" i="3"/>
  <c r="G474" i="3"/>
  <c r="BA480" i="3"/>
  <c r="BA341" i="3"/>
  <c r="AZ341" i="3" s="1"/>
  <c r="BA367" i="3"/>
  <c r="AZ367" i="3" s="1"/>
  <c r="G388" i="3"/>
  <c r="G209" i="3"/>
  <c r="G213" i="3"/>
  <c r="BA228" i="3"/>
  <c r="G229" i="3"/>
  <c r="BA243" i="3"/>
  <c r="G267" i="3"/>
  <c r="G295" i="3"/>
  <c r="G26" i="3"/>
  <c r="BA29" i="3"/>
  <c r="BL30" i="3"/>
  <c r="BL31" i="3"/>
  <c r="BA36" i="3"/>
  <c r="BL98" i="3"/>
  <c r="BA100" i="3"/>
  <c r="BL102" i="3"/>
  <c r="C52" i="59"/>
  <c r="B56" i="59"/>
  <c r="B57" i="59" s="1"/>
  <c r="S57" i="59" s="1"/>
  <c r="S12" i="21"/>
  <c r="AA12" i="21"/>
  <c r="AC44" i="21"/>
  <c r="W44" i="21"/>
  <c r="AA25" i="36"/>
  <c r="S25" i="36"/>
  <c r="U13" i="34"/>
  <c r="AB13" i="34"/>
  <c r="B20" i="31"/>
  <c r="AA15" i="40"/>
  <c r="S15" i="40"/>
  <c r="AB29" i="33"/>
  <c r="U29" i="33"/>
  <c r="AA28" i="37"/>
  <c r="S28" i="37"/>
  <c r="AA40" i="37"/>
  <c r="S40" i="37"/>
  <c r="S28" i="34"/>
  <c r="AA28" i="34"/>
  <c r="AA47" i="34"/>
  <c r="S47" i="34"/>
  <c r="AB35" i="40"/>
  <c r="U35" i="40"/>
  <c r="AZ525" i="3"/>
  <c r="AZ517" i="3"/>
  <c r="AZ571" i="3"/>
  <c r="U29" i="34"/>
  <c r="AB29" i="34"/>
  <c r="S13" i="35"/>
  <c r="AA13" i="35"/>
  <c r="H113" i="21"/>
  <c r="H37" i="21"/>
  <c r="F37" i="21"/>
  <c r="S37" i="21" s="1"/>
  <c r="J37" i="21"/>
  <c r="AZ553" i="3"/>
  <c r="AZ541" i="3"/>
  <c r="AZ519" i="3"/>
  <c r="F79" i="21"/>
  <c r="G79" i="21" s="1"/>
  <c r="J17" i="21"/>
  <c r="AC17" i="21" s="1"/>
  <c r="U45" i="33"/>
  <c r="AB45" i="33"/>
  <c r="AZ515" i="3"/>
  <c r="AZ536" i="3"/>
  <c r="AZ565" i="3"/>
  <c r="BD5" i="3"/>
  <c r="I4" i="6"/>
  <c r="G3" i="46" s="1"/>
  <c r="Z7" i="46" s="1"/>
  <c r="U37" i="33"/>
  <c r="AA30" i="34"/>
  <c r="AC45" i="34"/>
  <c r="AC15" i="33"/>
  <c r="W41" i="40"/>
  <c r="AC12" i="21"/>
  <c r="BL513" i="3"/>
  <c r="AZ563" i="3"/>
  <c r="AC30" i="37"/>
  <c r="BH5" i="3"/>
  <c r="H47" i="34"/>
  <c r="F29" i="34"/>
  <c r="J40" i="37"/>
  <c r="J31" i="33"/>
  <c r="F30" i="21"/>
  <c r="AA38" i="34"/>
  <c r="H43" i="21"/>
  <c r="AB43" i="21" s="1"/>
  <c r="G571" i="3"/>
  <c r="N48" i="39"/>
  <c r="O48" i="39" s="1"/>
  <c r="C64" i="59"/>
  <c r="D63" i="59"/>
  <c r="AB29" i="21"/>
  <c r="U35" i="21"/>
  <c r="W46" i="34"/>
  <c r="S32" i="33"/>
  <c r="U17" i="34"/>
  <c r="H15" i="40"/>
  <c r="AZ494" i="3"/>
  <c r="AZ507" i="3"/>
  <c r="AA33" i="36"/>
  <c r="AC5" i="3"/>
  <c r="S42" i="33"/>
  <c r="AZ358" i="3"/>
  <c r="AZ339" i="3"/>
  <c r="AB19" i="34"/>
  <c r="AC41" i="34"/>
  <c r="BL520" i="3"/>
  <c r="AZ520" i="3" s="1"/>
  <c r="J29" i="34"/>
  <c r="H40" i="37"/>
  <c r="U40" i="37" s="1"/>
  <c r="J29" i="33"/>
  <c r="H30" i="21"/>
  <c r="U30" i="21" s="1"/>
  <c r="S19" i="33"/>
  <c r="AA39" i="37"/>
  <c r="H12" i="21"/>
  <c r="J43" i="21"/>
  <c r="H12" i="36"/>
  <c r="F23" i="36"/>
  <c r="G535" i="3"/>
  <c r="S19" i="40"/>
  <c r="AA39" i="40"/>
  <c r="S23" i="34"/>
  <c r="AC17" i="37"/>
  <c r="C27" i="39"/>
  <c r="W25" i="21"/>
  <c r="AC25" i="33"/>
  <c r="AA13" i="36"/>
  <c r="BN5" i="3"/>
  <c r="W42" i="40"/>
  <c r="AB33" i="34"/>
  <c r="AA31" i="37"/>
  <c r="S46" i="34"/>
  <c r="U11" i="36"/>
  <c r="AA41" i="33"/>
  <c r="W34" i="40"/>
  <c r="W12" i="34"/>
  <c r="AC14" i="40"/>
  <c r="F35" i="40"/>
  <c r="AZ566" i="3"/>
  <c r="F29" i="33"/>
  <c r="AC33" i="36"/>
  <c r="AZ498" i="3"/>
  <c r="AZ508" i="3"/>
  <c r="BL524" i="3"/>
  <c r="BL540" i="3"/>
  <c r="AZ540" i="3" s="1"/>
  <c r="BL546" i="3"/>
  <c r="BL562" i="3"/>
  <c r="AZ562" i="3" s="1"/>
  <c r="U30" i="33"/>
  <c r="H13" i="35"/>
  <c r="J13" i="34"/>
  <c r="U38" i="33"/>
  <c r="G555" i="3"/>
  <c r="C36" i="59"/>
  <c r="D35" i="59"/>
  <c r="AC35" i="33"/>
  <c r="S13" i="34"/>
  <c r="F25" i="39"/>
  <c r="AA25" i="39" s="1"/>
  <c r="BL510" i="3"/>
  <c r="AZ510" i="3" s="1"/>
  <c r="BL526" i="3"/>
  <c r="H28" i="37"/>
  <c r="F9" i="34"/>
  <c r="AZ561" i="3"/>
  <c r="W25" i="40"/>
  <c r="AB37" i="37"/>
  <c r="S29" i="40"/>
  <c r="S23" i="33"/>
  <c r="W38" i="37"/>
  <c r="AB45" i="39"/>
  <c r="AC46" i="21"/>
  <c r="AB34" i="33"/>
  <c r="BL550" i="3"/>
  <c r="J28" i="37"/>
  <c r="H35" i="35"/>
  <c r="H44" i="21"/>
  <c r="S38" i="33"/>
  <c r="J9" i="34"/>
  <c r="AC9" i="34" s="1"/>
  <c r="G527" i="3"/>
  <c r="W36" i="37"/>
  <c r="AB39" i="40"/>
  <c r="AC25" i="34"/>
  <c r="S19" i="37"/>
  <c r="AA46" i="39"/>
  <c r="S24" i="35"/>
  <c r="W28" i="21"/>
  <c r="W34" i="33"/>
  <c r="AC12" i="36"/>
  <c r="BL512" i="3"/>
  <c r="AZ512" i="3" s="1"/>
  <c r="AZ531" i="3"/>
  <c r="S24" i="36"/>
  <c r="AB8" i="34"/>
  <c r="BL514" i="3"/>
  <c r="BL552" i="3"/>
  <c r="AZ552" i="3" s="1"/>
  <c r="F35" i="35"/>
  <c r="J47" i="34"/>
  <c r="S31" i="33"/>
  <c r="F12" i="36"/>
  <c r="BL572" i="3"/>
  <c r="U25" i="36"/>
  <c r="A17" i="51"/>
  <c r="B13" i="63" s="1"/>
  <c r="AB29" i="40"/>
  <c r="S34" i="39"/>
  <c r="AA32" i="37"/>
  <c r="S8" i="36"/>
  <c r="U12" i="34"/>
  <c r="W32" i="33"/>
  <c r="AA11" i="36"/>
  <c r="AZ483" i="3"/>
  <c r="F29" i="39"/>
  <c r="AA29" i="39" s="1"/>
  <c r="AZ486" i="3"/>
  <c r="BL554" i="3"/>
  <c r="AZ554" i="3" s="1"/>
  <c r="BL542" i="3"/>
  <c r="H31" i="33"/>
  <c r="U31" i="33" s="1"/>
  <c r="W43" i="34"/>
  <c r="S10" i="21"/>
  <c r="D43" i="59"/>
  <c r="C44" i="59"/>
  <c r="C45" i="59" s="1"/>
  <c r="G536" i="3"/>
  <c r="G512" i="3"/>
  <c r="G487" i="3"/>
  <c r="G404" i="3"/>
  <c r="BA420" i="3"/>
  <c r="G424" i="3"/>
  <c r="G434" i="3"/>
  <c r="G435" i="3"/>
  <c r="BA440" i="3"/>
  <c r="G444" i="3"/>
  <c r="BA451" i="3"/>
  <c r="BA470" i="3"/>
  <c r="BL472" i="3"/>
  <c r="G473" i="3"/>
  <c r="G315" i="3"/>
  <c r="G367" i="3"/>
  <c r="BL384" i="3"/>
  <c r="G210" i="3"/>
  <c r="G219" i="3"/>
  <c r="BA224" i="3"/>
  <c r="G228" i="3"/>
  <c r="G237" i="3"/>
  <c r="G238" i="3"/>
  <c r="BL238" i="3"/>
  <c r="G247" i="3"/>
  <c r="G257" i="3"/>
  <c r="BA276" i="3"/>
  <c r="BL276" i="3"/>
  <c r="G279" i="3"/>
  <c r="BA287" i="3"/>
  <c r="BL288" i="3"/>
  <c r="G291" i="3"/>
  <c r="G117" i="3"/>
  <c r="G126" i="3"/>
  <c r="BL144" i="3"/>
  <c r="G172" i="3"/>
  <c r="G181" i="3"/>
  <c r="G189" i="3"/>
  <c r="G39" i="3"/>
  <c r="BL53" i="3"/>
  <c r="G55" i="3"/>
  <c r="BA59" i="3"/>
  <c r="BA61" i="3"/>
  <c r="BL63" i="3"/>
  <c r="BA71" i="3"/>
  <c r="G72" i="3"/>
  <c r="G82" i="3"/>
  <c r="BL88" i="3"/>
  <c r="BL89" i="3"/>
  <c r="G102" i="3"/>
  <c r="G110" i="3"/>
  <c r="G111" i="3"/>
  <c r="E80" i="59"/>
  <c r="E79" i="59" s="1"/>
  <c r="U69" i="59"/>
  <c r="F41" i="59"/>
  <c r="V41" i="59" s="1"/>
  <c r="E64" i="59"/>
  <c r="E65" i="59" s="1"/>
  <c r="U65" i="59" s="1"/>
  <c r="G525" i="3"/>
  <c r="G516" i="3"/>
  <c r="BA432" i="3"/>
  <c r="BA459" i="3"/>
  <c r="BL461" i="3"/>
  <c r="BA321" i="3"/>
  <c r="AZ321" i="3" s="1"/>
  <c r="BL351" i="3"/>
  <c r="BA208" i="3"/>
  <c r="BA235" i="3"/>
  <c r="BA251" i="3"/>
  <c r="BL133" i="3"/>
  <c r="BA140" i="3"/>
  <c r="BA67" i="3"/>
  <c r="BA69" i="3"/>
  <c r="B77" i="46"/>
  <c r="C80" i="59"/>
  <c r="P69" i="59"/>
  <c r="D59" i="59"/>
  <c r="Y32" i="59"/>
  <c r="Z32" i="59" s="1"/>
  <c r="AB38" i="59"/>
  <c r="C24" i="59"/>
  <c r="G486" i="3"/>
  <c r="BL390" i="3"/>
  <c r="G402" i="3"/>
  <c r="BA408" i="3"/>
  <c r="G423" i="3"/>
  <c r="G432" i="3"/>
  <c r="G441" i="3"/>
  <c r="G452" i="3"/>
  <c r="BL454" i="3"/>
  <c r="G461" i="3"/>
  <c r="G313" i="3"/>
  <c r="BA318" i="3"/>
  <c r="G331" i="3"/>
  <c r="BL348" i="3"/>
  <c r="AZ348" i="3" s="1"/>
  <c r="G349" i="3"/>
  <c r="G365" i="3"/>
  <c r="BA388" i="3"/>
  <c r="BL207" i="3"/>
  <c r="G208" i="3"/>
  <c r="BA216" i="3"/>
  <c r="G217" i="3"/>
  <c r="G218" i="3"/>
  <c r="G225" i="3"/>
  <c r="BA231" i="3"/>
  <c r="G235" i="3"/>
  <c r="BL272" i="3"/>
  <c r="G275" i="3"/>
  <c r="G290" i="3"/>
  <c r="G170" i="3"/>
  <c r="BL178" i="3"/>
  <c r="AZ178" i="3" s="1"/>
  <c r="G179" i="3"/>
  <c r="G187" i="3"/>
  <c r="G195" i="3"/>
  <c r="BL202" i="3"/>
  <c r="BL203" i="3"/>
  <c r="G29" i="3"/>
  <c r="G37" i="3"/>
  <c r="BA43" i="3"/>
  <c r="G44" i="3"/>
  <c r="G45" i="3"/>
  <c r="G52" i="3"/>
  <c r="G53" i="3"/>
  <c r="G70" i="3"/>
  <c r="G79" i="3"/>
  <c r="BA96" i="3"/>
  <c r="BL96" i="3"/>
  <c r="BL97" i="3"/>
  <c r="G100" i="3"/>
  <c r="C31" i="39"/>
  <c r="AA30" i="59"/>
  <c r="X39" i="59"/>
  <c r="C56" i="59"/>
  <c r="BL400" i="3"/>
  <c r="BL409" i="3"/>
  <c r="BL422" i="3"/>
  <c r="BL430" i="3"/>
  <c r="BL442" i="3"/>
  <c r="BA475" i="3"/>
  <c r="BL477" i="3"/>
  <c r="BA337" i="3"/>
  <c r="AZ337" i="3" s="1"/>
  <c r="BA212" i="3"/>
  <c r="BL215" i="3"/>
  <c r="BA259" i="3"/>
  <c r="BA260" i="3"/>
  <c r="BL260" i="3"/>
  <c r="BL285" i="3"/>
  <c r="BA295" i="3"/>
  <c r="BL296" i="3"/>
  <c r="BL114" i="3"/>
  <c r="AZ114" i="3" s="1"/>
  <c r="BL149" i="3"/>
  <c r="BL160" i="3"/>
  <c r="BL25" i="3"/>
  <c r="BA33" i="3"/>
  <c r="BL34" i="3"/>
  <c r="BL35" i="3"/>
  <c r="BL85" i="3"/>
  <c r="BA104" i="3"/>
  <c r="AB30" i="59"/>
  <c r="AB32" i="59"/>
  <c r="X36" i="59"/>
  <c r="B60" i="59"/>
  <c r="B61" i="59" s="1"/>
  <c r="S61" i="59" s="1"/>
  <c r="S25" i="59"/>
  <c r="G569" i="3"/>
  <c r="G553" i="3"/>
  <c r="G504" i="3"/>
  <c r="G389" i="3"/>
  <c r="G409" i="3"/>
  <c r="BA428" i="3"/>
  <c r="G430" i="3"/>
  <c r="BA437" i="3"/>
  <c r="BL437" i="3"/>
  <c r="BL450" i="3"/>
  <c r="G451" i="3"/>
  <c r="G470" i="3"/>
  <c r="G477" i="3"/>
  <c r="BL302" i="3"/>
  <c r="AZ302" i="3" s="1"/>
  <c r="BA334" i="3"/>
  <c r="G347" i="3"/>
  <c r="G363" i="3"/>
  <c r="G205" i="3"/>
  <c r="BA211" i="3"/>
  <c r="G215" i="3"/>
  <c r="G232" i="3"/>
  <c r="BA240" i="3"/>
  <c r="BL240" i="3"/>
  <c r="G251" i="3"/>
  <c r="G260" i="3"/>
  <c r="BL269" i="3"/>
  <c r="G274" i="3"/>
  <c r="G285" i="3"/>
  <c r="G296" i="3"/>
  <c r="G160" i="3"/>
  <c r="G168" i="3"/>
  <c r="G169" i="3"/>
  <c r="BL175" i="3"/>
  <c r="G185" i="3"/>
  <c r="BA22" i="3"/>
  <c r="BL41" i="3"/>
  <c r="G42" i="3"/>
  <c r="BA55" i="3"/>
  <c r="BL57" i="3"/>
  <c r="BA64" i="3"/>
  <c r="G99" i="3"/>
  <c r="G106" i="3"/>
  <c r="G107" i="3"/>
  <c r="AB27" i="59"/>
  <c r="BA397" i="3"/>
  <c r="BL397" i="3"/>
  <c r="BA424" i="3"/>
  <c r="BL436" i="3"/>
  <c r="BA464" i="3"/>
  <c r="BA220" i="3"/>
  <c r="BA283" i="3"/>
  <c r="BA291" i="3"/>
  <c r="BL136" i="3"/>
  <c r="BL157" i="3"/>
  <c r="AZ157" i="3" s="1"/>
  <c r="BA164" i="3"/>
  <c r="BA166" i="3"/>
  <c r="AZ166" i="3" s="1"/>
  <c r="BA38" i="3"/>
  <c r="BA54" i="3"/>
  <c r="BL65" i="3"/>
  <c r="BA110" i="3"/>
  <c r="BL112" i="3"/>
  <c r="AA29" i="59"/>
  <c r="Y31" i="59"/>
  <c r="Z31" i="59" s="1"/>
  <c r="Y33" i="59"/>
  <c r="Z33" i="59" s="1"/>
  <c r="Y38" i="59"/>
  <c r="Z38" i="59" s="1"/>
  <c r="B72" i="59"/>
  <c r="B71" i="59" s="1"/>
  <c r="G532" i="3"/>
  <c r="G497" i="3"/>
  <c r="BL405" i="3"/>
  <c r="BA414" i="3"/>
  <c r="BL416" i="3"/>
  <c r="G417" i="3"/>
  <c r="BL425" i="3"/>
  <c r="G428" i="3"/>
  <c r="G436" i="3"/>
  <c r="BA444" i="3"/>
  <c r="BL445" i="3"/>
  <c r="G448" i="3"/>
  <c r="BL456" i="3"/>
  <c r="G457" i="3"/>
  <c r="BA297" i="3"/>
  <c r="AZ297" i="3" s="1"/>
  <c r="BA350" i="3"/>
  <c r="G379" i="3"/>
  <c r="G387" i="3"/>
  <c r="G212" i="3"/>
  <c r="G221" i="3"/>
  <c r="G230" i="3"/>
  <c r="G239" i="3"/>
  <c r="G249" i="3"/>
  <c r="G250" i="3"/>
  <c r="BL250" i="3"/>
  <c r="BA267" i="3"/>
  <c r="G268" i="3"/>
  <c r="BA279" i="3"/>
  <c r="BL280" i="3"/>
  <c r="G283" i="3"/>
  <c r="G293" i="3"/>
  <c r="BL121" i="3"/>
  <c r="BA125" i="3"/>
  <c r="BA127" i="3"/>
  <c r="AZ127" i="3" s="1"/>
  <c r="G138" i="3"/>
  <c r="G174" i="3"/>
  <c r="G183" i="3"/>
  <c r="G184" i="3"/>
  <c r="G191" i="3"/>
  <c r="G192" i="3"/>
  <c r="G199" i="3"/>
  <c r="G200" i="3"/>
  <c r="BA204" i="3"/>
  <c r="G33" i="3"/>
  <c r="G48" i="3"/>
  <c r="G49" i="3"/>
  <c r="BL66" i="3"/>
  <c r="G83" i="3"/>
  <c r="G94" i="3"/>
  <c r="C75" i="59"/>
  <c r="D75" i="59" s="1"/>
  <c r="C84" i="59"/>
  <c r="C72" i="59"/>
  <c r="Q68" i="59"/>
  <c r="AB34" i="59"/>
  <c r="AB36" i="59"/>
  <c r="F44" i="59"/>
  <c r="F45" i="59" s="1"/>
  <c r="V45" i="59" s="1"/>
  <c r="E48" i="59"/>
  <c r="E49" i="59" s="1"/>
  <c r="U49" i="59" s="1"/>
  <c r="F60" i="59"/>
  <c r="F61" i="59" s="1"/>
  <c r="V61" i="59" s="1"/>
  <c r="T25" i="59"/>
  <c r="G123" i="21"/>
  <c r="H123" i="21" s="1"/>
  <c r="I123" i="21" s="1"/>
  <c r="J123" i="21" s="1"/>
  <c r="K123" i="21" s="1"/>
  <c r="L123" i="21" s="1"/>
  <c r="M123" i="21" s="1"/>
  <c r="F42" i="21"/>
  <c r="AA42" i="21" s="1"/>
  <c r="AB41" i="21"/>
  <c r="AA41" i="21"/>
  <c r="S11" i="39"/>
  <c r="W15" i="39"/>
  <c r="AA46" i="33"/>
  <c r="S46" i="33"/>
  <c r="S13" i="33"/>
  <c r="AA13" i="33"/>
  <c r="AB9" i="34"/>
  <c r="U9" i="34"/>
  <c r="AC23" i="33"/>
  <c r="S32" i="40"/>
  <c r="W45" i="39"/>
  <c r="AC33" i="37"/>
  <c r="U27" i="34"/>
  <c r="AC11" i="34"/>
  <c r="W23" i="40"/>
  <c r="AC13" i="40"/>
  <c r="W33" i="39"/>
  <c r="AA15" i="34"/>
  <c r="U47" i="39"/>
  <c r="W32" i="40"/>
  <c r="AA13" i="39"/>
  <c r="AC13" i="33"/>
  <c r="AC30" i="34"/>
  <c r="AA29" i="35"/>
  <c r="AC15" i="40"/>
  <c r="AZ504" i="3"/>
  <c r="AZ356" i="3"/>
  <c r="AZ345" i="3"/>
  <c r="AZ324" i="3"/>
  <c r="AZ305" i="3"/>
  <c r="AZ381" i="3"/>
  <c r="AZ365" i="3"/>
  <c r="AZ299" i="3"/>
  <c r="AB12" i="37"/>
  <c r="AZ569" i="3"/>
  <c r="S45" i="21"/>
  <c r="W30" i="21"/>
  <c r="AC30" i="21"/>
  <c r="AC39" i="37"/>
  <c r="W39" i="37"/>
  <c r="W19" i="37"/>
  <c r="S38" i="40"/>
  <c r="U25" i="40"/>
  <c r="W33" i="40"/>
  <c r="U25" i="33"/>
  <c r="U36" i="33"/>
  <c r="W15" i="34"/>
  <c r="AB46" i="39"/>
  <c r="U42" i="40"/>
  <c r="AZ481" i="3"/>
  <c r="AZ496" i="3"/>
  <c r="AZ505" i="3"/>
  <c r="AZ511" i="3"/>
  <c r="AZ529" i="3"/>
  <c r="AB17" i="37"/>
  <c r="AZ300" i="3"/>
  <c r="AB31" i="37"/>
  <c r="AB44" i="33"/>
  <c r="AZ493" i="3"/>
  <c r="AZ545" i="3"/>
  <c r="BQ5" i="3"/>
  <c r="F28" i="6" s="1"/>
  <c r="U27" i="37"/>
  <c r="AB27" i="37"/>
  <c r="J23" i="21"/>
  <c r="W23" i="21" s="1"/>
  <c r="AC11" i="33"/>
  <c r="W29" i="35"/>
  <c r="AB38" i="34"/>
  <c r="F72" i="9"/>
  <c r="F28" i="79"/>
  <c r="F28" i="77"/>
  <c r="M18" i="77"/>
  <c r="F32" i="77"/>
  <c r="F59" i="77" s="1"/>
  <c r="M18" i="79"/>
  <c r="F32" i="79"/>
  <c r="F59" i="79" s="1"/>
  <c r="AZ489" i="3"/>
  <c r="AZ523" i="3"/>
  <c r="AB28" i="33"/>
  <c r="W25" i="35"/>
  <c r="F43" i="21"/>
  <c r="S43" i="21" s="1"/>
  <c r="G572" i="3"/>
  <c r="B4" i="68"/>
  <c r="D33" i="74"/>
  <c r="D1" i="74" s="1"/>
  <c r="F23" i="21"/>
  <c r="AA23" i="21" s="1"/>
  <c r="B61" i="46"/>
  <c r="B61" i="75"/>
  <c r="B61" i="74"/>
  <c r="B83" i="75"/>
  <c r="B83" i="74"/>
  <c r="B90" i="75"/>
  <c r="B90" i="74"/>
  <c r="H9" i="36"/>
  <c r="J23" i="36"/>
  <c r="E20" i="6"/>
  <c r="D9" i="12" s="1"/>
  <c r="S37" i="34"/>
  <c r="AZ378" i="3"/>
  <c r="AZ377" i="3"/>
  <c r="AZ343" i="3"/>
  <c r="AZ303" i="3"/>
  <c r="AZ488" i="3"/>
  <c r="AZ558" i="3"/>
  <c r="AZ501" i="3"/>
  <c r="AZ551" i="3"/>
  <c r="AC28" i="33"/>
  <c r="J42" i="21"/>
  <c r="AC42" i="21" s="1"/>
  <c r="S22" i="35"/>
  <c r="W40" i="33"/>
  <c r="W9" i="34"/>
  <c r="BM5" i="3"/>
  <c r="F29" i="6" s="1"/>
  <c r="B94" i="75"/>
  <c r="B94" i="74"/>
  <c r="B84" i="75"/>
  <c r="B84" i="74"/>
  <c r="AB33" i="33"/>
  <c r="G564" i="3"/>
  <c r="G551" i="3"/>
  <c r="G533" i="3"/>
  <c r="G505" i="3"/>
  <c r="G496" i="3"/>
  <c r="G495" i="3"/>
  <c r="G489" i="3"/>
  <c r="G15" i="3"/>
  <c r="E19" i="6"/>
  <c r="N44" i="39" s="1"/>
  <c r="O44" i="39" s="1"/>
  <c r="AP8" i="1"/>
  <c r="I24" i="75"/>
  <c r="C24" i="75" s="1"/>
  <c r="I24" i="74"/>
  <c r="C24" i="74" s="1"/>
  <c r="F10" i="1"/>
  <c r="I24" i="46" s="1"/>
  <c r="C24" i="46" s="1"/>
  <c r="B65" i="74"/>
  <c r="B75" i="75"/>
  <c r="B65" i="75"/>
  <c r="B75" i="74"/>
  <c r="B54" i="74"/>
  <c r="B54" i="75"/>
  <c r="F34" i="15"/>
  <c r="F61" i="15" s="1"/>
  <c r="F34" i="79"/>
  <c r="F34" i="77"/>
  <c r="F61" i="77" s="1"/>
  <c r="M20" i="77"/>
  <c r="M20" i="79"/>
  <c r="BR5" i="3"/>
  <c r="F11" i="1"/>
  <c r="AP11" i="1" s="1"/>
  <c r="G44" i="74"/>
  <c r="C44" i="74" s="1"/>
  <c r="G44" i="46"/>
  <c r="G44" i="75"/>
  <c r="C44" i="75" s="1"/>
  <c r="AZ492" i="3"/>
  <c r="AZ544" i="3"/>
  <c r="AZ557" i="3"/>
  <c r="W33" i="33"/>
  <c r="U2" i="75"/>
  <c r="U3" i="75" s="1"/>
  <c r="B50" i="46"/>
  <c r="B50" i="75"/>
  <c r="B50" i="74"/>
  <c r="B83" i="46"/>
  <c r="B90" i="46"/>
  <c r="G568" i="3"/>
  <c r="G559" i="3"/>
  <c r="G547" i="3"/>
  <c r="G541" i="3"/>
  <c r="G524" i="3"/>
  <c r="G511" i="3"/>
  <c r="G500" i="3"/>
  <c r="G481" i="3"/>
  <c r="G14" i="3"/>
  <c r="E21" i="6"/>
  <c r="BA395" i="3"/>
  <c r="BA400" i="3"/>
  <c r="AZ400" i="3" s="1"/>
  <c r="BL407" i="3"/>
  <c r="BL412" i="3"/>
  <c r="G413" i="3"/>
  <c r="BA415" i="3"/>
  <c r="BA417" i="3"/>
  <c r="BL417" i="3"/>
  <c r="BL423" i="3"/>
  <c r="BL429" i="3"/>
  <c r="BL435" i="3"/>
  <c r="BA385" i="3"/>
  <c r="BL386" i="3"/>
  <c r="G391" i="3"/>
  <c r="BL391" i="3"/>
  <c r="BL396" i="3"/>
  <c r="G397" i="3"/>
  <c r="G399" i="3"/>
  <c r="BA399" i="3"/>
  <c r="BL401" i="3"/>
  <c r="BA404" i="3"/>
  <c r="G419" i="3"/>
  <c r="BL419" i="3"/>
  <c r="BA434"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BL346" i="3"/>
  <c r="AZ346" i="3" s="1"/>
  <c r="BA368" i="3"/>
  <c r="BL380" i="3"/>
  <c r="AZ380" i="3" s="1"/>
  <c r="BL393" i="3"/>
  <c r="BA398" i="3"/>
  <c r="G403" i="3"/>
  <c r="BA403" i="3"/>
  <c r="BA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L210" i="3"/>
  <c r="BL389" i="3"/>
  <c r="G392" i="3"/>
  <c r="G393" i="3"/>
  <c r="BA396" i="3"/>
  <c r="G400" i="3"/>
  <c r="BA402" i="3"/>
  <c r="BL404" i="3"/>
  <c r="G405" i="3"/>
  <c r="G411" i="3"/>
  <c r="BA411" i="3"/>
  <c r="BA413" i="3"/>
  <c r="BL413" i="3"/>
  <c r="BA416" i="3"/>
  <c r="G420" i="3"/>
  <c r="G421" i="3"/>
  <c r="G427" i="3"/>
  <c r="BA427" i="3"/>
  <c r="BA433" i="3"/>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AZ368" i="3" s="1"/>
  <c r="G370" i="3"/>
  <c r="BA387" i="3"/>
  <c r="BA209" i="3"/>
  <c r="BA217" i="3"/>
  <c r="G222" i="3"/>
  <c r="BL222" i="3"/>
  <c r="BL230" i="3"/>
  <c r="BA232" i="3"/>
  <c r="BL232" i="3"/>
  <c r="BA237" i="3"/>
  <c r="BL239" i="3"/>
  <c r="G242" i="3"/>
  <c r="BL242" i="3"/>
  <c r="BA249" i="3"/>
  <c r="BA252" i="3"/>
  <c r="BL252" i="3"/>
  <c r="BA255" i="3"/>
  <c r="G262" i="3"/>
  <c r="BL262" i="3"/>
  <c r="BA264" i="3"/>
  <c r="BL264" i="3"/>
  <c r="G270" i="3"/>
  <c r="BL270" i="3"/>
  <c r="G286" i="3"/>
  <c r="BL286" i="3"/>
  <c r="BL292" i="3"/>
  <c r="G114" i="3"/>
  <c r="BL120" i="3"/>
  <c r="BA124" i="3"/>
  <c r="BA129" i="3"/>
  <c r="BA133" i="3"/>
  <c r="BA135" i="3"/>
  <c r="AZ135" i="3" s="1"/>
  <c r="G139" i="3"/>
  <c r="BA139" i="3"/>
  <c r="AZ139" i="3" s="1"/>
  <c r="BL141" i="3"/>
  <c r="G142" i="3"/>
  <c r="BA145" i="3"/>
  <c r="G152" i="3"/>
  <c r="BL155" i="3"/>
  <c r="BL159" i="3"/>
  <c r="BL163" i="3"/>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BL37" i="3"/>
  <c r="BA39" i="3"/>
  <c r="C37" i="59"/>
  <c r="D36" i="59"/>
  <c r="BA221" i="3"/>
  <c r="BL223" i="3"/>
  <c r="G226" i="3"/>
  <c r="BA227" i="3"/>
  <c r="BL231" i="3"/>
  <c r="AZ231" i="3" s="1"/>
  <c r="G234" i="3"/>
  <c r="BL234" i="3"/>
  <c r="BA241" i="3"/>
  <c r="BA244" i="3"/>
  <c r="BL244" i="3"/>
  <c r="BA247" i="3"/>
  <c r="AZ247" i="3" s="1"/>
  <c r="G254" i="3"/>
  <c r="BL254" i="3"/>
  <c r="BA256" i="3"/>
  <c r="AZ256" i="3" s="1"/>
  <c r="BL256" i="3"/>
  <c r="BA261" i="3"/>
  <c r="BL263" i="3"/>
  <c r="AZ263" i="3" s="1"/>
  <c r="G266" i="3"/>
  <c r="BL266" i="3"/>
  <c r="G282" i="3"/>
  <c r="BL282" i="3"/>
  <c r="BA113" i="3"/>
  <c r="BA117" i="3"/>
  <c r="BA119" i="3"/>
  <c r="AZ119" i="3" s="1"/>
  <c r="G123" i="3"/>
  <c r="BA123" i="3"/>
  <c r="AZ123" i="3" s="1"/>
  <c r="BL125" i="3"/>
  <c r="BA132" i="3"/>
  <c r="BA148" i="3"/>
  <c r="BA162" i="3"/>
  <c r="AZ162" i="3" s="1"/>
  <c r="BL164" i="3"/>
  <c r="AZ164" i="3" s="1"/>
  <c r="BA171" i="3"/>
  <c r="BA176" i="3"/>
  <c r="BA180" i="3"/>
  <c r="C53" i="59"/>
  <c r="D52" i="59"/>
  <c r="D60" i="59"/>
  <c r="C61" i="59"/>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23" i="3"/>
  <c r="G28" i="3"/>
  <c r="G32" i="3"/>
  <c r="G36" i="3"/>
  <c r="BL218" i="3"/>
  <c r="BA257" i="3"/>
  <c r="BL274" i="3"/>
  <c r="BA292" i="3"/>
  <c r="BA159" i="3"/>
  <c r="BA186" i="3"/>
  <c r="G65" i="3"/>
  <c r="U41" i="59"/>
  <c r="M23" i="46"/>
  <c r="C57" i="59"/>
  <c r="D56" i="59"/>
  <c r="C65" i="59"/>
  <c r="D64" i="59"/>
  <c r="BA170" i="3"/>
  <c r="AZ170" i="3" s="1"/>
  <c r="BL172" i="3"/>
  <c r="G173" i="3"/>
  <c r="G178" i="3"/>
  <c r="BA183" i="3"/>
  <c r="BA187" i="3"/>
  <c r="BA191" i="3"/>
  <c r="BA195" i="3"/>
  <c r="BA199" i="3"/>
  <c r="G202" i="3"/>
  <c r="G203" i="3"/>
  <c r="BA203" i="3"/>
  <c r="AZ203" i="3" s="1"/>
  <c r="G24" i="3"/>
  <c r="G25" i="3"/>
  <c r="BA26" i="3"/>
  <c r="G30" i="3"/>
  <c r="G31" i="3"/>
  <c r="BA31" i="3"/>
  <c r="AZ31" i="3" s="1"/>
  <c r="G34" i="3"/>
  <c r="G35" i="3"/>
  <c r="BA35" i="3"/>
  <c r="AZ35" i="3" s="1"/>
  <c r="G40" i="3"/>
  <c r="G41" i="3"/>
  <c r="BA42" i="3"/>
  <c r="G46" i="3"/>
  <c r="G47" i="3"/>
  <c r="BA47" i="3"/>
  <c r="G50" i="3"/>
  <c r="G51" i="3"/>
  <c r="BA51" i="3"/>
  <c r="G56" i="3"/>
  <c r="G57" i="3"/>
  <c r="BA58" i="3"/>
  <c r="BL62" i="3"/>
  <c r="BL64" i="3"/>
  <c r="AZ64" i="3" s="1"/>
  <c r="G68" i="3"/>
  <c r="BA70" i="3"/>
  <c r="BL75" i="3"/>
  <c r="G77" i="3"/>
  <c r="G78" i="3"/>
  <c r="BA78" i="3"/>
  <c r="BA80" i="3"/>
  <c r="BL81" i="3"/>
  <c r="BL82" i="3"/>
  <c r="BA83" i="3"/>
  <c r="BL86" i="3"/>
  <c r="G91" i="3"/>
  <c r="BA91" i="3"/>
  <c r="BA93" i="3"/>
  <c r="G96" i="3"/>
  <c r="G103" i="3"/>
  <c r="BA103" i="3"/>
  <c r="BL105" i="3"/>
  <c r="BA108" i="3"/>
  <c r="K13" i="1"/>
  <c r="M13" i="1" s="1"/>
  <c r="S18" i="36"/>
  <c r="G193" i="3"/>
  <c r="BA194" i="3"/>
  <c r="G197" i="3"/>
  <c r="G201" i="3"/>
  <c r="G22" i="3"/>
  <c r="BA24" i="3"/>
  <c r="BL28" i="3"/>
  <c r="BL32" i="3"/>
  <c r="G38" i="3"/>
  <c r="BA40" i="3"/>
  <c r="BL44" i="3"/>
  <c r="BL48" i="3"/>
  <c r="G54" i="3"/>
  <c r="BA56" i="3"/>
  <c r="G59" i="3"/>
  <c r="G64" i="3"/>
  <c r="G66" i="3"/>
  <c r="G75" i="3"/>
  <c r="BL79" i="3"/>
  <c r="G81" i="3"/>
  <c r="BA82" i="3"/>
  <c r="G86" i="3"/>
  <c r="BA88" i="3"/>
  <c r="BA90" i="3"/>
  <c r="BL92" i="3"/>
  <c r="BL95" i="3"/>
  <c r="BL104" i="3"/>
  <c r="G105" i="3"/>
  <c r="BA107" i="3"/>
  <c r="BL109" i="3"/>
  <c r="BL111" i="3"/>
  <c r="BA112" i="3"/>
  <c r="AB3" i="59"/>
  <c r="F31" i="59"/>
  <c r="F32" i="59" s="1"/>
  <c r="F33" i="59" s="1"/>
  <c r="V33" i="59" s="1"/>
  <c r="AA31" i="59"/>
  <c r="AA32" i="59"/>
  <c r="AA33" i="59"/>
  <c r="X34" i="59"/>
  <c r="AB39" i="59"/>
  <c r="B48" i="59"/>
  <c r="B49" i="59" s="1"/>
  <c r="S49" i="59" s="1"/>
  <c r="A46" i="9"/>
  <c r="K41" i="9" s="1"/>
  <c r="A26" i="64"/>
  <c r="G92" i="3"/>
  <c r="G95" i="3"/>
  <c r="BA95" i="3"/>
  <c r="BL101" i="3"/>
  <c r="BA106" i="3"/>
  <c r="BL108" i="3"/>
  <c r="G109" i="3"/>
  <c r="G1" i="77"/>
  <c r="G1" i="79"/>
  <c r="B100" i="46"/>
  <c r="B100" i="75"/>
  <c r="B77" i="75"/>
  <c r="B68" i="75"/>
  <c r="B100" i="74"/>
  <c r="B77" i="74"/>
  <c r="B57" i="75"/>
  <c r="B57" i="74"/>
  <c r="B68" i="74"/>
  <c r="B44" i="59"/>
  <c r="B45" i="59" s="1"/>
  <c r="S45" i="59" s="1"/>
  <c r="C48" i="59"/>
  <c r="D48" i="59" s="1"/>
  <c r="B64" i="59"/>
  <c r="B65" i="59" s="1"/>
  <c r="S65" i="59" s="1"/>
  <c r="D25" i="59"/>
  <c r="G43" i="3"/>
  <c r="BA45" i="3"/>
  <c r="BL46" i="3"/>
  <c r="BL47" i="3"/>
  <c r="BA49" i="3"/>
  <c r="BL50" i="3"/>
  <c r="BL51" i="3"/>
  <c r="BA52" i="3"/>
  <c r="G58" i="3"/>
  <c r="BL60" i="3"/>
  <c r="G63" i="3"/>
  <c r="BA63" i="3"/>
  <c r="AZ63" i="3" s="1"/>
  <c r="BL68" i="3"/>
  <c r="G71" i="3"/>
  <c r="BA73" i="3"/>
  <c r="BA76" i="3"/>
  <c r="BL77" i="3"/>
  <c r="BL78" i="3"/>
  <c r="BA84" i="3"/>
  <c r="B87" i="46"/>
  <c r="B87" i="75"/>
  <c r="B87" i="74"/>
  <c r="C42" i="1"/>
  <c r="G23" i="74"/>
  <c r="G23" i="75"/>
  <c r="C27" i="40"/>
  <c r="B88" i="75"/>
  <c r="B88" i="74"/>
  <c r="P27" i="6"/>
  <c r="D67" i="59"/>
  <c r="E31" i="59"/>
  <c r="E32" i="59" s="1"/>
  <c r="E33" i="59" s="1"/>
  <c r="U33" i="59" s="1"/>
  <c r="AA27" i="59"/>
  <c r="X32" i="59"/>
  <c r="X33" i="59"/>
  <c r="Y34" i="59"/>
  <c r="Z34" i="59" s="1"/>
  <c r="Y35" i="59"/>
  <c r="Z35" i="59" s="1"/>
  <c r="Y36" i="59"/>
  <c r="Z36" i="59" s="1"/>
  <c r="Y37" i="59"/>
  <c r="Z37" i="59" s="1"/>
  <c r="AC37" i="39"/>
  <c r="U14" i="39"/>
  <c r="S14" i="39"/>
  <c r="S16" i="39"/>
  <c r="S15" i="39"/>
  <c r="W16" i="39"/>
  <c r="AC38" i="39"/>
  <c r="AA37" i="39"/>
  <c r="AB37" i="39"/>
  <c r="AB31" i="21"/>
  <c r="J26" i="35"/>
  <c r="F26" i="35"/>
  <c r="H26" i="35"/>
  <c r="AA33" i="35"/>
  <c r="U33" i="35"/>
  <c r="S28" i="35"/>
  <c r="AC33" i="35"/>
  <c r="S30" i="35"/>
  <c r="U28" i="35"/>
  <c r="W32" i="35"/>
  <c r="AC30" i="35"/>
  <c r="AC23" i="35"/>
  <c r="W23" i="35"/>
  <c r="U22" i="35"/>
  <c r="AB20" i="35"/>
  <c r="S18" i="35"/>
  <c r="AB16" i="35"/>
  <c r="S16" i="35"/>
  <c r="W16" i="35"/>
  <c r="AB14" i="35"/>
  <c r="S14" i="35"/>
  <c r="W14" i="35"/>
  <c r="S8" i="35"/>
  <c r="W11" i="35"/>
  <c r="W13" i="35"/>
  <c r="J12" i="35"/>
  <c r="K1" i="43"/>
  <c r="AB33" i="21"/>
  <c r="AA43" i="21"/>
  <c r="U43" i="21"/>
  <c r="U42" i="21"/>
  <c r="AA37" i="21"/>
  <c r="S35" i="21"/>
  <c r="AA33" i="21"/>
  <c r="U38" i="21"/>
  <c r="AB36" i="21"/>
  <c r="AC36" i="21"/>
  <c r="AA36" i="21"/>
  <c r="S34" i="21"/>
  <c r="AB34" i="21"/>
  <c r="W32" i="21"/>
  <c r="U39" i="21"/>
  <c r="S39" i="21"/>
  <c r="W39" i="21"/>
  <c r="AA38" i="21"/>
  <c r="W38" i="21"/>
  <c r="AC34" i="21"/>
  <c r="S32" i="21"/>
  <c r="AB32" i="21"/>
  <c r="H23" i="21"/>
  <c r="AB23" i="21" s="1"/>
  <c r="F81" i="21"/>
  <c r="G81" i="21" s="1"/>
  <c r="J19" i="21"/>
  <c r="F77" i="21"/>
  <c r="G77" i="21" s="1"/>
  <c r="AA25" i="21"/>
  <c r="U28" i="21"/>
  <c r="AC23" i="21"/>
  <c r="S23" i="21"/>
  <c r="S21" i="21"/>
  <c r="W17" i="21"/>
  <c r="U9" i="21"/>
  <c r="AB11" i="21"/>
  <c r="W9" i="21"/>
  <c r="S8" i="21"/>
  <c r="C18" i="9"/>
  <c r="M43" i="9" s="1"/>
  <c r="J42" i="39"/>
  <c r="H42" i="39"/>
  <c r="AB42" i="39" s="1"/>
  <c r="F42" i="39"/>
  <c r="AA42" i="39" s="1"/>
  <c r="J23" i="39"/>
  <c r="AC23" i="39" s="1"/>
  <c r="B69" i="75"/>
  <c r="B101" i="75"/>
  <c r="B79" i="75"/>
  <c r="B58" i="75"/>
  <c r="B69" i="74"/>
  <c r="B58" i="74"/>
  <c r="B101" i="74"/>
  <c r="B79" i="74"/>
  <c r="B99" i="46"/>
  <c r="B67" i="74"/>
  <c r="B56" i="75"/>
  <c r="B99" i="74"/>
  <c r="B76" i="75"/>
  <c r="B56" i="74"/>
  <c r="B99" i="75"/>
  <c r="B67" i="75"/>
  <c r="B76" i="74"/>
  <c r="B73" i="46"/>
  <c r="B51" i="74"/>
  <c r="B62" i="74"/>
  <c r="B62" i="75"/>
  <c r="B73" i="75"/>
  <c r="B51" i="75"/>
  <c r="B73" i="74"/>
  <c r="B72" i="46"/>
  <c r="B72" i="75"/>
  <c r="B72" i="74"/>
  <c r="E127" i="39"/>
  <c r="F127" i="39" s="1"/>
  <c r="G127" i="39" s="1"/>
  <c r="H127" i="39" s="1"/>
  <c r="I127" i="39" s="1"/>
  <c r="J127" i="39" s="1"/>
  <c r="K127" i="39" s="1"/>
  <c r="L127" i="39" s="1"/>
  <c r="M127" i="39" s="1"/>
  <c r="J44" i="39"/>
  <c r="W44" i="39" s="1"/>
  <c r="H125" i="39"/>
  <c r="I125" i="39" s="1"/>
  <c r="J125" i="39" s="1"/>
  <c r="K125" i="39" s="1"/>
  <c r="L125" i="39" s="1"/>
  <c r="M125" i="39" s="1"/>
  <c r="H43" i="39"/>
  <c r="U43" i="39" s="1"/>
  <c r="J43" i="39"/>
  <c r="W43" i="39" s="1"/>
  <c r="F43" i="39"/>
  <c r="AA43" i="39" s="1"/>
  <c r="U13" i="39"/>
  <c r="S47" i="39"/>
  <c r="J36" i="39"/>
  <c r="AB44" i="39"/>
  <c r="AA44" i="39"/>
  <c r="W41" i="39"/>
  <c r="S41" i="39"/>
  <c r="U41" i="39"/>
  <c r="S40" i="39"/>
  <c r="W40" i="39"/>
  <c r="U15" i="39"/>
  <c r="W13" i="39"/>
  <c r="W34" i="39"/>
  <c r="AB33" i="39"/>
  <c r="S33" i="39"/>
  <c r="F100" i="39"/>
  <c r="G100" i="39" s="1"/>
  <c r="H27" i="39"/>
  <c r="AB27" i="39" s="1"/>
  <c r="J25" i="39"/>
  <c r="AC25" i="39" s="1"/>
  <c r="H25" i="39"/>
  <c r="U25" i="39" s="1"/>
  <c r="F23" i="39"/>
  <c r="H23" i="39"/>
  <c r="AB23" i="39" s="1"/>
  <c r="S31" i="39"/>
  <c r="W29" i="39"/>
  <c r="S29" i="39"/>
  <c r="AB21" i="39"/>
  <c r="AC21" i="39"/>
  <c r="AA21" i="39"/>
  <c r="AA19" i="39"/>
  <c r="U19" i="39"/>
  <c r="AC19" i="39"/>
  <c r="AC17" i="39"/>
  <c r="S17" i="39"/>
  <c r="AB17" i="39"/>
  <c r="B57" i="46"/>
  <c r="B51" i="46"/>
  <c r="M18" i="15"/>
  <c r="M20" i="44"/>
  <c r="K1" i="12"/>
  <c r="B7" i="1"/>
  <c r="E7" i="1" s="1"/>
  <c r="G1" i="44"/>
  <c r="K7" i="1"/>
  <c r="G29" i="6"/>
  <c r="A11" i="55"/>
  <c r="B62" i="63" s="1"/>
  <c r="G12" i="1"/>
  <c r="P16" i="4"/>
  <c r="N76" i="9"/>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4" i="3"/>
  <c r="AZ412" i="3"/>
  <c r="AZ416" i="3"/>
  <c r="AZ433" i="3"/>
  <c r="AZ436" i="3"/>
  <c r="AZ440" i="3"/>
  <c r="AZ448" i="3"/>
  <c r="AZ456" i="3"/>
  <c r="AZ464" i="3"/>
  <c r="AZ468" i="3"/>
  <c r="AZ472" i="3"/>
  <c r="AZ476" i="3"/>
  <c r="AZ480"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BA409" i="3"/>
  <c r="AZ409" i="3" s="1"/>
  <c r="BL414" i="3"/>
  <c r="AZ414" i="3" s="1"/>
  <c r="BL418" i="3"/>
  <c r="AZ418" i="3" s="1"/>
  <c r="BA421" i="3"/>
  <c r="AZ421" i="3" s="1"/>
  <c r="BA425" i="3"/>
  <c r="AZ425" i="3" s="1"/>
  <c r="BA429" i="3"/>
  <c r="BL434" i="3"/>
  <c r="AZ434" i="3" s="1"/>
  <c r="BL438" i="3"/>
  <c r="BA441" i="3"/>
  <c r="AZ441" i="3" s="1"/>
  <c r="BA445" i="3"/>
  <c r="BA449" i="3"/>
  <c r="AZ449" i="3" s="1"/>
  <c r="BA453" i="3"/>
  <c r="AZ453" i="3" s="1"/>
  <c r="BL458" i="3"/>
  <c r="AZ458" i="3" s="1"/>
  <c r="BA461" i="3"/>
  <c r="AZ461" i="3" s="1"/>
  <c r="BL462" i="3"/>
  <c r="AZ462" i="3" s="1"/>
  <c r="BL466" i="3"/>
  <c r="AZ466" i="3" s="1"/>
  <c r="BA469" i="3"/>
  <c r="AZ469" i="3" s="1"/>
  <c r="BL470" i="3"/>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AZ447" i="3" s="1"/>
  <c r="BA450" i="3"/>
  <c r="AZ450" i="3" s="1"/>
  <c r="BL451" i="3"/>
  <c r="BA454" i="3"/>
  <c r="AZ454" i="3" s="1"/>
  <c r="BL459" i="3"/>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BL148" i="3"/>
  <c r="AZ148" i="3" s="1"/>
  <c r="BA152" i="3"/>
  <c r="AZ152" i="3" s="1"/>
  <c r="BA230" i="3"/>
  <c r="AZ230" i="3" s="1"/>
  <c r="BA234" i="3"/>
  <c r="AZ234" i="3" s="1"/>
  <c r="BL235" i="3"/>
  <c r="AZ235" i="3" s="1"/>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AZ45" i="3" s="1"/>
  <c r="BA48" i="3"/>
  <c r="BL49" i="3"/>
  <c r="AZ49" i="3" s="1"/>
  <c r="BA62" i="3"/>
  <c r="AZ62" i="3" s="1"/>
  <c r="BA66" i="3"/>
  <c r="AZ66" i="3" s="1"/>
  <c r="BL67" i="3"/>
  <c r="AZ67" i="3" s="1"/>
  <c r="BL71" i="3"/>
  <c r="AZ71" i="3" s="1"/>
  <c r="BL74" i="3"/>
  <c r="AZ74" i="3" s="1"/>
  <c r="BA77" i="3"/>
  <c r="AZ77" i="3" s="1"/>
  <c r="BA81" i="3"/>
  <c r="AZ81" i="3" s="1"/>
  <c r="G88" i="3"/>
  <c r="BA92" i="3"/>
  <c r="AZ92" i="3" s="1"/>
  <c r="BA94" i="3"/>
  <c r="G104" i="3"/>
  <c r="T37" i="59"/>
  <c r="D37" i="59"/>
  <c r="T53" i="59"/>
  <c r="D53" i="59"/>
  <c r="BA158" i="3"/>
  <c r="AZ158" i="3" s="1"/>
  <c r="BA160" i="3"/>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F30" i="6"/>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AZ484" i="3"/>
  <c r="AZ395" i="3"/>
  <c r="AZ397" i="3"/>
  <c r="AZ405" i="3"/>
  <c r="AZ411" i="3"/>
  <c r="AZ413" i="3"/>
  <c r="AZ417" i="3"/>
  <c r="AZ427" i="3"/>
  <c r="AZ437" i="3"/>
  <c r="AZ443" i="3"/>
  <c r="AZ451" i="3"/>
  <c r="AZ457" i="3"/>
  <c r="AZ473" i="3"/>
  <c r="AZ116" i="3"/>
  <c r="BT5" i="3"/>
  <c r="G28" i="6" s="1"/>
  <c r="G30" i="6" s="1"/>
  <c r="BI5" i="3"/>
  <c r="BG5" i="3"/>
  <c r="AZ208" i="3"/>
  <c r="AZ211" i="3"/>
  <c r="AZ219" i="3"/>
  <c r="AZ227" i="3"/>
  <c r="AZ243" i="3"/>
  <c r="AZ251" i="3"/>
  <c r="AZ259" i="3"/>
  <c r="AZ271" i="3"/>
  <c r="AZ287" i="3"/>
  <c r="AZ168" i="3"/>
  <c r="AZ182" i="3"/>
  <c r="AZ186" i="3"/>
  <c r="AZ190" i="3"/>
  <c r="AZ194" i="3"/>
  <c r="AZ198" i="3"/>
  <c r="AZ29" i="3"/>
  <c r="AZ33" i="3"/>
  <c r="AZ54" i="3"/>
  <c r="AZ69" i="3"/>
  <c r="AZ76" i="3"/>
  <c r="AZ80" i="3"/>
  <c r="AZ96"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O13" i="1"/>
  <c r="P13" i="1" s="1"/>
  <c r="G6" i="1"/>
  <c r="A25" i="51"/>
  <c r="B18" i="63" s="1"/>
  <c r="G10" i="1"/>
  <c r="G13" i="1"/>
  <c r="C95" i="9"/>
  <c r="C92" i="9" s="1"/>
  <c r="C25" i="12"/>
  <c r="D23" i="15"/>
  <c r="L52" i="37"/>
  <c r="M52" i="37" s="1"/>
  <c r="N52" i="37" s="1"/>
  <c r="O52" i="37" s="1"/>
  <c r="D69" i="39"/>
  <c r="C66" i="40"/>
  <c r="C18" i="11"/>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F67" i="15"/>
  <c r="F50" i="15"/>
  <c r="C27" i="15"/>
  <c r="C4" i="65"/>
  <c r="B39" i="1" s="1"/>
  <c r="J7" i="65"/>
  <c r="M24" i="44"/>
  <c r="M31" i="44"/>
  <c r="L48" i="44"/>
  <c r="F40" i="44"/>
  <c r="F9" i="44"/>
  <c r="F18" i="44"/>
  <c r="F7" i="15"/>
  <c r="M24" i="15"/>
  <c r="F38" i="15"/>
  <c r="J17" i="44"/>
  <c r="M8" i="44"/>
  <c r="F8" i="44"/>
  <c r="M23" i="15"/>
  <c r="M25" i="44"/>
  <c r="L49" i="44"/>
  <c r="M29" i="15"/>
  <c r="F36" i="15"/>
  <c r="L47" i="15"/>
  <c r="F11" i="44"/>
  <c r="J36" i="15"/>
  <c r="M28" i="44"/>
  <c r="F16" i="15"/>
  <c r="F43" i="44"/>
  <c r="F42" i="15"/>
  <c r="I3" i="65"/>
  <c r="I7" i="65"/>
  <c r="M26" i="15"/>
  <c r="F37" i="15"/>
  <c r="J3" i="65"/>
  <c r="F15" i="44"/>
  <c r="F43" i="15"/>
  <c r="F39" i="44"/>
  <c r="M11" i="44"/>
  <c r="M30" i="44"/>
  <c r="M10" i="44"/>
  <c r="M26" i="44"/>
  <c r="F45" i="44"/>
  <c r="F28" i="44"/>
  <c r="F10" i="44"/>
  <c r="L48" i="15"/>
  <c r="F38" i="44"/>
  <c r="M6" i="15"/>
  <c r="E2" i="65"/>
  <c r="R7" i="54" l="1"/>
  <c r="B52" i="63" s="1"/>
  <c r="F19" i="21"/>
  <c r="AA19" i="21" s="1"/>
  <c r="AZ268" i="3"/>
  <c r="AZ236" i="3"/>
  <c r="AZ206" i="3"/>
  <c r="AZ176" i="3"/>
  <c r="AZ319" i="3"/>
  <c r="AZ460" i="3"/>
  <c r="AZ465" i="3"/>
  <c r="E29" i="6"/>
  <c r="C51" i="39"/>
  <c r="H17" i="21"/>
  <c r="AC31" i="21"/>
  <c r="W31" i="21"/>
  <c r="AB14" i="37"/>
  <c r="U14" i="37"/>
  <c r="G102" i="39"/>
  <c r="H29" i="39"/>
  <c r="S9" i="37"/>
  <c r="AA9" i="37"/>
  <c r="AZ564" i="3"/>
  <c r="W25" i="37"/>
  <c r="AC25" i="37"/>
  <c r="S36" i="35"/>
  <c r="AA36" i="35"/>
  <c r="U14" i="34"/>
  <c r="AB14" i="34"/>
  <c r="AB28" i="34"/>
  <c r="U28" i="34"/>
  <c r="AA28" i="33"/>
  <c r="S28" i="33"/>
  <c r="S45" i="33"/>
  <c r="AA45" i="33"/>
  <c r="W27" i="37"/>
  <c r="AC27" i="37"/>
  <c r="U41" i="40"/>
  <c r="AB41" i="40"/>
  <c r="U25" i="37"/>
  <c r="AB25" i="37"/>
  <c r="AB36" i="35"/>
  <c r="U36" i="35"/>
  <c r="W14" i="34"/>
  <c r="AC14" i="34"/>
  <c r="AA9" i="35"/>
  <c r="S9" i="35"/>
  <c r="AZ99" i="3"/>
  <c r="F15" i="21"/>
  <c r="S15" i="21" s="1"/>
  <c r="H19" i="21"/>
  <c r="AB19" i="21" s="1"/>
  <c r="AZ239" i="3"/>
  <c r="F17" i="21"/>
  <c r="AZ509" i="3"/>
  <c r="AZ521" i="3"/>
  <c r="AA44" i="21"/>
  <c r="S44" i="21"/>
  <c r="G70" i="35"/>
  <c r="J20" i="35"/>
  <c r="F20" i="35"/>
  <c r="AB27" i="21"/>
  <c r="U27" i="21"/>
  <c r="AA16" i="40"/>
  <c r="S16" i="40"/>
  <c r="U33" i="36"/>
  <c r="AB33" i="36"/>
  <c r="AZ559" i="3"/>
  <c r="AB24" i="35"/>
  <c r="U24" i="35"/>
  <c r="AA32" i="34"/>
  <c r="S32" i="34"/>
  <c r="S14" i="34"/>
  <c r="AA14" i="34"/>
  <c r="AB9" i="35"/>
  <c r="U9" i="35"/>
  <c r="U26" i="33"/>
  <c r="AB26" i="33"/>
  <c r="AB23" i="35"/>
  <c r="U23" i="35"/>
  <c r="W27" i="21"/>
  <c r="AC27" i="21"/>
  <c r="W14" i="37"/>
  <c r="AC14" i="37"/>
  <c r="U9" i="37"/>
  <c r="AB9" i="37"/>
  <c r="U16" i="39"/>
  <c r="AB16" i="39"/>
  <c r="W9" i="37"/>
  <c r="AC9" i="37"/>
  <c r="AA25" i="37"/>
  <c r="S25" i="37"/>
  <c r="AC24" i="35"/>
  <c r="W24" i="35"/>
  <c r="W32" i="34"/>
  <c r="AC32" i="34"/>
  <c r="W45" i="33"/>
  <c r="AC45" i="33"/>
  <c r="F65" i="15"/>
  <c r="G35" i="1"/>
  <c r="K15" i="1"/>
  <c r="D84" i="59"/>
  <c r="C83" i="59"/>
  <c r="D83" i="59" s="1"/>
  <c r="AA12" i="36"/>
  <c r="S12" i="36"/>
  <c r="AC28" i="37"/>
  <c r="W28" i="37"/>
  <c r="AZ97" i="3"/>
  <c r="AZ429" i="3"/>
  <c r="U42" i="39"/>
  <c r="S19" i="21"/>
  <c r="J15" i="21"/>
  <c r="W15" i="21" s="1"/>
  <c r="AZ252" i="3"/>
  <c r="AZ276" i="3"/>
  <c r="U13" i="35"/>
  <c r="AB13" i="35"/>
  <c r="U47" i="34"/>
  <c r="AB47" i="34"/>
  <c r="A1" i="70"/>
  <c r="U19" i="21"/>
  <c r="H15" i="21"/>
  <c r="AZ284" i="3"/>
  <c r="AC47" i="34"/>
  <c r="W47" i="34"/>
  <c r="W29" i="33"/>
  <c r="AC29" i="33"/>
  <c r="AZ221" i="3"/>
  <c r="S35" i="35"/>
  <c r="AA35" i="35"/>
  <c r="AA29" i="33"/>
  <c r="S29" i="33"/>
  <c r="AA23" i="36"/>
  <c r="S23" i="36"/>
  <c r="W37" i="21"/>
  <c r="AC37" i="21"/>
  <c r="AZ459" i="3"/>
  <c r="AZ439" i="3"/>
  <c r="AZ112" i="3"/>
  <c r="AZ159" i="3"/>
  <c r="D80" i="59"/>
  <c r="C79" i="59"/>
  <c r="D79" i="59" s="1"/>
  <c r="AA9" i="34"/>
  <c r="S9" i="34"/>
  <c r="U12" i="36"/>
  <c r="AB12" i="36"/>
  <c r="AC29" i="34"/>
  <c r="W29" i="34"/>
  <c r="S30" i="21"/>
  <c r="AA30" i="21"/>
  <c r="AZ160" i="3"/>
  <c r="AZ140" i="3"/>
  <c r="AZ218" i="3"/>
  <c r="AZ470" i="3"/>
  <c r="AZ445" i="3"/>
  <c r="AB31" i="33"/>
  <c r="AZ292" i="3"/>
  <c r="U28" i="37"/>
  <c r="AB28" i="37"/>
  <c r="AA35" i="40"/>
  <c r="S35" i="40"/>
  <c r="AC43" i="21"/>
  <c r="W43" i="21"/>
  <c r="AC31" i="33"/>
  <c r="W31" i="33"/>
  <c r="U37" i="21"/>
  <c r="AB37" i="21"/>
  <c r="P29" i="46"/>
  <c r="B72" i="39" s="1"/>
  <c r="S25" i="39"/>
  <c r="U44" i="21"/>
  <c r="AB44" i="21"/>
  <c r="U12" i="21"/>
  <c r="AB12" i="21"/>
  <c r="AC40" i="37"/>
  <c r="W40" i="37"/>
  <c r="BL5" i="3"/>
  <c r="AZ103" i="3"/>
  <c r="AZ48" i="3"/>
  <c r="AZ204" i="3"/>
  <c r="AZ136" i="3"/>
  <c r="AZ438" i="3"/>
  <c r="AZ402" i="3"/>
  <c r="AZ224" i="3"/>
  <c r="F27" i="39"/>
  <c r="AA27" i="39" s="1"/>
  <c r="D18" i="9"/>
  <c r="M44" i="9" s="1"/>
  <c r="AZ180" i="3"/>
  <c r="AZ255" i="3"/>
  <c r="C71" i="59"/>
  <c r="D71" i="59" s="1"/>
  <c r="D72" i="59"/>
  <c r="AZ240" i="3"/>
  <c r="AZ260" i="3"/>
  <c r="C23" i="59"/>
  <c r="D24" i="59"/>
  <c r="U35" i="35"/>
  <c r="AB35" i="35"/>
  <c r="W13" i="34"/>
  <c r="AC13" i="34"/>
  <c r="AB15" i="40"/>
  <c r="U15" i="40"/>
  <c r="O49" i="39"/>
  <c r="S29" i="34"/>
  <c r="AA29" i="34"/>
  <c r="W42" i="21"/>
  <c r="S42" i="21"/>
  <c r="L58" i="15"/>
  <c r="Q61" i="15" s="1"/>
  <c r="L59" i="15"/>
  <c r="Q75" i="15" s="1"/>
  <c r="F64" i="15"/>
  <c r="L56" i="15"/>
  <c r="J53" i="15"/>
  <c r="F1" i="15" s="1"/>
  <c r="J57" i="15"/>
  <c r="J55" i="15" s="1"/>
  <c r="J58" i="15" s="1"/>
  <c r="Q51" i="15" s="1"/>
  <c r="I54" i="15"/>
  <c r="Q72" i="15"/>
  <c r="F48" i="15"/>
  <c r="J1" i="65"/>
  <c r="F63" i="15"/>
  <c r="W23" i="39"/>
  <c r="J27" i="39"/>
  <c r="AC27" i="39" s="1"/>
  <c r="AZ51" i="3"/>
  <c r="E15" i="6"/>
  <c r="C48" i="35"/>
  <c r="D48" i="35" s="1"/>
  <c r="E48" i="35" s="1"/>
  <c r="F48" i="35" s="1"/>
  <c r="G48" i="35" s="1"/>
  <c r="H48" i="35" s="1"/>
  <c r="I48" i="35" s="1"/>
  <c r="J48" i="35" s="1"/>
  <c r="K48" i="35" s="1"/>
  <c r="L48" i="35" s="1"/>
  <c r="M48" i="35" s="1"/>
  <c r="N48" i="35" s="1"/>
  <c r="O48" i="35" s="1"/>
  <c r="E7" i="35"/>
  <c r="I7" i="35"/>
  <c r="G7" i="35"/>
  <c r="P27" i="75"/>
  <c r="P25" i="75"/>
  <c r="P26" i="75"/>
  <c r="P29" i="75"/>
  <c r="P28" i="75"/>
  <c r="O23" i="75"/>
  <c r="C23" i="75"/>
  <c r="AZ82" i="3"/>
  <c r="AZ78" i="3"/>
  <c r="D57" i="59"/>
  <c r="T57" i="59"/>
  <c r="T61" i="59"/>
  <c r="D61" i="59"/>
  <c r="K8" i="1"/>
  <c r="M8" i="1" s="1"/>
  <c r="O8" i="1" s="1"/>
  <c r="P8" i="1" s="1"/>
  <c r="D33" i="75"/>
  <c r="D1" i="75" s="1"/>
  <c r="E9" i="12"/>
  <c r="AC23" i="36"/>
  <c r="W23" i="36"/>
  <c r="C28" i="77"/>
  <c r="C58" i="21"/>
  <c r="D58" i="21" s="1"/>
  <c r="E58" i="21" s="1"/>
  <c r="F58" i="21" s="1"/>
  <c r="G58" i="21" s="1"/>
  <c r="H58" i="21" s="1"/>
  <c r="I58" i="21" s="1"/>
  <c r="J58" i="21" s="1"/>
  <c r="K58" i="21" s="1"/>
  <c r="L58" i="21" s="1"/>
  <c r="M58" i="21" s="1"/>
  <c r="N58" i="21" s="1"/>
  <c r="O58" i="21" s="1"/>
  <c r="I7" i="21"/>
  <c r="G7" i="21"/>
  <c r="E7" i="21"/>
  <c r="P29" i="74"/>
  <c r="P25" i="74"/>
  <c r="P28" i="74"/>
  <c r="O23" i="74"/>
  <c r="C23" i="74"/>
  <c r="P27" i="74"/>
  <c r="P26" i="74"/>
  <c r="F61" i="79"/>
  <c r="E32" i="6"/>
  <c r="L19" i="6" s="1"/>
  <c r="L27" i="6" s="1"/>
  <c r="C9" i="12"/>
  <c r="D3" i="21"/>
  <c r="K6" i="1"/>
  <c r="M6" i="1" s="1"/>
  <c r="AB9" i="36"/>
  <c r="U9" i="36"/>
  <c r="C28" i="79"/>
  <c r="AZ47" i="3"/>
  <c r="T65" i="59"/>
  <c r="D65" i="59"/>
  <c r="AZ248" i="3"/>
  <c r="AZ244" i="3"/>
  <c r="AZ264" i="3"/>
  <c r="AZ232" i="3"/>
  <c r="AB26" i="35"/>
  <c r="U26" i="35"/>
  <c r="AA26" i="35"/>
  <c r="S26" i="35"/>
  <c r="W26" i="35"/>
  <c r="AC26" i="35"/>
  <c r="W12" i="35"/>
  <c r="AC12" i="35"/>
  <c r="F11" i="79"/>
  <c r="M11" i="79"/>
  <c r="J10" i="79" s="1"/>
  <c r="F49" i="15"/>
  <c r="M7" i="15"/>
  <c r="M17" i="15" s="1"/>
  <c r="C6" i="15"/>
  <c r="C32" i="15" s="1"/>
  <c r="F70" i="15"/>
  <c r="M7" i="1"/>
  <c r="O7" i="1" s="1"/>
  <c r="P7" i="1" s="1"/>
  <c r="U23" i="21"/>
  <c r="W19" i="21"/>
  <c r="AC19" i="21"/>
  <c r="AC15" i="21"/>
  <c r="AA15" i="21"/>
  <c r="M11" i="77"/>
  <c r="J10" i="77" s="1"/>
  <c r="F11" i="77"/>
  <c r="S43" i="39"/>
  <c r="AC42" i="39"/>
  <c r="W42" i="39"/>
  <c r="W25" i="39"/>
  <c r="W27" i="39"/>
  <c r="AC44" i="39"/>
  <c r="AC43" i="39"/>
  <c r="AB43" i="39"/>
  <c r="AC36" i="39"/>
  <c r="W36" i="39"/>
  <c r="U27" i="39"/>
  <c r="AB25" i="39"/>
  <c r="U23" i="39"/>
  <c r="AA23" i="39"/>
  <c r="S23" i="39"/>
  <c r="Q73" i="44"/>
  <c r="M9" i="44"/>
  <c r="J8" i="44" s="1"/>
  <c r="J20" i="44" s="1"/>
  <c r="L57" i="44"/>
  <c r="I55" i="44"/>
  <c r="J54" i="44"/>
  <c r="F1" i="44" s="1"/>
  <c r="J58" i="44"/>
  <c r="J56" i="44" s="1"/>
  <c r="J59" i="44" s="1"/>
  <c r="Q52" i="44" s="1"/>
  <c r="C8" i="44"/>
  <c r="C34" i="44" s="1"/>
  <c r="C29" i="44"/>
  <c r="L60" i="44"/>
  <c r="Q76" i="44" s="1"/>
  <c r="L59" i="44"/>
  <c r="Q75" i="44" s="1"/>
  <c r="D21" i="12"/>
  <c r="C21" i="12" s="1"/>
  <c r="K17" i="4"/>
  <c r="A22" i="51" s="1"/>
  <c r="B16" i="63" s="1"/>
  <c r="P27" i="46"/>
  <c r="P28" i="46"/>
  <c r="B67" i="40" s="1"/>
  <c r="O23" i="46"/>
  <c r="P25" i="46"/>
  <c r="P26" i="46"/>
  <c r="B16" i="59"/>
  <c r="B15" i="59" s="1"/>
  <c r="B14" i="59" s="1"/>
  <c r="B13" i="59" s="1"/>
  <c r="B12"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I8" i="6" s="1"/>
  <c r="E58" i="39"/>
  <c r="E10" i="6"/>
  <c r="E14" i="6"/>
  <c r="E65" i="39" s="1"/>
  <c r="E13" i="6"/>
  <c r="E59" i="40" s="1"/>
  <c r="E11" i="6"/>
  <c r="E62" i="39" s="1"/>
  <c r="E28" i="6"/>
  <c r="K14" i="1" s="1"/>
  <c r="G5" i="3"/>
  <c r="B3" i="3" s="1"/>
  <c r="AT6" i="3" s="1"/>
  <c r="E63" i="39"/>
  <c r="E58" i="40"/>
  <c r="E66" i="39"/>
  <c r="E61" i="40"/>
  <c r="H7" i="34"/>
  <c r="U7" i="34" s="1"/>
  <c r="F7" i="34"/>
  <c r="AA7" i="34" s="1"/>
  <c r="R49" i="34" s="1"/>
  <c r="J7" i="34"/>
  <c r="W7" i="34" s="1"/>
  <c r="F7" i="21"/>
  <c r="AA7" i="21" s="1"/>
  <c r="H7" i="21"/>
  <c r="AB7" i="21" s="1"/>
  <c r="S13" i="59"/>
  <c r="F58" i="15"/>
  <c r="H7" i="35"/>
  <c r="U7" i="35" s="1"/>
  <c r="B40" i="1"/>
  <c r="F24" i="79" s="1"/>
  <c r="E64" i="40"/>
  <c r="D66" i="40"/>
  <c r="AC7" i="33"/>
  <c r="V48" i="33" s="1"/>
  <c r="I48" i="33" s="1"/>
  <c r="J7" i="37"/>
  <c r="D71" i="39"/>
  <c r="E69" i="39"/>
  <c r="H7" i="33"/>
  <c r="F7" i="33"/>
  <c r="J46" i="36"/>
  <c r="J7" i="35"/>
  <c r="F7" i="35"/>
  <c r="H7" i="37"/>
  <c r="F7" i="37"/>
  <c r="M19" i="44"/>
  <c r="M13" i="44"/>
  <c r="J12" i="44" s="1"/>
  <c r="F11" i="15"/>
  <c r="M11" i="15"/>
  <c r="F13" i="44"/>
  <c r="C12" i="44" s="1"/>
  <c r="M32" i="46"/>
  <c r="P32" i="46"/>
  <c r="O32" i="46"/>
  <c r="N32" i="46"/>
  <c r="AE6" i="1"/>
  <c r="AE12" i="1"/>
  <c r="AE7" i="1"/>
  <c r="AE9" i="1"/>
  <c r="AE11" i="1"/>
  <c r="M23" i="79"/>
  <c r="L47" i="77"/>
  <c r="M24" i="77"/>
  <c r="F13" i="77"/>
  <c r="J15" i="77"/>
  <c r="E3" i="65"/>
  <c r="F7" i="79"/>
  <c r="F41" i="15"/>
  <c r="F36" i="79"/>
  <c r="F42" i="79"/>
  <c r="M24" i="79"/>
  <c r="F8" i="77"/>
  <c r="M28" i="79"/>
  <c r="F38" i="77"/>
  <c r="M29" i="77"/>
  <c r="M23" i="77"/>
  <c r="C18" i="44"/>
  <c r="F37" i="77"/>
  <c r="M6" i="77"/>
  <c r="F7" i="77"/>
  <c r="F9" i="77"/>
  <c r="M8" i="77"/>
  <c r="L48" i="77"/>
  <c r="M8" i="79"/>
  <c r="F46" i="44"/>
  <c r="M26" i="79"/>
  <c r="F38" i="79"/>
  <c r="M22" i="79"/>
  <c r="M22" i="77"/>
  <c r="J15" i="79"/>
  <c r="L47" i="79"/>
  <c r="M9" i="79"/>
  <c r="M6" i="79"/>
  <c r="F40" i="77"/>
  <c r="F26" i="77"/>
  <c r="F40" i="79"/>
  <c r="F13" i="79"/>
  <c r="F26" i="79"/>
  <c r="F9" i="79"/>
  <c r="F6" i="77"/>
  <c r="M26" i="77"/>
  <c r="F36" i="77"/>
  <c r="F42" i="77"/>
  <c r="M28" i="77"/>
  <c r="F37" i="79"/>
  <c r="J36" i="77"/>
  <c r="L48" i="79"/>
  <c r="M9" i="77"/>
  <c r="J36" i="79"/>
  <c r="F16" i="79"/>
  <c r="F16" i="77"/>
  <c r="C16" i="15"/>
  <c r="F8" i="79"/>
  <c r="F43" i="77"/>
  <c r="F6" i="79"/>
  <c r="Q74" i="15" l="1"/>
  <c r="Q62" i="15"/>
  <c r="S20" i="35"/>
  <c r="AA20" i="35"/>
  <c r="AC20" i="35"/>
  <c r="W20" i="35"/>
  <c r="AB17" i="21"/>
  <c r="U17" i="21"/>
  <c r="AZ5" i="3"/>
  <c r="E3" i="6" s="1"/>
  <c r="S17" i="21"/>
  <c r="AA17" i="21"/>
  <c r="U29" i="39"/>
  <c r="AB29" i="39"/>
  <c r="U15" i="21"/>
  <c r="AB15" i="21"/>
  <c r="D23" i="59"/>
  <c r="C22" i="59"/>
  <c r="S27" i="39"/>
  <c r="S7" i="34"/>
  <c r="T48" i="21"/>
  <c r="G48" i="21" s="1"/>
  <c r="R48" i="21"/>
  <c r="R49" i="21" s="1"/>
  <c r="F31" i="6"/>
  <c r="K26" i="1" s="1"/>
  <c r="M26" i="1" s="1"/>
  <c r="N50" i="39"/>
  <c r="O50" i="39" s="1"/>
  <c r="O51" i="39" s="1"/>
  <c r="O52" i="39" s="1"/>
  <c r="Q53" i="15"/>
  <c r="C48" i="15"/>
  <c r="L58" i="79"/>
  <c r="L59" i="79"/>
  <c r="F67" i="79"/>
  <c r="F65" i="79"/>
  <c r="F67" i="77"/>
  <c r="C27" i="77"/>
  <c r="F65" i="77"/>
  <c r="F63" i="79"/>
  <c r="C27" i="79"/>
  <c r="C6" i="79"/>
  <c r="L58" i="77"/>
  <c r="L59" i="77"/>
  <c r="Q72" i="77"/>
  <c r="F17" i="11"/>
  <c r="C17" i="11" s="1"/>
  <c r="C19" i="11" s="1"/>
  <c r="C20" i="11" s="1"/>
  <c r="C21" i="11" s="1"/>
  <c r="F49" i="79"/>
  <c r="M7" i="79"/>
  <c r="J6" i="79" s="1"/>
  <c r="J5" i="79" s="1"/>
  <c r="F64" i="79"/>
  <c r="F50" i="79"/>
  <c r="Q72" i="79"/>
  <c r="M7" i="77"/>
  <c r="J6" i="77" s="1"/>
  <c r="J5" i="77" s="1"/>
  <c r="F49" i="77"/>
  <c r="F64" i="77"/>
  <c r="F63" i="77"/>
  <c r="F48" i="79"/>
  <c r="J57" i="79"/>
  <c r="J55" i="79" s="1"/>
  <c r="J58" i="79" s="1"/>
  <c r="Q51" i="79" s="1"/>
  <c r="L57" i="79"/>
  <c r="I54" i="79"/>
  <c r="L56" i="79"/>
  <c r="L60" i="79"/>
  <c r="J53" i="79"/>
  <c r="F70" i="77"/>
  <c r="F48" i="77"/>
  <c r="J53" i="77"/>
  <c r="J57" i="77"/>
  <c r="J55" i="77" s="1"/>
  <c r="J58" i="77" s="1"/>
  <c r="Q51" i="77" s="1"/>
  <c r="I54" i="77"/>
  <c r="L56" i="77"/>
  <c r="C6" i="77"/>
  <c r="F50" i="77"/>
  <c r="T6" i="75"/>
  <c r="V6" i="75" s="1"/>
  <c r="T3" i="75"/>
  <c r="V3" i="75" s="1"/>
  <c r="T5" i="75"/>
  <c r="V5" i="75" s="1"/>
  <c r="C33" i="75"/>
  <c r="E33" i="75" s="1"/>
  <c r="C40" i="75"/>
  <c r="C38" i="75"/>
  <c r="T16" i="75"/>
  <c r="V16" i="75" s="1"/>
  <c r="T10" i="75"/>
  <c r="V10" i="75" s="1"/>
  <c r="T4" i="75"/>
  <c r="V4" i="75" s="1"/>
  <c r="T9" i="75"/>
  <c r="V9" i="75" s="1"/>
  <c r="T2" i="75"/>
  <c r="V2" i="75" s="1"/>
  <c r="C41" i="75"/>
  <c r="T15" i="75"/>
  <c r="V15" i="75" s="1"/>
  <c r="T8" i="75"/>
  <c r="V8" i="75" s="1"/>
  <c r="C39" i="75"/>
  <c r="T14" i="75"/>
  <c r="V14" i="75" s="1"/>
  <c r="T12" i="75"/>
  <c r="V12" i="75" s="1"/>
  <c r="T11" i="75"/>
  <c r="V11" i="75" s="1"/>
  <c r="T7" i="75"/>
  <c r="V7" i="75" s="1"/>
  <c r="C42" i="75"/>
  <c r="T13" i="75"/>
  <c r="V13" i="75" s="1"/>
  <c r="C37" i="75"/>
  <c r="D16" i="43"/>
  <c r="C16" i="43" s="1"/>
  <c r="B14" i="66"/>
  <c r="C15" i="43"/>
  <c r="O6" i="1"/>
  <c r="P6" i="1" s="1"/>
  <c r="C15" i="12" s="1"/>
  <c r="G34" i="1" s="1"/>
  <c r="T14" i="74"/>
  <c r="V14" i="74" s="1"/>
  <c r="T11" i="74"/>
  <c r="V11" i="74" s="1"/>
  <c r="T8" i="74"/>
  <c r="V8" i="74" s="1"/>
  <c r="C33" i="74"/>
  <c r="C38" i="74"/>
  <c r="T6" i="74"/>
  <c r="V6" i="74" s="1"/>
  <c r="T15" i="74"/>
  <c r="V15" i="74" s="1"/>
  <c r="T7" i="74"/>
  <c r="V7" i="74" s="1"/>
  <c r="T5" i="74"/>
  <c r="V5" i="74" s="1"/>
  <c r="T13" i="74"/>
  <c r="V13" i="74" s="1"/>
  <c r="C40" i="74"/>
  <c r="C41" i="74"/>
  <c r="T2" i="74"/>
  <c r="V2" i="74" s="1"/>
  <c r="T16" i="74"/>
  <c r="V16" i="74" s="1"/>
  <c r="T4" i="74"/>
  <c r="V4" i="74" s="1"/>
  <c r="T3" i="74"/>
  <c r="V3" i="74" s="1"/>
  <c r="C39" i="74"/>
  <c r="C37" i="74"/>
  <c r="T12" i="74"/>
  <c r="V12" i="74" s="1"/>
  <c r="T9" i="74"/>
  <c r="V9" i="74" s="1"/>
  <c r="T10" i="74"/>
  <c r="V10" i="74" s="1"/>
  <c r="C42" i="74"/>
  <c r="J6" i="15"/>
  <c r="J18" i="15" s="1"/>
  <c r="C24" i="79"/>
  <c r="C52" i="79"/>
  <c r="C10" i="79"/>
  <c r="W7" i="21"/>
  <c r="L36" i="75"/>
  <c r="Q36" i="75" s="1"/>
  <c r="F24" i="77"/>
  <c r="C52" i="77"/>
  <c r="J7" i="44"/>
  <c r="J26" i="44" s="1"/>
  <c r="Q63" i="44"/>
  <c r="Q62" i="44"/>
  <c r="L36" i="46"/>
  <c r="Q36" i="46" s="1"/>
  <c r="L36" i="74"/>
  <c r="Q54" i="44"/>
  <c r="C7" i="44"/>
  <c r="C40" i="44" s="1"/>
  <c r="J60" i="44"/>
  <c r="J61" i="44" s="1"/>
  <c r="Q50" i="44" s="1"/>
  <c r="N66" i="59"/>
  <c r="N67" i="59"/>
  <c r="F12" i="59"/>
  <c r="F11" i="59" s="1"/>
  <c r="V13" i="59"/>
  <c r="C33" i="59"/>
  <c r="D32" i="59"/>
  <c r="E20" i="59"/>
  <c r="E19" i="59" s="1"/>
  <c r="E18" i="59" s="1"/>
  <c r="E17" i="59" s="1"/>
  <c r="U21" i="59"/>
  <c r="C41" i="59"/>
  <c r="D40" i="59"/>
  <c r="AB7" i="34"/>
  <c r="T49" i="34" s="1"/>
  <c r="G49" i="34" s="1"/>
  <c r="C21" i="4"/>
  <c r="O5" i="54" s="1"/>
  <c r="B45" i="63" s="1"/>
  <c r="E6" i="6"/>
  <c r="D13" i="11" s="1"/>
  <c r="C13" i="11" s="1"/>
  <c r="AC7" i="34"/>
  <c r="V49" i="34" s="1"/>
  <c r="I49" i="34" s="1"/>
  <c r="G54" i="34" s="1"/>
  <c r="H54" i="34" s="1"/>
  <c r="J10" i="15"/>
  <c r="AG8" i="1"/>
  <c r="AG9" i="1"/>
  <c r="AG11" i="1"/>
  <c r="AG12" i="1"/>
  <c r="AG10" i="1"/>
  <c r="AG7" i="1"/>
  <c r="AG6" i="1"/>
  <c r="F68" i="15"/>
  <c r="D5" i="46"/>
  <c r="C5" i="46"/>
  <c r="C33" i="46" s="1"/>
  <c r="D16" i="12"/>
  <c r="D19" i="12" s="1"/>
  <c r="C19" i="12" s="1"/>
  <c r="L38" i="9"/>
  <c r="B1" i="66" s="1"/>
  <c r="C7" i="66" s="1"/>
  <c r="D45" i="9"/>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E48" i="21"/>
  <c r="AA7" i="33"/>
  <c r="R48" i="33" s="1"/>
  <c r="S7" i="33"/>
  <c r="F69" i="39"/>
  <c r="E71" i="39"/>
  <c r="G52" i="21"/>
  <c r="H52" i="21" s="1"/>
  <c r="G53" i="21"/>
  <c r="H53" i="21" s="1"/>
  <c r="R50" i="34"/>
  <c r="E49" i="34"/>
  <c r="I52" i="33"/>
  <c r="J52" i="33" s="1"/>
  <c r="E66" i="40"/>
  <c r="F64" i="40"/>
  <c r="C52" i="15"/>
  <c r="C10" i="15"/>
  <c r="C5" i="15" s="1"/>
  <c r="C38" i="15" s="1"/>
  <c r="C16" i="77"/>
  <c r="M27" i="77"/>
  <c r="M27" i="15"/>
  <c r="M29" i="44"/>
  <c r="M27" i="79"/>
  <c r="C10" i="77" l="1"/>
  <c r="C5" i="77" s="1"/>
  <c r="G9" i="77"/>
  <c r="C47" i="15"/>
  <c r="C65" i="15" s="1"/>
  <c r="C21" i="59"/>
  <c r="D22" i="59"/>
  <c r="C48" i="79"/>
  <c r="C60" i="79" s="1"/>
  <c r="J24" i="77"/>
  <c r="J26" i="77"/>
  <c r="L37" i="75"/>
  <c r="P37" i="75" s="1"/>
  <c r="J26" i="79"/>
  <c r="J24" i="79"/>
  <c r="E41" i="74"/>
  <c r="G41" i="74"/>
  <c r="I41" i="74" s="1"/>
  <c r="C34" i="74"/>
  <c r="E34" i="74" s="1"/>
  <c r="E33" i="74"/>
  <c r="E42" i="75"/>
  <c r="G42" i="75"/>
  <c r="I42" i="75" s="1"/>
  <c r="E41" i="75"/>
  <c r="G41" i="75"/>
  <c r="I41" i="75" s="1"/>
  <c r="Q53" i="79"/>
  <c r="F1" i="79"/>
  <c r="J18" i="77"/>
  <c r="J19" i="77"/>
  <c r="J18" i="79"/>
  <c r="J19" i="79"/>
  <c r="Q62" i="77"/>
  <c r="Q75" i="77"/>
  <c r="G40" i="74"/>
  <c r="I40" i="74" s="1"/>
  <c r="E40" i="74"/>
  <c r="G39" i="75"/>
  <c r="I39" i="75" s="1"/>
  <c r="E39" i="75"/>
  <c r="C34" i="75"/>
  <c r="E34" i="75" s="1"/>
  <c r="C32" i="77"/>
  <c r="C33" i="77"/>
  <c r="F1" i="77"/>
  <c r="Q53" i="77"/>
  <c r="Q67" i="79"/>
  <c r="Q58" i="79"/>
  <c r="Q61" i="77"/>
  <c r="Q74" i="77"/>
  <c r="G42" i="74"/>
  <c r="I42" i="74" s="1"/>
  <c r="E42" i="74"/>
  <c r="E37" i="74"/>
  <c r="G37" i="74"/>
  <c r="I37" i="74" s="1"/>
  <c r="G37" i="75"/>
  <c r="I37" i="75" s="1"/>
  <c r="E37" i="75"/>
  <c r="E38" i="75"/>
  <c r="G38" i="75"/>
  <c r="I38" i="75" s="1"/>
  <c r="C32" i="79"/>
  <c r="C33" i="79"/>
  <c r="Q75" i="79"/>
  <c r="Q62" i="79"/>
  <c r="J5" i="15"/>
  <c r="J24" i="15" s="1"/>
  <c r="M23" i="74"/>
  <c r="M23" i="75"/>
  <c r="G39" i="74"/>
  <c r="I39" i="74" s="1"/>
  <c r="E39" i="74"/>
  <c r="E38" i="74"/>
  <c r="G38" i="74"/>
  <c r="I38" i="74" s="1"/>
  <c r="E40" i="75"/>
  <c r="G40" i="75"/>
  <c r="I40" i="75" s="1"/>
  <c r="C48" i="77"/>
  <c r="C60" i="77" s="1"/>
  <c r="Q61" i="79"/>
  <c r="Q74" i="79"/>
  <c r="J59" i="79"/>
  <c r="J60" i="79" s="1"/>
  <c r="Q49" i="79" s="1"/>
  <c r="P36" i="75"/>
  <c r="N36" i="75"/>
  <c r="O36" i="75"/>
  <c r="M36" i="75"/>
  <c r="C24" i="77"/>
  <c r="C38" i="77"/>
  <c r="M36" i="46"/>
  <c r="O36" i="46"/>
  <c r="L37" i="46"/>
  <c r="O37" i="46" s="1"/>
  <c r="N36" i="46"/>
  <c r="P36" i="46"/>
  <c r="Q36" i="74"/>
  <c r="M36" i="74"/>
  <c r="P36" i="74"/>
  <c r="O36" i="74"/>
  <c r="L37" i="74"/>
  <c r="N36" i="74"/>
  <c r="D22" i="12"/>
  <c r="C22" i="12" s="1"/>
  <c r="C20" i="12"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C40" i="46"/>
  <c r="G40" i="46" s="1"/>
  <c r="I40" i="46" s="1"/>
  <c r="C37" i="46"/>
  <c r="E37" i="46" s="1"/>
  <c r="C41" i="46"/>
  <c r="G41" i="46" s="1"/>
  <c r="I41" i="46" s="1"/>
  <c r="C39" i="46"/>
  <c r="G39" i="46" s="1"/>
  <c r="I39" i="46" s="1"/>
  <c r="C38" i="4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F8" i="67"/>
  <c r="AE10" i="1"/>
  <c r="F9" i="67"/>
  <c r="AE8" i="1"/>
  <c r="F41" i="77"/>
  <c r="C59" i="15" l="1"/>
  <c r="C47" i="79"/>
  <c r="C59" i="79" s="1"/>
  <c r="C20" i="59"/>
  <c r="T21" i="59"/>
  <c r="D21" i="59"/>
  <c r="C30" i="75"/>
  <c r="N37" i="75"/>
  <c r="O37" i="75"/>
  <c r="Q37" i="75"/>
  <c r="M37" i="75"/>
  <c r="F68" i="77"/>
  <c r="J29" i="77"/>
  <c r="B2" i="75"/>
  <c r="C30" i="74"/>
  <c r="C31" i="75"/>
  <c r="C31" i="74"/>
  <c r="C47" i="77"/>
  <c r="B2" i="21"/>
  <c r="C10" i="12" s="1"/>
  <c r="C8" i="12"/>
  <c r="M37" i="46"/>
  <c r="Q37" i="46"/>
  <c r="N37" i="46"/>
  <c r="P37" i="46"/>
  <c r="Q37" i="74"/>
  <c r="M37" i="74"/>
  <c r="O37" i="74"/>
  <c r="N37" i="74"/>
  <c r="P37" i="74"/>
  <c r="E40" i="46"/>
  <c r="E12" i="59"/>
  <c r="E11" i="59" s="1"/>
  <c r="E10" i="59" s="1"/>
  <c r="E9" i="59" s="1"/>
  <c r="U9" i="59" s="1"/>
  <c r="U13" i="59"/>
  <c r="E41" i="46"/>
  <c r="G37" i="46"/>
  <c r="I37" i="46" s="1"/>
  <c r="E39" i="46"/>
  <c r="G42" i="46"/>
  <c r="E38" i="46"/>
  <c r="G38" i="46"/>
  <c r="I38" i="46" s="1"/>
  <c r="S12" i="1"/>
  <c r="S11" i="1"/>
  <c r="E6" i="3"/>
  <c r="F8" i="59"/>
  <c r="B9" i="59"/>
  <c r="S9" i="59" s="1"/>
  <c r="D8" i="6"/>
  <c r="E62" i="40"/>
  <c r="D15" i="6"/>
  <c r="D11" i="6"/>
  <c r="K38" i="9"/>
  <c r="B2" i="66" s="1"/>
  <c r="E45" i="9"/>
  <c r="D14" i="6"/>
  <c r="D21" i="6"/>
  <c r="D13" i="6"/>
  <c r="E67" i="39"/>
  <c r="D25" i="6"/>
  <c r="D29" i="6"/>
  <c r="D5" i="6"/>
  <c r="D26" i="6"/>
  <c r="D20" i="6"/>
  <c r="D10" i="6"/>
  <c r="D12" i="6"/>
  <c r="F45" i="9"/>
  <c r="D28" i="6"/>
  <c r="C22" i="4"/>
  <c r="D24" i="6"/>
  <c r="D19" i="6"/>
  <c r="D9" i="6"/>
  <c r="D6" i="6"/>
  <c r="P14"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D77" i="9"/>
  <c r="N75" i="9" s="1"/>
  <c r="B9" i="67"/>
  <c r="E9" i="67"/>
  <c r="C19" i="44"/>
  <c r="E8" i="67"/>
  <c r="F41" i="79"/>
  <c r="C65" i="79" l="1"/>
  <c r="C19" i="59"/>
  <c r="D20" i="59"/>
  <c r="F68" i="79"/>
  <c r="J29" i="79"/>
  <c r="D4" i="75"/>
  <c r="B3" i="75"/>
  <c r="B4" i="75"/>
  <c r="C65" i="77"/>
  <c r="C59" i="77"/>
  <c r="B2" i="74"/>
  <c r="D30" i="6"/>
  <c r="F7" i="59"/>
  <c r="B8" i="59"/>
  <c r="E8" i="59"/>
  <c r="A20" i="64"/>
  <c r="A6" i="64"/>
  <c r="A20" i="51"/>
  <c r="B15" i="63" s="1"/>
  <c r="N5" i="54"/>
  <c r="B43" i="63" s="1"/>
  <c r="A6" i="51"/>
  <c r="B7" i="63" s="1"/>
  <c r="D8" i="66"/>
  <c r="D7" i="66"/>
  <c r="D16" i="6"/>
  <c r="I64" i="40"/>
  <c r="H66" i="40"/>
  <c r="H71" i="39"/>
  <c r="I69" i="39"/>
  <c r="N46" i="36"/>
  <c r="B8" i="67"/>
  <c r="C18" i="59" l="1"/>
  <c r="D19" i="59"/>
  <c r="D4" i="74"/>
  <c r="B3" i="74"/>
  <c r="B4" i="74"/>
  <c r="E7" i="59"/>
  <c r="B7" i="59"/>
  <c r="F6" i="59"/>
  <c r="O46" i="36"/>
  <c r="J7" i="36" s="1"/>
  <c r="J64" i="40"/>
  <c r="I66" i="40"/>
  <c r="J69" i="39"/>
  <c r="I71" i="39"/>
  <c r="C17" i="59" l="1"/>
  <c r="D18" i="59"/>
  <c r="H7" i="36"/>
  <c r="AB7" i="36" s="1"/>
  <c r="T36" i="36" s="1"/>
  <c r="G36" i="36" s="1"/>
  <c r="F7" i="36"/>
  <c r="AA7" i="36" s="1"/>
  <c r="R36" i="36" s="1"/>
  <c r="F5" i="59"/>
  <c r="V5" i="59" s="1"/>
  <c r="B6" i="59"/>
  <c r="E6" i="59"/>
  <c r="K69" i="39"/>
  <c r="J71" i="39"/>
  <c r="AC7" i="36"/>
  <c r="V36" i="36" s="1"/>
  <c r="I36" i="36" s="1"/>
  <c r="W7" i="36"/>
  <c r="J66" i="40"/>
  <c r="K64" i="40"/>
  <c r="T17" i="59" l="1"/>
  <c r="D17" i="59"/>
  <c r="C16" i="59"/>
  <c r="U7" i="36"/>
  <c r="S7" i="36"/>
  <c r="E5" i="59"/>
  <c r="U5" i="59" s="1"/>
  <c r="B5" i="59"/>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C13" i="59" l="1"/>
  <c r="D14" i="59"/>
  <c r="L57" i="77"/>
  <c r="L60" i="77" s="1"/>
  <c r="J9" i="40"/>
  <c r="H9" i="40"/>
  <c r="F9" i="40"/>
  <c r="J9" i="39"/>
  <c r="H9" i="39"/>
  <c r="F9" i="39"/>
  <c r="T13" i="59" l="1"/>
  <c r="C12" i="59"/>
  <c r="D13" i="59"/>
  <c r="Q67" i="77"/>
  <c r="L46" i="77"/>
  <c r="Q58" i="77"/>
  <c r="S9" i="39"/>
  <c r="AA9" i="39"/>
  <c r="W9" i="39"/>
  <c r="AC9" i="39"/>
  <c r="U9" i="40"/>
  <c r="AB9" i="40"/>
  <c r="T44" i="40" s="1"/>
  <c r="G44" i="40" s="1"/>
  <c r="U9" i="39"/>
  <c r="AB9" i="39"/>
  <c r="S9" i="40"/>
  <c r="AA9" i="40"/>
  <c r="R44" i="40" s="1"/>
  <c r="AC9" i="40"/>
  <c r="V44" i="40" s="1"/>
  <c r="I44" i="40" s="1"/>
  <c r="I48" i="40" s="1"/>
  <c r="J48" i="40" s="1"/>
  <c r="W9" i="40"/>
  <c r="C11" i="59" l="1"/>
  <c r="D12" i="59"/>
  <c r="R45" i="40"/>
  <c r="E44" i="40"/>
  <c r="G48" i="40"/>
  <c r="H48" i="40" s="1"/>
  <c r="G49" i="40"/>
  <c r="H49" i="40" s="1"/>
  <c r="C10" i="59" l="1"/>
  <c r="D11" i="59"/>
  <c r="I49" i="40"/>
  <c r="J49" i="40" s="1"/>
  <c r="E49" i="40"/>
  <c r="F49" i="40" s="1"/>
  <c r="E48" i="40"/>
  <c r="F48" i="40" s="1"/>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D9" i="59" l="1"/>
  <c r="C8" i="59"/>
  <c r="T9" i="59"/>
  <c r="B5" i="40"/>
  <c r="B4" i="40"/>
  <c r="B3" i="40"/>
  <c r="C7" i="59" l="1"/>
  <c r="D8" i="59"/>
  <c r="F20" i="43"/>
  <c r="D20" i="43" s="1"/>
  <c r="F26" i="12"/>
  <c r="F26" i="44"/>
  <c r="F24" i="15"/>
  <c r="D7" i="59" l="1"/>
  <c r="C6" i="59"/>
  <c r="C24" i="15"/>
  <c r="C27" i="12"/>
  <c r="D26" i="12" s="1"/>
  <c r="C32" i="12" s="1"/>
  <c r="D30" i="12" s="1"/>
  <c r="C26" i="44"/>
  <c r="C5" i="59" l="1"/>
  <c r="D6" i="59"/>
  <c r="C35" i="44"/>
  <c r="J19" i="15"/>
  <c r="C33" i="15"/>
  <c r="J59" i="15"/>
  <c r="J60" i="15" s="1"/>
  <c r="Q49" i="15" s="1"/>
  <c r="J21" i="44"/>
  <c r="M24" i="75" l="1"/>
  <c r="M24" i="74"/>
  <c r="D5" i="59"/>
  <c r="T5" i="59"/>
  <c r="M24" i="46"/>
  <c r="C60" i="15"/>
  <c r="J28" i="44"/>
  <c r="J31" i="44" s="1"/>
  <c r="Q67" i="44" s="1"/>
  <c r="L47" i="44"/>
  <c r="J26" i="15"/>
  <c r="J29" i="15" s="1"/>
  <c r="Q49" i="44" l="1"/>
  <c r="Q55" i="44" s="1"/>
  <c r="Q58" i="44"/>
  <c r="R12" i="1"/>
  <c r="R11" i="1"/>
  <c r="F37" i="44"/>
  <c r="M23" i="44"/>
  <c r="C36" i="44" l="1"/>
  <c r="C33" i="44" s="1"/>
  <c r="J22" i="44"/>
  <c r="J19" i="44" s="1"/>
  <c r="C12" i="79" l="1"/>
  <c r="C5" i="79" s="1"/>
  <c r="C38" i="79" s="1"/>
  <c r="F3" i="35" l="1"/>
  <c r="G22" i="6"/>
  <c r="G23" i="6"/>
  <c r="E23" i="6" s="1"/>
  <c r="G9" i="12" l="1"/>
  <c r="K10" i="1"/>
  <c r="D23" i="6"/>
  <c r="D42" i="46"/>
  <c r="G27" i="6"/>
  <c r="G31" i="6" s="1"/>
  <c r="K27" i="1" s="1"/>
  <c r="E22" i="6"/>
  <c r="M29" i="79"/>
  <c r="F43" i="79"/>
  <c r="F70" i="79" l="1"/>
  <c r="M27" i="1"/>
  <c r="M25" i="1" s="1"/>
  <c r="K25" i="1"/>
  <c r="D22" i="6"/>
  <c r="D27" i="6" s="1"/>
  <c r="D31" i="6" s="1"/>
  <c r="I6" i="6" s="1"/>
  <c r="F9" i="12"/>
  <c r="D3" i="35"/>
  <c r="K9" i="1"/>
  <c r="E27" i="6"/>
  <c r="K22" i="6" s="1"/>
  <c r="M10" i="1"/>
  <c r="H42" i="46"/>
  <c r="I42" i="46" s="1"/>
  <c r="C31" i="46" s="1"/>
  <c r="D1" i="46"/>
  <c r="E42" i="46"/>
  <c r="C16" i="79"/>
  <c r="F7" i="67"/>
  <c r="E4" i="67" l="1"/>
  <c r="K16" i="1"/>
  <c r="AP16" i="1"/>
  <c r="F22" i="11" s="1"/>
  <c r="C22" i="11" s="1"/>
  <c r="C23" i="11" s="1"/>
  <c r="B2" i="11" s="1"/>
  <c r="G16" i="1"/>
  <c r="Q16" i="1"/>
  <c r="M9" i="1"/>
  <c r="H16" i="1"/>
  <c r="K33" i="1"/>
  <c r="K30" i="1"/>
  <c r="M30" i="1" s="1"/>
  <c r="K28" i="1"/>
  <c r="M28" i="1" s="1"/>
  <c r="K24" i="1"/>
  <c r="O10" i="1"/>
  <c r="P10" i="1" s="1"/>
  <c r="C30" i="46"/>
  <c r="M22" i="6"/>
  <c r="I22" i="6" s="1"/>
  <c r="S9" i="1"/>
  <c r="K20" i="6"/>
  <c r="K19" i="6"/>
  <c r="K21" i="6"/>
  <c r="K26" i="6"/>
  <c r="M26" i="6" s="1"/>
  <c r="I26" i="6" s="1"/>
  <c r="K24" i="6"/>
  <c r="M24" i="6" s="1"/>
  <c r="I24" i="6" s="1"/>
  <c r="K25" i="6"/>
  <c r="M25" i="6" s="1"/>
  <c r="I25" i="6" s="1"/>
  <c r="E31" i="6"/>
  <c r="I5" i="6" s="1"/>
  <c r="K23" i="6"/>
  <c r="E7" i="67"/>
  <c r="E3" i="67" l="1"/>
  <c r="H25" i="6"/>
  <c r="R25" i="6" s="1"/>
  <c r="S25" i="6"/>
  <c r="M19" i="6"/>
  <c r="S6" i="1"/>
  <c r="K27" i="6"/>
  <c r="S24" i="6"/>
  <c r="H24" i="6"/>
  <c r="R24" i="6" s="1"/>
  <c r="S7" i="1"/>
  <c r="M20" i="6"/>
  <c r="I20" i="6" s="1"/>
  <c r="H12" i="39"/>
  <c r="J12" i="39"/>
  <c r="F12" i="39"/>
  <c r="H12" i="40"/>
  <c r="J12" i="40"/>
  <c r="F12" i="40"/>
  <c r="B4" i="11"/>
  <c r="B5" i="11"/>
  <c r="B3" i="11"/>
  <c r="M23" i="6"/>
  <c r="I23" i="6" s="1"/>
  <c r="S10" i="1"/>
  <c r="H26" i="6"/>
  <c r="R26" i="6" s="1"/>
  <c r="S26" i="6"/>
  <c r="S8" i="1"/>
  <c r="M21" i="6"/>
  <c r="I21" i="6" s="1"/>
  <c r="H22" i="6"/>
  <c r="R22" i="6" s="1"/>
  <c r="R9" i="1" s="1"/>
  <c r="S22" i="6"/>
  <c r="M24" i="1"/>
  <c r="M33" i="1" s="1"/>
  <c r="L33" i="1" s="1"/>
  <c r="M16" i="1"/>
  <c r="O9" i="1"/>
  <c r="O16" i="1" s="1"/>
  <c r="B2" i="46"/>
  <c r="F21" i="43"/>
  <c r="F33" i="12"/>
  <c r="C34" i="12" s="1"/>
  <c r="D33" i="12" s="1"/>
  <c r="C17" i="15"/>
  <c r="C17" i="77"/>
  <c r="B7" i="67"/>
  <c r="C17" i="79"/>
  <c r="B2" i="67" l="1"/>
  <c r="N16" i="1"/>
  <c r="F22" i="43" s="1"/>
  <c r="C13" i="43"/>
  <c r="L16" i="1"/>
  <c r="H21" i="6"/>
  <c r="R21" i="6" s="1"/>
  <c r="R8" i="1" s="1"/>
  <c r="S21" i="6"/>
  <c r="H23" i="6"/>
  <c r="R23" i="6" s="1"/>
  <c r="R10" i="1" s="1"/>
  <c r="S23" i="6"/>
  <c r="S12" i="40"/>
  <c r="AA12" i="40"/>
  <c r="W12" i="39"/>
  <c r="AC12" i="39"/>
  <c r="V49" i="39" s="1"/>
  <c r="I49" i="39" s="1"/>
  <c r="I53" i="39" s="1"/>
  <c r="J53" i="39" s="1"/>
  <c r="I19" i="6"/>
  <c r="M27" i="6"/>
  <c r="S12" i="39"/>
  <c r="AA12" i="39"/>
  <c r="R49" i="39" s="1"/>
  <c r="D4" i="46"/>
  <c r="B4" i="46"/>
  <c r="B3" i="46"/>
  <c r="P9" i="1"/>
  <c r="P16" i="1" s="1"/>
  <c r="C13" i="12" s="1"/>
  <c r="AC12" i="40"/>
  <c r="W12" i="40"/>
  <c r="U12" i="39"/>
  <c r="AB12" i="39"/>
  <c r="T49" i="39" s="1"/>
  <c r="G49" i="39" s="1"/>
  <c r="U12" i="40"/>
  <c r="AB12" i="40"/>
  <c r="H20" i="6"/>
  <c r="R20" i="6" s="1"/>
  <c r="R7" i="1" s="1"/>
  <c r="S20" i="6"/>
  <c r="S16" i="1"/>
  <c r="T6" i="1" s="1"/>
  <c r="M21" i="79"/>
  <c r="M21" i="15"/>
  <c r="M21" i="77"/>
  <c r="F35" i="79"/>
  <c r="F35" i="15"/>
  <c r="F35" i="77"/>
  <c r="B5" i="68" l="1"/>
  <c r="D14" i="68" s="1"/>
  <c r="J20" i="15"/>
  <c r="J17" i="15" s="1"/>
  <c r="C34" i="15"/>
  <c r="C31" i="15" s="1"/>
  <c r="F62" i="15"/>
  <c r="C61" i="15" s="1"/>
  <c r="C58" i="15" s="1"/>
  <c r="J20" i="79"/>
  <c r="J17" i="79" s="1"/>
  <c r="F62" i="79"/>
  <c r="C61" i="79" s="1"/>
  <c r="C58" i="79" s="1"/>
  <c r="C34" i="79"/>
  <c r="C31" i="79" s="1"/>
  <c r="F62" i="77"/>
  <c r="C61" i="77" s="1"/>
  <c r="C58" i="77" s="1"/>
  <c r="C34" i="77"/>
  <c r="C31" i="77" s="1"/>
  <c r="J20" i="77"/>
  <c r="J17" i="77" s="1"/>
  <c r="T9" i="1"/>
  <c r="T12" i="1"/>
  <c r="T13" i="1"/>
  <c r="T11" i="1"/>
  <c r="T10" i="1"/>
  <c r="T7" i="1"/>
  <c r="T8" i="1"/>
  <c r="C17" i="43"/>
  <c r="C14" i="43"/>
  <c r="G54" i="39"/>
  <c r="H54" i="39" s="1"/>
  <c r="G53" i="39"/>
  <c r="H53" i="39" s="1"/>
  <c r="C14" i="12"/>
  <c r="C17" i="12"/>
  <c r="E49" i="39"/>
  <c r="R50" i="39"/>
  <c r="S19" i="6"/>
  <c r="S27" i="6" s="1"/>
  <c r="H19" i="6"/>
  <c r="I27" i="6"/>
  <c r="B4" i="67"/>
  <c r="B3" i="67"/>
  <c r="C14" i="15"/>
  <c r="C14" i="79"/>
  <c r="C14" i="77"/>
  <c r="C16" i="44"/>
  <c r="C18" i="12" l="1"/>
  <c r="C23" i="12" s="1"/>
  <c r="C18" i="43"/>
  <c r="C19" i="43" s="1"/>
  <c r="C20" i="43" s="1"/>
  <c r="C15" i="15"/>
  <c r="C18" i="15"/>
  <c r="C18" i="79"/>
  <c r="C15" i="79"/>
  <c r="C17" i="44"/>
  <c r="C20" i="44"/>
  <c r="C15" i="77"/>
  <c r="C18" i="77"/>
  <c r="C49" i="39"/>
  <c r="C50" i="39"/>
  <c r="T16" i="1"/>
  <c r="H27" i="6"/>
  <c r="R19" i="6"/>
  <c r="I54" i="39"/>
  <c r="J54" i="39" s="1"/>
  <c r="E53" i="39"/>
  <c r="F53" i="39" s="1"/>
  <c r="E54" i="39"/>
  <c r="F54" i="39" s="1"/>
  <c r="C19" i="15" l="1"/>
  <c r="C20" i="15" s="1"/>
  <c r="C26" i="15" s="1"/>
  <c r="C19" i="77"/>
  <c r="C20" i="77" s="1"/>
  <c r="C23" i="77" s="1"/>
  <c r="C21" i="44"/>
  <c r="C22" i="44" s="1"/>
  <c r="C28" i="44" s="1"/>
  <c r="C19" i="79"/>
  <c r="C20" i="79" s="1"/>
  <c r="C26" i="79" s="1"/>
  <c r="C21" i="43"/>
  <c r="C23" i="43" s="1"/>
  <c r="C27" i="43" s="1"/>
  <c r="B2" i="43" s="1"/>
  <c r="B64" i="39"/>
  <c r="F64" i="39" s="1"/>
  <c r="B63" i="39"/>
  <c r="F63" i="39" s="1"/>
  <c r="B60" i="39"/>
  <c r="F60" i="39" s="1"/>
  <c r="B66" i="39"/>
  <c r="F66" i="39" s="1"/>
  <c r="B65" i="39"/>
  <c r="F65" i="39" s="1"/>
  <c r="B58" i="39"/>
  <c r="F58" i="39" s="1"/>
  <c r="B62" i="39"/>
  <c r="F62" i="39" s="1"/>
  <c r="B59" i="39"/>
  <c r="F59" i="39" s="1"/>
  <c r="B61" i="39"/>
  <c r="F61" i="39" s="1"/>
  <c r="R6" i="1"/>
  <c r="R16" i="1" s="1"/>
  <c r="R27" i="6"/>
  <c r="F67" i="39" l="1"/>
  <c r="B2" i="39" s="1"/>
  <c r="C23" i="79"/>
  <c r="C29" i="79" s="1"/>
  <c r="C13" i="79" s="1"/>
  <c r="C23" i="15"/>
  <c r="C29" i="15" s="1"/>
  <c r="C13" i="15" s="1"/>
  <c r="C26" i="77"/>
  <c r="C29" i="77" s="1"/>
  <c r="B5" i="39"/>
  <c r="B3" i="39"/>
  <c r="B4" i="39"/>
  <c r="B5" i="43"/>
  <c r="B4" i="43"/>
  <c r="B3" i="43"/>
  <c r="C25" i="44"/>
  <c r="C31" i="44" s="1"/>
  <c r="C20" i="9"/>
  <c r="C19" i="9"/>
  <c r="C21" i="9"/>
  <c r="J14" i="15" l="1"/>
  <c r="J22" i="15" s="1"/>
  <c r="C36" i="15"/>
  <c r="D13" i="68"/>
  <c r="D12" i="68" s="1"/>
  <c r="D11" i="68" s="1"/>
  <c r="D7" i="68" s="1"/>
  <c r="C26" i="68" s="1"/>
  <c r="C32" i="68" s="1"/>
  <c r="C38" i="68" s="1"/>
  <c r="C39" i="68" s="1"/>
  <c r="Q50" i="15"/>
  <c r="C56" i="15"/>
  <c r="C63" i="15" s="1"/>
  <c r="C36" i="79"/>
  <c r="L43" i="9"/>
  <c r="J14" i="77"/>
  <c r="J13" i="77" s="1"/>
  <c r="J23" i="77" s="1"/>
  <c r="C56" i="77"/>
  <c r="C63" i="77" s="1"/>
  <c r="J14" i="79"/>
  <c r="J22" i="79" s="1"/>
  <c r="Q50" i="79"/>
  <c r="C56" i="79"/>
  <c r="C63" i="79" s="1"/>
  <c r="C13" i="77"/>
  <c r="C55" i="77" s="1"/>
  <c r="C64" i="77" s="1"/>
  <c r="Q50" i="77"/>
  <c r="J59" i="77"/>
  <c r="J60" i="77" s="1"/>
  <c r="Q49" i="77" s="1"/>
  <c r="C36" i="77"/>
  <c r="C55" i="79"/>
  <c r="C64" i="79" s="1"/>
  <c r="C37" i="79"/>
  <c r="J35" i="79"/>
  <c r="Q71" i="79"/>
  <c r="J13" i="15"/>
  <c r="J23" i="15" s="1"/>
  <c r="C38" i="44"/>
  <c r="C15" i="44"/>
  <c r="J16" i="44"/>
  <c r="Q51" i="44"/>
  <c r="Q71" i="15"/>
  <c r="C37" i="15"/>
  <c r="C30" i="15" s="1"/>
  <c r="C39" i="15" s="1"/>
  <c r="C55" i="15"/>
  <c r="C64" i="15" s="1"/>
  <c r="J35" i="15"/>
  <c r="E11" i="68" l="1"/>
  <c r="E7" i="68" s="1"/>
  <c r="C27" i="68" s="1"/>
  <c r="D27" i="68" s="1"/>
  <c r="D26" i="68" s="1"/>
  <c r="D32" i="68" s="1"/>
  <c r="D38" i="68" s="1"/>
  <c r="D39" i="68" s="1"/>
  <c r="C57" i="77"/>
  <c r="C66" i="77" s="1"/>
  <c r="C67" i="77" s="1"/>
  <c r="C70" i="77" s="1"/>
  <c r="Q71" i="77"/>
  <c r="C37" i="77"/>
  <c r="C30" i="77" s="1"/>
  <c r="C39" i="77" s="1"/>
  <c r="C57" i="15"/>
  <c r="C66" i="15" s="1"/>
  <c r="C67" i="15" s="1"/>
  <c r="C70" i="15" s="1"/>
  <c r="J22" i="77"/>
  <c r="J16" i="77" s="1"/>
  <c r="J25" i="77" s="1"/>
  <c r="C57" i="79"/>
  <c r="C66" i="79" s="1"/>
  <c r="C67" i="79" s="1"/>
  <c r="C70" i="79" s="1"/>
  <c r="C30" i="79"/>
  <c r="C39" i="79" s="1"/>
  <c r="J39" i="79" s="1"/>
  <c r="J40" i="79" s="1"/>
  <c r="J13" i="79"/>
  <c r="J23" i="79" s="1"/>
  <c r="J16" i="79" s="1"/>
  <c r="J25" i="79" s="1"/>
  <c r="J35" i="77"/>
  <c r="J39" i="15"/>
  <c r="J40" i="15" s="1"/>
  <c r="J15" i="44"/>
  <c r="J25" i="44" s="1"/>
  <c r="J24" i="44"/>
  <c r="C40" i="15"/>
  <c r="Q70" i="15"/>
  <c r="Q69" i="15" s="1"/>
  <c r="C39" i="44"/>
  <c r="C32" i="44" s="1"/>
  <c r="C42" i="44" s="1"/>
  <c r="Q72" i="44"/>
  <c r="C43" i="44"/>
  <c r="J16" i="15"/>
  <c r="J25" i="15" s="1"/>
  <c r="L51" i="15"/>
  <c r="E27" i="68" l="1"/>
  <c r="E26" i="68" s="1"/>
  <c r="E32" i="68" s="1"/>
  <c r="E38" i="68" s="1"/>
  <c r="E39" i="68" s="1"/>
  <c r="C40" i="68" s="1"/>
  <c r="B2" i="68" s="1"/>
  <c r="C40" i="77"/>
  <c r="C46" i="77" s="1"/>
  <c r="C40" i="79"/>
  <c r="C46" i="79" s="1"/>
  <c r="Q70" i="79"/>
  <c r="Q69" i="79" s="1"/>
  <c r="J39" i="77"/>
  <c r="J40" i="77" s="1"/>
  <c r="Q70" i="77"/>
  <c r="Q69" i="77" s="1"/>
  <c r="J18" i="44"/>
  <c r="J27" i="44" s="1"/>
  <c r="L57" i="15"/>
  <c r="L60" i="15" s="1"/>
  <c r="Q68" i="15"/>
  <c r="Q71" i="44"/>
  <c r="Q70" i="44" s="1"/>
  <c r="C44" i="44"/>
  <c r="C45" i="44" s="1"/>
  <c r="C46" i="15"/>
  <c r="C43" i="15"/>
  <c r="Q48" i="15"/>
  <c r="Q54" i="15" s="1"/>
  <c r="Q57" i="15"/>
  <c r="J42" i="15"/>
  <c r="J43" i="15" s="1"/>
  <c r="Q66" i="15"/>
  <c r="L51" i="79"/>
  <c r="L51" i="77"/>
  <c r="J42" i="79" l="1"/>
  <c r="J43" i="79" s="1"/>
  <c r="B2" i="77"/>
  <c r="E10" i="12" s="1"/>
  <c r="C43" i="77"/>
  <c r="Q57" i="77"/>
  <c r="Q63" i="77" s="1"/>
  <c r="Q48" i="77"/>
  <c r="Q54" i="77" s="1"/>
  <c r="Q66" i="77"/>
  <c r="Q76" i="77" s="1"/>
  <c r="J42" i="77"/>
  <c r="J43" i="77" s="1"/>
  <c r="Q57" i="79"/>
  <c r="Q63" i="79" s="1"/>
  <c r="B2" i="79"/>
  <c r="G10" i="12" s="1"/>
  <c r="Q68" i="77"/>
  <c r="Q68" i="79"/>
  <c r="Q48" i="79"/>
  <c r="Q54" i="79" s="1"/>
  <c r="Q66" i="79"/>
  <c r="Q76" i="79" s="1"/>
  <c r="C43" i="79"/>
  <c r="C41" i="68"/>
  <c r="B2" i="44"/>
  <c r="L52" i="44"/>
  <c r="Q58" i="15"/>
  <c r="Q63" i="15" s="1"/>
  <c r="Q67" i="15"/>
  <c r="Q76" i="15" s="1"/>
  <c r="L46" i="15"/>
  <c r="B2" i="15" s="1"/>
  <c r="B3" i="15" s="1"/>
  <c r="D10" i="12"/>
  <c r="B3" i="68"/>
  <c r="D8" i="12" s="1"/>
  <c r="B3" i="77" l="1"/>
  <c r="E8" i="12" s="1"/>
  <c r="B3" i="79"/>
  <c r="G8" i="12" s="1"/>
  <c r="Q69" i="44"/>
  <c r="L58" i="44"/>
  <c r="L61" i="44" s="1"/>
  <c r="B5" i="44"/>
  <c r="B4" i="44"/>
  <c r="B3" i="44"/>
  <c r="Q68" i="44" l="1"/>
  <c r="Q77" i="44" s="1"/>
  <c r="Q59" i="44"/>
  <c r="Q64" i="44" s="1"/>
  <c r="B2" i="35" l="1"/>
  <c r="B3" i="35" l="1"/>
  <c r="F8" i="12" s="1"/>
  <c r="F10" i="12"/>
  <c r="C6" i="12" s="1"/>
  <c r="C24" i="12" l="1"/>
  <c r="C29" i="12"/>
  <c r="C28" i="12" l="1"/>
  <c r="C26" i="12" s="1"/>
  <c r="C31" i="12" s="1"/>
  <c r="C30" i="12" s="1"/>
  <c r="C35" i="12"/>
  <c r="C33" i="12" s="1"/>
  <c r="C36" i="12" l="1"/>
  <c r="B2" i="12" s="1"/>
  <c r="B4" i="12" s="1"/>
  <c r="D21" i="9"/>
  <c r="D19" i="9"/>
  <c r="B5" i="12" l="1"/>
  <c r="B3" i="12"/>
  <c r="L44" i="9"/>
  <c r="G19" i="9"/>
  <c r="C32" i="9" s="1"/>
  <c r="D22" i="9"/>
  <c r="G21" i="9"/>
  <c r="D20" i="9"/>
  <c r="N43" i="9" l="1"/>
  <c r="D14" i="66"/>
  <c r="B5" i="66" s="1"/>
  <c r="G20" i="9"/>
  <c r="G22" i="9"/>
  <c r="C34" i="9"/>
  <c r="O43" i="9"/>
  <c r="O38" i="9"/>
  <c r="C35" i="9"/>
  <c r="F42" i="9" s="1"/>
  <c r="C33" i="9"/>
  <c r="C42" i="9"/>
  <c r="E14" i="66" l="1"/>
  <c r="G14" i="66"/>
  <c r="B6" i="66" s="1"/>
  <c r="D6" i="66" s="1"/>
  <c r="F14" i="66"/>
  <c r="K26" i="9"/>
  <c r="K25" i="9"/>
  <c r="D63" i="9"/>
  <c r="C44" i="9"/>
  <c r="N68" i="9"/>
  <c r="Q72" i="9" s="1"/>
  <c r="R5" i="54"/>
  <c r="B48" i="63" s="1"/>
  <c r="D5" i="66"/>
  <c r="C5" i="66"/>
  <c r="N38" i="9"/>
  <c r="D42" i="9"/>
  <c r="Q5" i="54" s="1"/>
  <c r="B47" i="63" s="1"/>
  <c r="M38" i="9"/>
  <c r="K27" i="9" s="1"/>
  <c r="E42" i="9"/>
  <c r="P5" i="54" s="1"/>
  <c r="B46" i="63" s="1"/>
  <c r="K28" i="9" l="1"/>
  <c r="P38" i="9"/>
  <c r="C6" i="66"/>
  <c r="N69" i="9"/>
  <c r="F44" i="9"/>
  <c r="E44" i="9"/>
  <c r="O39" i="9"/>
  <c r="D44" i="9"/>
  <c r="C82" i="9"/>
  <c r="C81" i="9" s="1"/>
  <c r="C85" i="9" s="1"/>
  <c r="C86" i="9" s="1"/>
  <c r="D72" i="9" s="1"/>
  <c r="C103" i="9"/>
  <c r="D71" i="9"/>
  <c r="D66" i="9" s="1"/>
  <c r="N72" i="9" s="1"/>
  <c r="C96" i="9"/>
  <c r="C91" i="9" s="1"/>
  <c r="C90" i="9"/>
  <c r="C111" i="9"/>
  <c r="C104" i="9" s="1"/>
  <c r="D70" i="9"/>
  <c r="D73" i="9"/>
  <c r="N73" i="9" s="1"/>
  <c r="C97" i="9" l="1"/>
  <c r="C98" i="9" s="1"/>
  <c r="E98" i="9" s="1"/>
  <c r="E99" i="9" s="1"/>
  <c r="R6" i="54"/>
  <c r="B50" i="63" s="1"/>
  <c r="K29" i="9"/>
  <c r="K30" i="9" s="1"/>
  <c r="C113" i="9"/>
  <c r="M88" i="9"/>
  <c r="N88" i="9" s="1"/>
  <c r="M86" i="9"/>
  <c r="N86" i="9" s="1"/>
  <c r="M83" i="9"/>
  <c r="N83" i="9" s="1"/>
  <c r="M84" i="9"/>
  <c r="N84" i="9" s="1"/>
  <c r="M85" i="9"/>
  <c r="N85" i="9" s="1"/>
  <c r="M87" i="9"/>
  <c r="N87" i="9" s="1"/>
  <c r="N89" i="9" l="1"/>
  <c r="O89" i="9" s="1"/>
  <c r="C114" i="9"/>
  <c r="E114" i="9" s="1"/>
  <c r="E115" i="9" s="1"/>
  <c r="C115" i="9"/>
  <c r="D76" i="9" s="1"/>
  <c r="D74" i="9" s="1"/>
  <c r="N74" i="9" s="1"/>
  <c r="O77" i="9" s="1"/>
  <c r="C99" i="9"/>
  <c r="Q77" i="9" l="1"/>
  <c r="O78" i="9"/>
  <c r="O79" i="9"/>
  <c r="O80" i="9" l="1"/>
  <c r="C46" i="9"/>
  <c r="O81" i="9"/>
  <c r="D46" i="9" l="1"/>
  <c r="E46" i="9"/>
  <c r="O41" i="9"/>
  <c r="R8" i="54" s="1"/>
  <c r="B54" i="63" s="1"/>
  <c r="K33" i="9"/>
  <c r="K34" i="9" s="1"/>
  <c r="F4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Z9" authorId="0" shapeId="0" xr:uid="{00000000-0006-0000-1E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E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E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E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E00-00000F000000}">
      <text>
        <r>
          <rPr>
            <sz val="12"/>
            <color indexed="81"/>
            <rFont val="宋体"/>
            <family val="3"/>
            <charset val="134"/>
          </rPr>
          <t>1.05~1.1</t>
        </r>
        <r>
          <rPr>
            <sz val="9"/>
            <color indexed="81"/>
            <rFont val="宋体"/>
            <family val="3"/>
            <charset val="134"/>
          </rPr>
          <t xml:space="preserve">
</t>
        </r>
      </text>
    </comment>
    <comment ref="E16" authorId="1" shapeId="0" xr:uid="{00000000-0006-0000-1E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E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E00-000012000000}">
      <text>
        <r>
          <rPr>
            <b/>
            <sz val="16"/>
            <color indexed="81"/>
            <rFont val="宋体"/>
            <family val="3"/>
            <charset val="134"/>
          </rPr>
          <t>工业选“中心城区”</t>
        </r>
      </text>
    </comment>
    <comment ref="B35" authorId="3" shapeId="0" xr:uid="{00000000-0006-0000-1E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E00-000014000000}">
      <text>
        <r>
          <rPr>
            <sz val="10"/>
            <color indexed="81"/>
            <rFont val="宋体"/>
            <family val="3"/>
            <charset val="134"/>
          </rPr>
          <t xml:space="preserve">需在此处填写剩余土地年限
</t>
        </r>
      </text>
    </comment>
    <comment ref="C112" authorId="0" shapeId="0" xr:uid="{00000000-0006-0000-1E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E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E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E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E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E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E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E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E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E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6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6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6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Z9" authorId="0" shapeId="0" xr:uid="{00000000-0006-0000-2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F000000}">
      <text>
        <r>
          <rPr>
            <sz val="12"/>
            <color indexed="81"/>
            <rFont val="宋体"/>
            <family val="3"/>
            <charset val="134"/>
          </rPr>
          <t>1.05~1.1</t>
        </r>
        <r>
          <rPr>
            <sz val="9"/>
            <color indexed="81"/>
            <rFont val="宋体"/>
            <family val="3"/>
            <charset val="134"/>
          </rPr>
          <t xml:space="preserve">
</t>
        </r>
      </text>
    </comment>
    <comment ref="E16" authorId="1" shapeId="0" xr:uid="{00000000-0006-0000-2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700-000012000000}">
      <text>
        <r>
          <rPr>
            <b/>
            <sz val="16"/>
            <color indexed="81"/>
            <rFont val="宋体"/>
            <family val="3"/>
            <charset val="134"/>
          </rPr>
          <t>工业选“中心城区”</t>
        </r>
      </text>
    </comment>
    <comment ref="B35" authorId="3" shapeId="0" xr:uid="{00000000-0006-0000-2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700-000014000000}">
      <text>
        <r>
          <rPr>
            <sz val="10"/>
            <color indexed="81"/>
            <rFont val="宋体"/>
            <family val="3"/>
            <charset val="134"/>
          </rPr>
          <t xml:space="preserve">需在此处填写剩余土地年限
</t>
        </r>
      </text>
    </comment>
    <comment ref="C112"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Z9" authorId="0" shapeId="0" xr:uid="{00000000-0006-0000-2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F000000}">
      <text>
        <r>
          <rPr>
            <sz val="12"/>
            <color indexed="81"/>
            <rFont val="宋体"/>
            <family val="3"/>
            <charset val="134"/>
          </rPr>
          <t>1.05~1.1</t>
        </r>
        <r>
          <rPr>
            <sz val="9"/>
            <color indexed="81"/>
            <rFont val="宋体"/>
            <family val="3"/>
            <charset val="134"/>
          </rPr>
          <t xml:space="preserve">
</t>
        </r>
      </text>
    </comment>
    <comment ref="E16" authorId="1" shapeId="0" xr:uid="{00000000-0006-0000-2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800-000012000000}">
      <text>
        <r>
          <rPr>
            <b/>
            <sz val="16"/>
            <color indexed="81"/>
            <rFont val="宋体"/>
            <family val="3"/>
            <charset val="134"/>
          </rPr>
          <t>工业选“中心城区”</t>
        </r>
      </text>
    </comment>
    <comment ref="B35" authorId="3" shapeId="0" xr:uid="{00000000-0006-0000-2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800-000014000000}">
      <text>
        <r>
          <rPr>
            <sz val="10"/>
            <color indexed="81"/>
            <rFont val="宋体"/>
            <family val="3"/>
            <charset val="134"/>
          </rPr>
          <t xml:space="preserve">需在此处填写剩余土地年限
</t>
        </r>
      </text>
    </comment>
    <comment ref="C112"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<sst xmlns="http://schemas.openxmlformats.org/spreadsheetml/2006/main" count="11657" uniqueCount="4124">
  <si>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</si>
  <si>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</si>
  <si>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</si>
  <si>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</si>
  <si>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</si>
  <si>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</si>
  <si>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</si>
  <si>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</si>
  <si>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</si>
  <si>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</si>
  <si>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</si>
  <si>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</si>
  <si>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</si>
  <si>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</si>
  <si>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</si>
  <si>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</si>
  <si>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</si>
  <si>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</si>
  <si>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</si>
  <si>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</si>
  <si>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</si>
  <si>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</si>
  <si>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</si>
  <si>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</si>
  <si>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</si>
  <si>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</si>
  <si>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</si>
  <si>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</si>
  <si>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</si>
  <si>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</si>
  <si>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</si>
  <si>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</si>
  <si>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</si>
  <si>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</si>
  <si>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</si>
  <si>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</si>
  <si>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</si>
  <si>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</si>
  <si>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</si>
  <si>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</si>
  <si>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</si>
  <si>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</si>
  <si>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</si>
  <si>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</si>
  <si>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</si>
  <si>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</si>
  <si>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</si>
  <si>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</si>
  <si>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</si>
  <si>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</si>
  <si>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</si>
  <si>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</si>
  <si>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</si>
  <si>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</si>
  <si>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</si>
  <si>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</si>
  <si>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</si>
  <si>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</si>
  <si>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</si>
  <si>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</si>
  <si>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</si>
  <si>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</si>
  <si>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</si>
  <si>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</si>
  <si>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</si>
  <si>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</si>
  <si>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</si>
  <si>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</si>
  <si>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</si>
  <si>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</si>
  <si>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</si>
  <si>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</si>
  <si>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</si>
  <si>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</si>
  <si>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</si>
  <si>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</si>
  <si>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</si>
  <si>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</si>
  <si>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</si>
  <si>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</si>
  <si>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</si>
  <si>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</si>
  <si>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</si>
  <si>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</si>
  <si>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</si>
  <si>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</si>
  <si>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</si>
  <si>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</si>
  <si>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</si>
  <si>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</si>
  <si>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</si>
  <si>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</si>
  <si>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</si>
  <si>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</si>
  <si>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</si>
  <si>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</si>
  <si>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</si>
  <si>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</si>
  <si>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</si>
  <si>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</si>
  <si>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</si>
  <si>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</si>
  <si>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</si>
  <si>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</si>
  <si>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</si>
  <si>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</si>
  <si>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</si>
  <si>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</si>
  <si>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</si>
  <si>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</si>
  <si>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</si>
  <si>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</si>
  <si>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</si>
  <si>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</si>
  <si>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</si>
  <si>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</si>
  <si>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</si>
  <si>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</si>
  <si>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</si>
  <si>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</si>
  <si>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</si>
  <si>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</si>
  <si>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</si>
  <si>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</si>
  <si>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</si>
  <si>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</si>
  <si>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</si>
  <si>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</si>
  <si>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</si>
  <si>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</si>
  <si>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</si>
  <si>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</si>
  <si>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</si>
  <si>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</si>
  <si>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</si>
  <si>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</si>
  <si>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</si>
  <si>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</si>
  <si>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</si>
  <si>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</si>
  <si>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</si>
  <si>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</si>
  <si>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</si>
  <si>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</si>
  <si>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</si>
  <si>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</si>
  <si>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</si>
  <si>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</si>
  <si>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</si>
  <si>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</si>
  <si>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</si>
  <si>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</si>
  <si>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</si>
  <si>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</si>
  <si>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</si>
  <si>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</si>
  <si>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</si>
  <si>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</si>
  <si>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</si>
  <si>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</si>
  <si>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</si>
  <si>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</si>
  <si>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</si>
  <si>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</si>
  <si>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</si>
  <si>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</si>
  <si>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</si>
  <si>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</si>
  <si>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</si>
  <si>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</si>
  <si>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</si>
  <si>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</si>
  <si>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</si>
  <si>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</si>
  <si>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</si>
  <si>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</si>
  <si>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</si>
  <si>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</si>
  <si>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</si>
  <si>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</si>
  <si>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</si>
  <si>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</si>
  <si>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</si>
  <si>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</si>
  <si>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</si>
  <si>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</si>
  <si>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</si>
  <si>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</si>
  <si>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</si>
  <si>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</si>
  <si>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</si>
  <si>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</si>
  <si>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</si>
  <si>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</si>
  <si>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</si>
  <si>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</si>
  <si>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</si>
  <si>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</si>
  <si>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</si>
  <si>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</si>
  <si>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</si>
  <si>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</si>
  <si>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</si>
  <si>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</si>
  <si>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</si>
  <si>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</si>
  <si>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</si>
  <si>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</si>
  <si>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</si>
  <si>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</si>
  <si>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</si>
  <si>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</si>
  <si>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</si>
  <si>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</si>
  <si>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</si>
  <si>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</si>
  <si>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</si>
  <si>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</si>
  <si>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</si>
  <si>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</si>
  <si>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</si>
  <si>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</si>
  <si>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</si>
  <si>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</si>
  <si>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</si>
  <si>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</si>
  <si>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</si>
  <si>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</si>
  <si>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</si>
  <si>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</si>
  <si>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</si>
  <si>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</si>
  <si>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</si>
  <si>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</si>
  <si>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</si>
  <si>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</si>
  <si>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</si>
  <si>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</si>
  <si>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</si>
  <si>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</si>
  <si>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</si>
  <si>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</si>
  <si>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</si>
  <si>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</si>
  <si>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</si>
  <si>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</si>
  <si>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</si>
  <si>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</si>
  <si>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</si>
  <si>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</si>
  <si>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</si>
  <si>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</si>
  <si>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</si>
  <si>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</si>
  <si>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</si>
  <si>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</si>
  <si>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</si>
  <si>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</si>
  <si>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</si>
  <si>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</si>
  <si>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</si>
  <si>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</si>
  <si>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</si>
  <si>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</si>
  <si>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</si>
  <si>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</si>
  <si>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</si>
  <si>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</si>
  <si>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</si>
  <si>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</si>
  <si>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</si>
  <si>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</si>
  <si>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</si>
  <si>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</si>
  <si>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</si>
  <si>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</si>
  <si>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</si>
  <si>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</si>
  <si>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</si>
  <si>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</si>
  <si>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</si>
  <si>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</si>
  <si>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</si>
  <si>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</si>
  <si>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</si>
  <si>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</si>
  <si>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</si>
  <si>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</si>
  <si>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</si>
  <si>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</si>
  <si>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</si>
  <si>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</si>
  <si>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</si>
  <si>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</si>
  <si>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</si>
  <si>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</si>
  <si>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</si>
  <si>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</si>
  <si>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</si>
  <si>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</si>
  <si>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</si>
  <si>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</si>
  <si>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</si>
  <si>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</si>
  <si>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</si>
  <si>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</si>
  <si>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</si>
  <si>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</si>
  <si>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</si>
  <si>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</si>
  <si>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</si>
  <si>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</si>
  <si>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</si>
  <si>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</si>
  <si>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</si>
  <si>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</si>
  <si>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</si>
  <si>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</si>
  <si>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</si>
  <si>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</si>
  <si>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</si>
  <si>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</si>
  <si>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</si>
  <si>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</si>
  <si>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</si>
  <si>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</si>
  <si>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</si>
  <si>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</si>
  <si>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</si>
  <si>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</si>
  <si>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</si>
  <si>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</si>
  <si>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</si>
  <si>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</si>
  <si>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</si>
  <si>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</si>
  <si>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</si>
  <si>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</si>
  <si>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</si>
  <si>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</si>
  <si>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</si>
  <si>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</si>
  <si>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</si>
  <si>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</si>
  <si>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</si>
  <si>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</si>
  <si>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</si>
  <si>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</si>
  <si>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</si>
  <si>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</si>
  <si>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</si>
  <si>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</si>
  <si>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</si>
  <si>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</si>
  <si>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</si>
  <si>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</si>
  <si>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</si>
  <si>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</si>
  <si>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</si>
  <si>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</si>
  <si>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</si>
  <si>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</si>
  <si>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</si>
  <si>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</si>
  <si>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</si>
  <si>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</si>
  <si>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</si>
  <si>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</si>
  <si>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</si>
  <si>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</si>
  <si>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</si>
  <si>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</si>
  <si>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</si>
  <si>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</si>
  <si>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</si>
  <si>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</si>
  <si>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</si>
  <si>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</si>
  <si>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</si>
  <si>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</si>
  <si>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</si>
  <si>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</si>
  <si>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</si>
  <si>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</si>
  <si>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</si>
  <si>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</si>
  <si>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</si>
  <si>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</si>
  <si>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</si>
  <si>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</si>
  <si>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</si>
  <si>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</si>
  <si>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</si>
  <si>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</si>
  <si>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</si>
  <si>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</si>
  <si>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</si>
  <si>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</si>
  <si>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</si>
  <si>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</si>
  <si>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</si>
  <si>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</si>
  <si>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</si>
  <si>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</si>
  <si>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</si>
  <si>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</si>
  <si>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</si>
  <si>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</si>
  <si>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</si>
  <si>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</si>
  <si>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</si>
  <si>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</si>
  <si>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</si>
  <si>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</si>
  <si>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</si>
  <si>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</si>
  <si>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</si>
  <si>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</si>
  <si>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</si>
  <si>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</si>
  <si>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</si>
  <si>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</si>
  <si>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</si>
  <si>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</si>
  <si>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</si>
  <si>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</si>
  <si>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</si>
  <si>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</si>
  <si>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</si>
  <si>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</si>
  <si>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</si>
  <si>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</si>
  <si>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</si>
  <si>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</si>
  <si>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</si>
  <si>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</si>
  <si>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</si>
  <si>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</si>
  <si>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</si>
  <si>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</si>
  <si>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</si>
  <si>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</si>
  <si>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</si>
  <si>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</si>
  <si>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</si>
  <si>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</si>
  <si>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</si>
  <si>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</si>
  <si>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</si>
  <si>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</si>
  <si>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</si>
  <si>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</si>
  <si>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</si>
  <si>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</si>
  <si>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</si>
  <si>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</si>
  <si>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</si>
  <si>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</si>
  <si>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</si>
  <si>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</si>
  <si>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</si>
  <si>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</si>
  <si>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</si>
  <si>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</si>
  <si>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</si>
  <si>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</si>
  <si>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</si>
  <si>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</si>
  <si>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</si>
  <si>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</si>
  <si>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</si>
  <si>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</si>
  <si>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</si>
  <si>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</si>
  <si>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</si>
  <si>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</si>
  <si>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</si>
  <si>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</si>
  <si>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</si>
  <si>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</si>
  <si>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</si>
  <si>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</si>
  <si>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</si>
  <si>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</si>
  <si>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</si>
  <si>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</si>
  <si>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</si>
  <si>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</si>
  <si>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</si>
  <si>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</si>
  <si>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</si>
  <si>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</si>
  <si>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</si>
  <si>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</si>
  <si>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</si>
  <si>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</si>
  <si>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</si>
  <si>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</si>
  <si>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</si>
  <si>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</si>
  <si>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</si>
  <si>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</si>
  <si>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</si>
  <si>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</si>
  <si>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</si>
  <si>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</si>
  <si>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</si>
  <si>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</si>
  <si>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</si>
  <si>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</si>
  <si>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</si>
  <si>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</si>
  <si>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</si>
  <si>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</si>
  <si>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</si>
  <si>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</si>
  <si>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</si>
  <si>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</si>
  <si>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</si>
  <si>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</si>
  <si>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</si>
  <si>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</si>
  <si>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</si>
  <si>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</si>
  <si>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</si>
  <si>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</si>
  <si>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</si>
  <si>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</si>
  <si>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</si>
  <si>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</si>
  <si>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</si>
  <si>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</si>
  <si>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</si>
  <si>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</si>
  <si>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</si>
  <si>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</si>
  <si>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</si>
  <si>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</si>
  <si>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</si>
  <si>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</si>
  <si>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</si>
  <si>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</si>
  <si>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</si>
  <si>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</si>
  <si>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</si>
  <si>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</si>
  <si>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</si>
  <si>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</si>
  <si>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</si>
  <si>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</si>
  <si>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</si>
  <si>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</si>
  <si>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</si>
  <si>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</si>
  <si>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</si>
  <si>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</si>
  <si>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</si>
  <si>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</si>
  <si>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</si>
  <si>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</si>
  <si>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</si>
  <si>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</si>
  <si>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</si>
  <si>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</si>
  <si>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</si>
  <si>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</si>
  <si>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</si>
  <si>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</si>
  <si>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</si>
  <si>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</si>
  <si>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</si>
  <si>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</si>
  <si>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</si>
  <si>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</si>
  <si>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</si>
  <si>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</si>
  <si>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</si>
  <si>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</si>
  <si>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</si>
  <si>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</si>
  <si>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</si>
  <si>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</si>
  <si>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</si>
  <si>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</si>
  <si>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</si>
  <si>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</si>
  <si>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</si>
  <si>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</si>
  <si>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</si>
  <si>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</si>
  <si>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</si>
  <si>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</si>
  <si>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</si>
  <si>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</si>
  <si>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</si>
  <si>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</si>
  <si>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</si>
  <si>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</si>
  <si>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</si>
  <si>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</si>
  <si>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</si>
  <si>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</si>
  <si>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</si>
  <si>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</si>
  <si>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</si>
  <si>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</si>
  <si>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</si>
  <si>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</si>
  <si>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</si>
  <si>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</si>
  <si>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</si>
  <si>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</si>
  <si>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</si>
  <si>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</si>
  <si>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</si>
  <si>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</si>
  <si>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</si>
  <si>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</si>
  <si>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</si>
  <si>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</si>
  <si>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</si>
  <si>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</si>
  <si>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</si>
  <si>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</si>
  <si>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</si>
  <si>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</si>
  <si>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</si>
  <si>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</si>
  <si>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</si>
  <si>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</si>
  <si>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</si>
  <si>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</si>
  <si>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</si>
  <si>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</si>
  <si>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</si>
  <si>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</si>
  <si>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</si>
  <si>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</si>
  <si>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</si>
  <si>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</si>
  <si>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</si>
  <si>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</si>
  <si>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</si>
  <si>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</si>
  <si>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</si>
  <si>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</si>
  <si>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</si>
  <si>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</si>
  <si>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</si>
  <si>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</si>
  <si>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</si>
  <si>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</si>
  <si>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</si>
  <si>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</si>
  <si>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</si>
  <si>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</si>
  <si>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</si>
  <si>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</si>
  <si>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</si>
  <si>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</si>
  <si>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</si>
  <si>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</si>
  <si>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</si>
  <si>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</si>
  <si>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</si>
  <si>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</si>
  <si>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</si>
  <si>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</si>
  <si>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</si>
  <si>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</si>
  <si>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</si>
  <si>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</si>
  <si>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</si>
  <si>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</si>
  <si>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</si>
  <si>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</si>
  <si>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</si>
  <si>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</si>
  <si>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</si>
  <si>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</si>
  <si>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</si>
  <si>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</si>
  <si>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</si>
  <si>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</si>
  <si>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</si>
  <si>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</si>
  <si>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</si>
  <si>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</si>
  <si>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</si>
  <si>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</si>
  <si>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</si>
  <si>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</si>
  <si>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</si>
  <si>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</si>
  <si>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</si>
  <si>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</si>
  <si>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</si>
  <si>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</si>
  <si>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</si>
  <si>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</si>
  <si>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</si>
  <si>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</si>
  <si>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</si>
  <si>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</si>
  <si>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</si>
  <si>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</si>
  <si>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</si>
  <si>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</si>
  <si>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</si>
  <si>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</si>
  <si>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</si>
  <si>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</si>
  <si>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</si>
  <si>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</si>
  <si>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</si>
  <si>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</si>
  <si>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</si>
  <si>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</si>
  <si>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</si>
  <si>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</si>
  <si>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</si>
  <si>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</si>
  <si>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</si>
  <si>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</si>
  <si>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</si>
  <si>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</si>
  <si>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</si>
  <si>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</si>
  <si>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</si>
  <si>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</si>
  <si>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</si>
  <si>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</si>
  <si>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</si>
  <si>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</si>
  <si>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</si>
  <si>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</si>
  <si>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</si>
  <si>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</si>
  <si>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</si>
  <si>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</si>
  <si>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</si>
  <si>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</si>
  <si>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</si>
  <si>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</si>
  <si>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</si>
  <si>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</si>
  <si>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</si>
  <si>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</si>
  <si>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</si>
  <si>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</si>
  <si>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</si>
  <si>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</si>
  <si>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</si>
  <si>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</si>
  <si>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</si>
  <si>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</si>
  <si>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</si>
  <si>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</si>
  <si>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</si>
  <si>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</si>
  <si>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</si>
  <si>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</si>
  <si>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</si>
  <si>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</si>
  <si>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</si>
  <si>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</si>
  <si>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</si>
  <si>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</si>
  <si>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</si>
  <si>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</si>
  <si>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</si>
  <si>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</si>
  <si>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</si>
  <si>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</si>
  <si>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</si>
  <si>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</si>
  <si>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</si>
  <si>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</si>
  <si>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</si>
  <si>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</si>
  <si>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</si>
  <si>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</si>
  <si>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</si>
  <si>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</si>
  <si>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</si>
  <si>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</si>
  <si>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</si>
  <si>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</si>
  <si>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</si>
  <si>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</si>
  <si>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</si>
  <si>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</si>
  <si>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</si>
  <si>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</si>
  <si>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</si>
  <si>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</si>
  <si>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</si>
  <si>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</si>
  <si>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</si>
  <si>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</si>
  <si>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</si>
  <si>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</si>
  <si>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</si>
  <si>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</si>
  <si>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</si>
  <si>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</si>
  <si>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</si>
  <si>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</si>
  <si>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</si>
  <si>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</si>
  <si>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</si>
  <si>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</si>
  <si>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</si>
  <si>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</si>
  <si>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</si>
  <si>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</si>
  <si>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</si>
  <si>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</si>
  <si>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</si>
  <si>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</si>
  <si>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</si>
  <si>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</si>
  <si>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</si>
  <si>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</si>
  <si>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</si>
  <si>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</si>
  <si>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</si>
  <si>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</si>
  <si>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</si>
  <si>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</si>
  <si>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</si>
  <si>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</si>
  <si>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</si>
  <si>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</si>
  <si>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</si>
  <si>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</si>
  <si>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</si>
  <si>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</si>
  <si>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</si>
  <si>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</si>
  <si>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</si>
  <si>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</si>
  <si>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</si>
  <si>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</si>
  <si>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</si>
  <si>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</si>
  <si>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</si>
  <si>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</si>
  <si>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</si>
  <si>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</si>
  <si>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</si>
  <si>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</si>
  <si>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</si>
  <si>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</si>
  <si>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</si>
  <si>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</si>
  <si>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</si>
  <si>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</si>
  <si>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</si>
  <si>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</si>
  <si>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</si>
  <si>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</si>
  <si>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</si>
  <si>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</si>
  <si>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</si>
  <si>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</si>
  <si>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</si>
  <si>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</si>
  <si>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</si>
  <si>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</si>
  <si>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</si>
  <si>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</si>
  <si>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</si>
  <si>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</si>
  <si>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</si>
  <si>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</si>
  <si>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</si>
  <si>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</si>
  <si>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</si>
  <si>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</si>
  <si>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</si>
  <si>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</si>
  <si>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</si>
  <si>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</si>
  <si>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</si>
  <si>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</si>
  <si>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</si>
  <si>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</si>
  <si>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</si>
  <si>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</si>
  <si>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</si>
  <si>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</si>
  <si>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</si>
  <si>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</si>
  <si>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</si>
  <si>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</si>
  <si>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</si>
  <si>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</si>
  <si>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</si>
  <si>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</si>
  <si>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</si>
  <si>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</si>
  <si>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</si>
  <si>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</si>
  <si>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</si>
  <si>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</si>
  <si>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</si>
  <si>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</si>
  <si>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</si>
  <si>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</si>
  <si>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</si>
  <si>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</si>
  <si>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</si>
  <si>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</si>
  <si>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</si>
  <si>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</si>
  <si>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</si>
  <si>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</si>
  <si>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</si>
  <si>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</si>
  <si>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</si>
  <si>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</si>
  <si>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</si>
  <si>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</si>
  <si>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</si>
  <si>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</si>
  <si>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</si>
  <si>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</si>
  <si>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</si>
  <si>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</si>
  <si>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</si>
  <si>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</si>
  <si>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</si>
  <si>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</si>
  <si>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</si>
  <si>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</si>
  <si>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</si>
  <si>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</si>
  <si>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</si>
  <si>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</si>
  <si>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</si>
  <si>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</si>
  <si>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</si>
  <si>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</si>
  <si>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</si>
  <si>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</si>
  <si>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</si>
  <si>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</si>
  <si>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</si>
  <si>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</si>
  <si>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</si>
  <si>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</si>
  <si>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</si>
  <si>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</si>
  <si>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</si>
  <si>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</si>
  <si>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</si>
  <si>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</si>
  <si>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</si>
  <si>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</si>
  <si>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</si>
  <si>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</si>
  <si>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</si>
  <si>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</si>
  <si>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</si>
  <si>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</si>
  <si>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</si>
  <si>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</si>
  <si>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</si>
  <si>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</si>
  <si>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</si>
  <si>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</si>
  <si>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</si>
  <si>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</si>
  <si>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</si>
  <si>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</si>
  <si>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</si>
  <si>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</si>
  <si>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</si>
  <si>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</si>
  <si>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</si>
  <si>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</si>
  <si>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</si>
  <si>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</si>
  <si>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</si>
  <si>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</si>
  <si>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</si>
  <si>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</si>
  <si>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</si>
  <si>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</si>
  <si>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</si>
  <si>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</si>
  <si>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</si>
  <si>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</si>
  <si>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</si>
  <si>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</si>
  <si>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</si>
  <si>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</si>
  <si>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</si>
  <si>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</si>
  <si>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</si>
  <si>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</si>
  <si>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</si>
  <si>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</si>
  <si>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</si>
  <si>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</si>
  <si>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</si>
  <si>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</si>
  <si>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</si>
  <si>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</si>
  <si>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</si>
  <si>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</si>
  <si>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</si>
  <si>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</si>
  <si>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</si>
  <si>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</si>
  <si>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</si>
  <si>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</si>
  <si>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</si>
  <si>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</si>
  <si>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</si>
  <si>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</si>
  <si>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</si>
  <si>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</si>
  <si>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</si>
  <si>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</si>
  <si>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</si>
  <si>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</si>
  <si>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</si>
  <si>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</si>
  <si>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</si>
  <si>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</si>
  <si>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</si>
  <si>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</si>
  <si>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</si>
  <si>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</si>
  <si>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</si>
  <si>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</si>
  <si>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</si>
  <si>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</si>
  <si>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</si>
  <si>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</si>
  <si>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</si>
  <si>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</si>
  <si>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</si>
  <si>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</si>
  <si>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</si>
  <si>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</si>
  <si>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</si>
  <si>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</si>
  <si>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</si>
  <si>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</si>
  <si>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</si>
  <si>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</si>
  <si>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</si>
  <si>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</si>
  <si>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</si>
  <si>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</si>
  <si>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</si>
  <si>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</si>
  <si>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</si>
  <si>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</si>
  <si>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</si>
  <si>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</si>
  <si>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</si>
  <si>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</si>
  <si>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</si>
  <si>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</si>
  <si>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</si>
  <si>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</si>
  <si>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</si>
  <si>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</si>
  <si>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</si>
  <si>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</si>
  <si>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</si>
  <si>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</si>
  <si>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</si>
  <si>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</si>
  <si>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</si>
  <si>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</si>
  <si>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</si>
  <si>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</si>
  <si>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</si>
  <si>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</si>
  <si>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</si>
  <si>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</si>
  <si>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</si>
  <si>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</si>
  <si>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</si>
  <si>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</si>
  <si>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</si>
  <si>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</si>
  <si>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</si>
  <si>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</si>
  <si>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</si>
  <si>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</si>
  <si>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</si>
  <si>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</si>
  <si>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</si>
  <si>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</si>
  <si>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</si>
  <si>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</si>
  <si>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</si>
  <si>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</si>
  <si>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</si>
  <si>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</si>
  <si>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</si>
  <si>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</si>
  <si>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</si>
  <si>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</si>
  <si>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</si>
  <si>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</si>
  <si>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</si>
  <si>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</si>
  <si>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</si>
  <si>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</si>
  <si>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</si>
  <si>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</si>
  <si>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</si>
  <si>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</si>
  <si>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</si>
  <si>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</si>
  <si>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</si>
  <si>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</si>
  <si>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</si>
  <si>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</si>
  <si>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</si>
  <si>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</si>
  <si>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</si>
  <si>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</si>
  <si>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</si>
  <si>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</si>
  <si>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</si>
  <si>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</si>
  <si>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</si>
  <si>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</si>
  <si>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</si>
  <si>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</si>
  <si>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</si>
  <si>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</si>
  <si>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</si>
  <si>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</si>
  <si>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</si>
  <si>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</si>
  <si>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</si>
  <si>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</si>
  <si>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</si>
  <si>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</si>
  <si>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</si>
  <si>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</si>
  <si>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</si>
  <si>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</si>
  <si>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</si>
  <si>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</si>
  <si>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</si>
  <si>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</si>
  <si>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</si>
  <si>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</si>
  <si>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</si>
  <si>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</si>
  <si>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</si>
  <si>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</si>
  <si>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</si>
  <si>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</si>
  <si>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</si>
  <si>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</si>
  <si>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</si>
  <si>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</si>
  <si>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</si>
  <si>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</si>
  <si>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</si>
  <si>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</si>
  <si>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</si>
  <si>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</si>
  <si>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</si>
  <si>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</si>
  <si>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</si>
  <si>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</si>
  <si>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</si>
  <si>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</si>
  <si>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</si>
  <si>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</si>
  <si>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</si>
  <si>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</si>
  <si>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</si>
  <si>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</si>
  <si>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</si>
  <si>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</si>
  <si>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</si>
  <si>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</si>
  <si>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</si>
  <si>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</si>
  <si>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</si>
  <si>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</si>
  <si>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</si>
  <si>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</si>
  <si>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</si>
  <si>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</si>
  <si>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</si>
  <si>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</si>
  <si>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</si>
  <si>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</si>
  <si>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</si>
  <si>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</si>
  <si>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</si>
  <si>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</si>
  <si>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</si>
  <si>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</si>
  <si>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</si>
  <si>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</si>
  <si>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</si>
  <si>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</si>
  <si>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</si>
  <si>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</si>
  <si>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</si>
  <si>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</si>
  <si>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</si>
  <si>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</si>
  <si>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</si>
  <si>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</si>
  <si>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</si>
  <si>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</si>
  <si>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</si>
  <si>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</si>
  <si>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</si>
  <si>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</si>
  <si>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</si>
  <si>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</si>
  <si>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</si>
  <si>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</si>
  <si>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</si>
  <si>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</si>
  <si>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</si>
  <si>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</si>
  <si>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</si>
  <si>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</si>
  <si>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</si>
  <si>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</si>
  <si>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</si>
  <si>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</si>
  <si>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</si>
  <si>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</si>
  <si>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</si>
  <si>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</si>
  <si>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</si>
  <si>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</si>
  <si>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</si>
  <si>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</si>
  <si>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</si>
  <si>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</si>
  <si>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</si>
  <si>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</si>
  <si>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</si>
  <si>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</si>
  <si>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</si>
  <si>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</si>
  <si>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</si>
  <si>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</si>
  <si>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</si>
  <si>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</si>
  <si>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</si>
  <si>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</si>
  <si>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</si>
  <si>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</si>
  <si>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</si>
  <si>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</si>
  <si>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</si>
  <si>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</si>
  <si>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</si>
  <si>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</si>
  <si>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</si>
  <si>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</si>
  <si>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</si>
  <si>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</si>
  <si>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</si>
  <si>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</si>
  <si>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</si>
  <si>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</si>
  <si>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</si>
  <si>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</si>
  <si>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</si>
  <si>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</si>
  <si>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</si>
  <si>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</si>
  <si>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</si>
  <si>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</si>
  <si>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</si>
  <si>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</si>
  <si>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</si>
  <si>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</si>
  <si>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</si>
  <si>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</si>
  <si>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</si>
  <si>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</si>
  <si>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</si>
  <si>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</si>
  <si>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</si>
  <si>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</si>
  <si>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</si>
  <si>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</si>
  <si>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</si>
  <si>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</si>
  <si>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</si>
  <si>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</si>
  <si>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</si>
  <si>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</si>
  <si>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</si>
  <si>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</si>
  <si>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</si>
  <si>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</si>
  <si>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</si>
  <si>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</si>
  <si>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</si>
  <si>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</si>
  <si>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</si>
  <si>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</si>
  <si>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</si>
  <si>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</si>
  <si>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</si>
  <si>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</si>
  <si>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</si>
  <si>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</si>
  <si>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</si>
  <si>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</si>
  <si>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</si>
  <si>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</si>
  <si>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</si>
  <si>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</si>
  <si>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</si>
  <si>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</si>
  <si>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</si>
  <si>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</si>
  <si>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</si>
  <si>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</si>
  <si>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</si>
  <si>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</si>
  <si>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</si>
  <si>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</si>
  <si>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</si>
  <si>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</si>
  <si>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</si>
  <si>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</si>
  <si>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</si>
  <si>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</si>
  <si>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</si>
  <si>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</si>
  <si>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</si>
  <si>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</si>
  <si>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</si>
  <si>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</si>
  <si>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</si>
  <si>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</si>
  <si>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</si>
  <si>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</si>
  <si>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</si>
  <si>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</si>
  <si>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</si>
  <si>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</si>
  <si>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</si>
  <si>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</si>
  <si>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</si>
  <si>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</si>
  <si>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</si>
  <si>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</si>
  <si>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</si>
  <si>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</si>
  <si>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</si>
  <si>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</si>
  <si>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</si>
  <si>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</si>
  <si>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</si>
  <si>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</si>
  <si>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</si>
  <si>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</si>
  <si>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</si>
  <si>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</si>
  <si>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</si>
  <si>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</si>
  <si>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</si>
  <si>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</si>
  <si>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</si>
  <si>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</si>
  <si>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</si>
  <si>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</si>
  <si>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</si>
  <si>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</si>
  <si>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</si>
  <si>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</si>
  <si>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</si>
  <si>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</si>
  <si>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</si>
  <si>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</si>
  <si>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</si>
  <si>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</si>
  <si>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</si>
  <si>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</si>
  <si>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</si>
  <si>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</si>
  <si>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</si>
  <si>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</si>
  <si>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</si>
  <si>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</si>
  <si>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</si>
  <si>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</si>
  <si>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</si>
  <si>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</si>
  <si>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</si>
  <si>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</si>
  <si>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</si>
  <si>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</si>
  <si>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</si>
  <si>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</si>
  <si>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</si>
  <si>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</si>
  <si>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</si>
  <si>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</si>
  <si>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</si>
  <si>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</si>
  <si>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</si>
  <si>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</si>
  <si>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</si>
  <si>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</si>
  <si>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</si>
  <si>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</si>
  <si>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</si>
  <si>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</si>
  <si>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</si>
  <si>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</si>
  <si>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</si>
  <si>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</si>
  <si>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</si>
  <si>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</si>
  <si>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</si>
  <si>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</si>
  <si>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</si>
  <si>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</si>
  <si>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</si>
  <si>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</si>
  <si>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</si>
  <si>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</si>
  <si>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</si>
  <si>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</si>
  <si>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</si>
  <si>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</si>
  <si>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</si>
  <si>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</si>
  <si>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</si>
  <si>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</si>
  <si>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</si>
  <si>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</si>
  <si>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</si>
  <si>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</si>
  <si>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</si>
  <si>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</si>
  <si>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</si>
  <si>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</si>
  <si>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</si>
  <si>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</si>
  <si>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</si>
  <si>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</si>
  <si>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</si>
  <si>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</si>
  <si>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</si>
  <si>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</si>
  <si>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</si>
  <si>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</si>
  <si>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</si>
  <si>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</si>
  <si>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</si>
  <si>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</si>
  <si>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</si>
  <si>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</si>
  <si>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</si>
  <si>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</si>
  <si>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</si>
  <si>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</si>
  <si>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</si>
  <si>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</si>
  <si>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</si>
  <si>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</si>
  <si>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</si>
  <si>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</si>
  <si>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</si>
  <si>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</si>
  <si>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</si>
  <si>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</si>
  <si>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</si>
  <si>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</si>
  <si>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</si>
  <si>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</si>
  <si>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</si>
  <si>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</si>
  <si>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</si>
  <si>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</si>
  <si>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</si>
  <si>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</si>
  <si>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</si>
  <si>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</si>
  <si>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</si>
  <si>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</si>
  <si>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</si>
  <si>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</si>
  <si>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</si>
  <si>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</si>
  <si>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</si>
  <si>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</si>
  <si>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</si>
  <si>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</si>
  <si>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</si>
  <si>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</si>
  <si>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</si>
  <si>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</si>
  <si>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</si>
  <si>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</si>
  <si>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</si>
  <si>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</si>
  <si>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</si>
  <si>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</si>
  <si>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</si>
  <si>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</si>
  <si>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</si>
  <si>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</si>
  <si>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</si>
  <si>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</si>
  <si>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</si>
  <si>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</si>
  <si>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</si>
  <si>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</si>
  <si>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</si>
  <si>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</si>
  <si>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</si>
  <si>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</si>
  <si>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</si>
  <si>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</si>
  <si>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</si>
  <si>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</si>
  <si>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</si>
  <si>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</si>
  <si>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</si>
  <si>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</si>
  <si>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</si>
  <si>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</si>
  <si>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</si>
  <si>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</si>
  <si>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</si>
  <si>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</si>
  <si>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</si>
  <si>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</si>
  <si>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</si>
  <si>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</si>
  <si>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</si>
  <si>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</si>
  <si>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</si>
  <si>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</si>
  <si>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</si>
  <si>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</si>
  <si>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</si>
  <si>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</si>
  <si>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</si>
  <si>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</si>
  <si>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</si>
  <si>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</si>
  <si>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</si>
  <si>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</si>
  <si>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</si>
  <si>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</si>
  <si>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</si>
  <si>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</si>
  <si>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</si>
  <si>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</si>
  <si>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</si>
  <si>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</si>
  <si>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</si>
  <si>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</si>
  <si>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</si>
  <si>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</si>
  <si>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</si>
  <si>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</si>
  <si>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</si>
  <si>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</si>
  <si>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</si>
  <si>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</si>
  <si>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</si>
  <si>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</si>
  <si>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</si>
  <si>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</si>
  <si>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</si>
  <si>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</si>
  <si>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</si>
  <si>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</si>
  <si>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</si>
  <si>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</si>
  <si>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</si>
  <si>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</si>
  <si>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</si>
  <si>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</si>
  <si>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</si>
  <si>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</si>
  <si>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</si>
  <si>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</si>
  <si>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</si>
  <si>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</si>
  <si>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</si>
  <si>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</si>
  <si>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</si>
  <si>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</si>
  <si>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</si>
  <si>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</si>
  <si>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</si>
  <si>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</si>
  <si>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</si>
  <si>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</si>
  <si>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</si>
  <si>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</si>
  <si>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</si>
  <si>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</si>
  <si>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</si>
  <si>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</si>
  <si>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</si>
  <si>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</si>
  <si>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</si>
  <si>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</si>
  <si>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</si>
  <si>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</si>
  <si>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</si>
  <si>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</si>
  <si>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</si>
  <si>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</si>
  <si>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</si>
  <si>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</si>
  <si>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</si>
  <si>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</si>
  <si>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</si>
  <si>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</si>
  <si>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</si>
  <si>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</si>
  <si>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</si>
  <si>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</si>
  <si>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</si>
  <si>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</si>
  <si>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</si>
  <si>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</si>
  <si>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</si>
  <si>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</si>
  <si>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</si>
  <si>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</si>
  <si>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</si>
  <si>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</si>
  <si>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</si>
  <si>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</si>
  <si>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</si>
  <si>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</si>
  <si>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</si>
  <si>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</si>
  <si>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</si>
  <si>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</si>
  <si>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</si>
  <si>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</si>
  <si>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</si>
  <si>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</si>
  <si>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</si>
  <si>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</si>
  <si>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</si>
  <si>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</si>
  <si>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</si>
  <si>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</si>
  <si>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</si>
  <si>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</si>
  <si>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</si>
  <si>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</si>
  <si>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</si>
  <si>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</si>
  <si>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</si>
  <si>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</si>
  <si>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</si>
  <si>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</si>
  <si>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</si>
  <si>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</si>
  <si>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</si>
  <si>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</si>
  <si>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</si>
  <si>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</si>
  <si>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</si>
  <si>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</si>
  <si>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</si>
  <si>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</si>
  <si>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</si>
  <si>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</si>
  <si>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</si>
  <si>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</si>
  <si>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</si>
  <si>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</si>
  <si>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</si>
  <si>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</si>
  <si>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</si>
  <si>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</si>
  <si>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</si>
  <si>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</si>
  <si>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</si>
  <si>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</si>
  <si>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</si>
  <si>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</si>
  <si>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</si>
  <si>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</si>
  <si>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</si>
  <si>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</si>
  <si>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</si>
  <si>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</si>
  <si>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</si>
  <si>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</si>
  <si>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</si>
  <si>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</si>
  <si>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</si>
  <si>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</si>
  <si>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</si>
  <si>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</si>
  <si>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</si>
  <si>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</si>
  <si>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</si>
  <si>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</si>
  <si>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</si>
  <si>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</si>
  <si>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</si>
  <si>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</si>
  <si>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</si>
  <si>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</si>
  <si>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</si>
  <si>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</si>
  <si>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</si>
  <si>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</si>
  <si>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</si>
  <si>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</si>
  <si>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</si>
  <si>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</si>
  <si>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</si>
  <si>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</si>
  <si>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</si>
  <si>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</si>
  <si>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</si>
  <si>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</si>
  <si>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</si>
  <si>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</si>
  <si>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</si>
  <si>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</si>
  <si>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</si>
  <si>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</si>
  <si>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</si>
  <si>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</si>
  <si>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</si>
  <si>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</si>
  <si>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</si>
  <si>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</si>
  <si>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</si>
  <si>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</si>
  <si>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</si>
  <si>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</si>
  <si>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</si>
  <si>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</si>
  <si>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</si>
  <si>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</si>
  <si>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</si>
  <si>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</si>
  <si>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</si>
  <si>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</si>
  <si>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</si>
  <si>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</si>
  <si>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</si>
  <si>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</si>
  <si>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</si>
  <si>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</si>
  <si>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</si>
  <si>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</si>
  <si>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</si>
  <si>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</si>
  <si>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</si>
  <si>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</si>
  <si>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</si>
  <si>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</si>
  <si>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</si>
  <si>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</si>
  <si>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</si>
  <si>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</si>
  <si>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</si>
  <si>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</si>
  <si>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</si>
  <si>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</si>
  <si>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</si>
  <si>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</si>
  <si>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</si>
  <si>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</si>
  <si>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</si>
  <si>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</si>
  <si>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</si>
  <si>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</si>
  <si>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</si>
  <si>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</si>
  <si>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</si>
  <si>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</si>
  <si>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</si>
  <si>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</si>
  <si>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</si>
  <si>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</si>
  <si>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</si>
  <si>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</si>
  <si>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</si>
  <si>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</si>
  <si>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</si>
  <si>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</si>
  <si>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</si>
  <si>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</si>
  <si>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</si>
  <si>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</si>
  <si>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</si>
  <si>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</si>
  <si>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</si>
  <si>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</si>
  <si>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</si>
  <si>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</si>
  <si>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</si>
  <si>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</si>
  <si>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</si>
  <si>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</si>
  <si>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</si>
  <si>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</si>
  <si>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</si>
  <si>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</si>
  <si>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</si>
  <si>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</si>
  <si>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</si>
  <si>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</si>
  <si>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</si>
  <si>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</si>
  <si>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</si>
  <si>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</si>
  <si>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</si>
  <si>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</si>
  <si>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</si>
  <si>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</si>
  <si>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</si>
  <si>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</si>
  <si>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</si>
  <si>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</si>
  <si>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</si>
  <si>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</si>
  <si>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</si>
  <si>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</si>
  <si>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</si>
  <si>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</si>
  <si>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</si>
  <si>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</si>
  <si>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</si>
  <si>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</si>
  <si>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</si>
  <si>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</si>
  <si>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</si>
  <si>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</si>
  <si>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</si>
  <si>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</si>
  <si>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</si>
  <si>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</si>
  <si>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</si>
  <si>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</si>
  <si>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</si>
  <si>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</si>
  <si>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</si>
  <si>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</si>
  <si>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</si>
  <si>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</si>
  <si>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</si>
  <si>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</si>
  <si>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</si>
  <si>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</si>
  <si>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</si>
  <si>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</si>
  <si>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</si>
  <si>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</si>
  <si>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</si>
  <si>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</si>
  <si>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</si>
  <si>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</si>
  <si>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</si>
  <si>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</si>
  <si>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</si>
  <si>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</si>
  <si>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</si>
  <si>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</si>
  <si>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</si>
  <si>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</si>
  <si>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</si>
  <si>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</si>
  <si>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</si>
  <si>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</si>
  <si>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</si>
  <si>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</si>
  <si>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</si>
  <si>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</si>
  <si>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</si>
  <si>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</si>
  <si>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</si>
  <si>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</si>
  <si>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</si>
  <si>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</si>
  <si>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</si>
  <si>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</si>
  <si>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</si>
  <si>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</si>
  <si>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</si>
  <si>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</si>
  <si>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</si>
  <si>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</si>
  <si>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</si>
  <si>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</si>
  <si>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</si>
  <si>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</si>
  <si>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</si>
  <si>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</si>
  <si>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</si>
  <si>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</si>
  <si>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</si>
  <si>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</si>
  <si>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</si>
  <si>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</si>
  <si>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</si>
  <si>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</si>
  <si>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</si>
  <si>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</si>
  <si>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</si>
  <si>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</si>
  <si>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</si>
  <si>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</si>
  <si>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</si>
  <si>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</si>
  <si>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</si>
  <si>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</si>
  <si>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</si>
  <si>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</si>
  <si>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</si>
  <si>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</si>
  <si>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</si>
  <si>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</si>
  <si>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</si>
  <si>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</si>
  <si>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</si>
  <si>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</si>
  <si>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</si>
  <si>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</si>
  <si>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</si>
  <si>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</si>
  <si>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</si>
  <si>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</si>
  <si>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</si>
  <si>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</si>
  <si>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</si>
  <si>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</si>
  <si>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</si>
  <si>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</si>
  <si>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</si>
  <si>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</si>
  <si>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</si>
  <si>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</si>
  <si>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</si>
  <si>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</si>
  <si>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</si>
  <si>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</si>
  <si>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</si>
  <si>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</si>
  <si>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</si>
  <si>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</si>
  <si>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</si>
  <si>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</si>
  <si>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</si>
  <si>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</si>
  <si>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</si>
  <si>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</si>
  <si>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</si>
  <si>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</si>
  <si>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</si>
  <si>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</si>
  <si>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</si>
  <si>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</si>
  <si>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</si>
  <si>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</si>
  <si>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</si>
  <si>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</si>
  <si>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</si>
  <si>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</si>
  <si>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</si>
  <si>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</si>
  <si>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</si>
  <si>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</si>
  <si>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</si>
  <si>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</si>
  <si>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</si>
  <si>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</si>
  <si>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</si>
  <si>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</si>
  <si>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</si>
  <si>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</si>
  <si>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</si>
  <si>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</si>
  <si>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</si>
  <si>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</si>
  <si>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</si>
  <si>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</si>
  <si>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</si>
  <si>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</si>
  <si>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</si>
  <si>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</si>
  <si>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</si>
  <si>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</si>
  <si>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</si>
  <si>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</si>
  <si>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</si>
  <si>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</si>
  <si>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</si>
  <si>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</si>
  <si>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</si>
  <si>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</si>
  <si>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</si>
  <si>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</si>
  <si>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</si>
  <si>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</si>
  <si>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</si>
  <si>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</si>
  <si>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</si>
  <si>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</si>
  <si>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</si>
  <si>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</si>
  <si>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</si>
  <si>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</si>
  <si>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</si>
  <si>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</si>
  <si>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</si>
  <si>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</si>
  <si>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</si>
  <si>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</si>
  <si>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</si>
  <si>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</si>
  <si>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</si>
  <si>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</si>
  <si>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</si>
  <si>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</si>
  <si>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</si>
  <si>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</si>
  <si>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</si>
  <si>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</si>
  <si>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</si>
  <si>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</si>
  <si>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</si>
  <si>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</si>
  <si>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</si>
  <si>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</si>
  <si>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</si>
  <si>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</si>
  <si>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</si>
  <si>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</si>
  <si>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</si>
  <si>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</si>
  <si>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</si>
  <si>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</si>
  <si>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</si>
  <si>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</si>
  <si>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</si>
  <si>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</si>
  <si>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</si>
  <si>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</si>
  <si>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</si>
  <si>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</si>
  <si>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</si>
  <si>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</si>
  <si>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</si>
  <si>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</si>
  <si>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</si>
  <si>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</si>
  <si>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</si>
  <si>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</si>
  <si>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</si>
  <si>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</si>
  <si>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</si>
  <si>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</si>
  <si>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</si>
  <si>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</si>
  <si>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</si>
  <si>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</si>
  <si>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</si>
  <si>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</si>
  <si>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</si>
  <si>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</si>
  <si>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</si>
  <si>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</si>
  <si>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</si>
  <si>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</si>
  <si>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</si>
  <si>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</si>
  <si>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</si>
  <si>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</si>
  <si>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</si>
  <si>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</si>
  <si>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</si>
  <si>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</si>
  <si>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</si>
  <si>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</si>
  <si>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</si>
  <si>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</si>
  <si>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</si>
  <si>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</si>
  <si>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</si>
  <si>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</si>
  <si>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</si>
  <si>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</si>
  <si>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</si>
  <si>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</si>
  <si>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</si>
  <si>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</si>
  <si>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</si>
  <si>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</si>
  <si>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</si>
  <si>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</si>
  <si>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</si>
  <si>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</si>
  <si>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</si>
  <si>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</si>
  <si>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</si>
  <si>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</si>
  <si>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</si>
  <si>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</si>
  <si>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</si>
  <si>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</si>
  <si>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</si>
  <si>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</si>
  <si>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</si>
  <si>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</si>
  <si>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</si>
  <si>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</si>
  <si>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</si>
  <si>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</si>
  <si>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</si>
  <si>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</si>
  <si>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</si>
  <si>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</si>
  <si>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</si>
  <si>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</si>
  <si>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</si>
  <si>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</si>
  <si>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</si>
  <si>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</si>
  <si>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</si>
  <si>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</si>
  <si>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</si>
  <si>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</si>
  <si>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</si>
  <si>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</si>
  <si>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</si>
  <si>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</si>
  <si>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</si>
  <si>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</si>
  <si>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</si>
  <si>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</si>
  <si>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</si>
  <si>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</si>
  <si>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</si>
  <si>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</si>
  <si>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</si>
  <si>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</si>
  <si>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</si>
  <si>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</si>
  <si>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</si>
  <si>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</si>
  <si>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</si>
  <si>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</si>
  <si>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</si>
  <si>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</si>
  <si>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</si>
  <si>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</si>
  <si>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</si>
  <si>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</si>
  <si>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</si>
  <si>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</si>
  <si>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</si>
  <si>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</si>
  <si>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</si>
  <si>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</si>
  <si>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</si>
  <si>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</si>
  <si>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</si>
  <si>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</si>
  <si>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</si>
  <si>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</si>
  <si>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</si>
  <si>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</si>
  <si>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</si>
  <si>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</si>
  <si>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</si>
  <si>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</si>
  <si>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</si>
  <si>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</si>
  <si>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</si>
  <si>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</si>
  <si>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</si>
  <si>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</si>
  <si>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</si>
  <si>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</si>
  <si>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</si>
  <si>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</si>
  <si>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</si>
  <si>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</si>
  <si>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</si>
  <si>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</si>
  <si>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</si>
  <si>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</si>
  <si>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</si>
  <si>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</si>
  <si>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</si>
  <si>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</si>
  <si>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</si>
  <si>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</si>
  <si>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</si>
  <si>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</si>
  <si>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</si>
  <si>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</si>
  <si>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</si>
  <si>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</si>
  <si>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</si>
  <si>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</si>
  <si>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</si>
  <si>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</si>
  <si>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</si>
  <si>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</si>
  <si>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</si>
  <si>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</si>
  <si>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</si>
  <si>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</si>
  <si>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</si>
  <si>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</si>
  <si>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</si>
  <si>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</si>
  <si>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</si>
  <si>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</si>
  <si>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</si>
  <si>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</si>
  <si>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</si>
  <si>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</si>
  <si>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</si>
  <si>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</si>
  <si>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</si>
  <si>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</si>
  <si>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</si>
  <si>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</si>
  <si>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</si>
  <si>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</si>
  <si>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</si>
  <si>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</si>
  <si>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</si>
  <si>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</si>
  <si>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</si>
  <si>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</si>
  <si>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</si>
  <si>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</si>
  <si>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</si>
  <si>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</si>
  <si>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</si>
  <si>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</si>
  <si>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</si>
  <si>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</si>
  <si>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</si>
  <si>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</si>
  <si>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</si>
  <si>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</si>
  <si>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</si>
  <si>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</si>
  <si>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</si>
  <si>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</si>
  <si>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</si>
  <si>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</si>
  <si>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</si>
  <si>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</si>
  <si>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</si>
  <si>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</si>
  <si>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</si>
  <si>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</si>
  <si>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</si>
  <si>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</si>
  <si>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</si>
  <si>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</si>
  <si>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</si>
  <si>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</si>
  <si>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</si>
  <si>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</si>
  <si>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</si>
  <si>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</si>
  <si>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</si>
  <si>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</si>
  <si>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</si>
  <si>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</si>
  <si>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</si>
  <si>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</si>
  <si>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</si>
  <si>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</si>
  <si>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</si>
  <si>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</si>
  <si>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</si>
  <si>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</si>
  <si>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</si>
  <si>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</si>
  <si>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</si>
  <si>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</si>
  <si>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</si>
  <si>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</si>
  <si>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</si>
  <si>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</si>
  <si>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</si>
  <si>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</si>
  <si>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</si>
  <si>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</si>
  <si>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</si>
  <si>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</si>
  <si>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</si>
  <si>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</si>
  <si>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</si>
  <si>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</si>
  <si>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</si>
  <si>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</si>
  <si>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</si>
  <si>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</si>
  <si>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</si>
  <si>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</si>
  <si>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</si>
  <si>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</si>
  <si>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</si>
  <si>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</si>
  <si>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</si>
  <si>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</si>
  <si>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</si>
  <si>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</si>
  <si>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</si>
  <si>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</si>
  <si>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</si>
  <si>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</si>
  <si>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</si>
  <si>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</si>
  <si>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</si>
  <si>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</si>
  <si>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</si>
  <si>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</si>
  <si>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</si>
  <si>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</si>
  <si>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</si>
  <si>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</si>
  <si>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</si>
  <si>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</si>
  <si>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</si>
  <si>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</si>
  <si>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</si>
  <si>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</si>
  <si>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</si>
  <si>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</si>
  <si>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</si>
  <si>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</si>
  <si>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</si>
  <si>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</si>
  <si>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</si>
  <si>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</si>
  <si>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</si>
  <si>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</si>
  <si>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</si>
  <si>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</si>
  <si>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</si>
  <si>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</si>
  <si>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</si>
  <si>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</si>
  <si>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</si>
  <si>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</si>
  <si>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</si>
  <si>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</si>
  <si>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</si>
  <si>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</si>
  <si>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</si>
  <si>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</si>
  <si>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</si>
  <si>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</si>
  <si>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</si>
  <si>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</si>
  <si>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</si>
  <si>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</si>
  <si>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</si>
  <si>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</si>
  <si>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</si>
  <si>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</si>
  <si>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</si>
  <si>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</si>
  <si>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</si>
  <si>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</si>
  <si>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</si>
  <si>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</si>
  <si>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</si>
  <si>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</si>
  <si>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</si>
  <si>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</si>
  <si>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</si>
  <si>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</si>
  <si>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</si>
  <si>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</si>
  <si>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</si>
  <si>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</si>
  <si>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</si>
  <si>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</si>
  <si>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</si>
  <si>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</si>
  <si>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</si>
  <si>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</si>
  <si>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</si>
  <si>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</si>
  <si>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</si>
  <si>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</si>
  <si>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</si>
  <si>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</si>
  <si>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</si>
  <si>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</si>
  <si>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</si>
  <si>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</si>
  <si>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</si>
  <si>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</si>
  <si>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</si>
  <si>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</si>
  <si>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</si>
  <si>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</si>
  <si>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</si>
  <si>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</si>
  <si>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</si>
  <si>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</si>
  <si>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</si>
  <si>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</si>
  <si>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</si>
  <si>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</si>
  <si>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</si>
  <si>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</si>
  <si>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</si>
  <si>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</si>
  <si>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</si>
  <si>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</si>
  <si>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</si>
  <si>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</si>
  <si>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</si>
  <si>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</si>
  <si>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</si>
  <si>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</si>
  <si>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</si>
  <si>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</si>
  <si>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</si>
  <si>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</si>
  <si>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</si>
  <si>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</si>
  <si>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</si>
  <si>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</si>
  <si>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</si>
  <si>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</si>
  <si>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</si>
  <si>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</si>
  <si>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</si>
  <si>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</si>
  <si>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</si>
  <si>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</si>
  <si>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</si>
  <si>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</si>
  <si>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</si>
  <si>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</si>
  <si>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</si>
  <si>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</si>
  <si>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</si>
  <si>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</si>
  <si>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</si>
  <si>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</si>
  <si>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</si>
  <si>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</si>
  <si>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</si>
  <si>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</si>
  <si>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</si>
  <si>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</si>
  <si>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</si>
  <si>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</si>
  <si>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</si>
  <si>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</si>
  <si>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</si>
  <si>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</si>
  <si>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</si>
  <si>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</si>
  <si>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</si>
  <si>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</si>
  <si>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</si>
  <si>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</si>
  <si>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</si>
  <si>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</si>
  <si>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</si>
  <si>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</si>
  <si>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</si>
  <si>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</si>
  <si>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</si>
  <si>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</si>
  <si>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</si>
  <si>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</si>
  <si>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</si>
  <si>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</si>
  <si>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</si>
  <si>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</si>
  <si>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</si>
  <si>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</si>
  <si>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</si>
  <si>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</si>
  <si>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</si>
  <si>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</si>
  <si>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</si>
  <si>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</si>
  <si>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</si>
  <si>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</si>
  <si>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</si>
  <si>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</si>
  <si>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</si>
  <si>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</si>
  <si>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</si>
  <si>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</si>
  <si>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</si>
  <si>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</si>
  <si>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</si>
  <si>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</si>
  <si>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</si>
  <si>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</si>
  <si>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</si>
  <si>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</si>
  <si>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</si>
  <si>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</si>
  <si>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</si>
  <si>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</si>
  <si>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</si>
  <si>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</si>
  <si>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</si>
  <si>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</si>
  <si>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</si>
  <si>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</si>
  <si>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</si>
  <si>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</si>
  <si>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</si>
  <si>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</si>
  <si>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</si>
  <si>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</si>
  <si>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</si>
  <si>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</si>
  <si>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</si>
  <si>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</si>
  <si>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</si>
  <si>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</si>
  <si>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</si>
  <si>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</si>
  <si>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</si>
  <si>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</si>
  <si>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</si>
  <si>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</si>
  <si>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</si>
  <si>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</si>
  <si>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</si>
  <si>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</si>
  <si>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</si>
  <si>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</si>
  <si>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</si>
  <si>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</si>
  <si>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</si>
  <si>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</si>
  <si>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</si>
  <si>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</si>
  <si>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</si>
  <si>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</si>
  <si>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</si>
  <si>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</si>
  <si>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</si>
  <si>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</si>
  <si>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</si>
  <si>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</si>
  <si>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</si>
  <si>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</si>
  <si>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</si>
  <si>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</si>
  <si>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</si>
  <si>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</si>
  <si>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</si>
  <si>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</si>
  <si>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</si>
  <si>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</si>
  <si>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</si>
  <si>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</si>
  <si>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</si>
  <si>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</si>
  <si>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</si>
  <si>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</si>
  <si>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</si>
  <si>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</si>
  <si>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</si>
  <si>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</si>
  <si>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</si>
  <si>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</si>
  <si>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</si>
  <si>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</si>
  <si>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</si>
  <si>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</si>
  <si>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</si>
  <si>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</si>
  <si>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</si>
  <si>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</si>
  <si>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</si>
  <si>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</si>
  <si>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</si>
  <si>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</si>
  <si>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</si>
  <si>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</si>
  <si>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</si>
  <si>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</si>
  <si>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</si>
  <si>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</si>
  <si>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</si>
  <si>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</si>
  <si>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</si>
  <si>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</si>
  <si>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</si>
  <si>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</si>
  <si>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</si>
  <si>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</si>
  <si>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</si>
  <si>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</si>
  <si>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</si>
  <si>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</si>
  <si>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</si>
  <si>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</si>
  <si>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</si>
  <si>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</si>
  <si>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</si>
  <si>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</si>
  <si>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</si>
  <si>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</si>
  <si>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</si>
  <si>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</si>
  <si>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</si>
  <si>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</si>
  <si>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</si>
  <si>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</si>
  <si>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</si>
  <si>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</si>
  <si>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</si>
  <si>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</si>
  <si>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</si>
  <si>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</si>
  <si>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</si>
  <si>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</si>
  <si>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</si>
  <si>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</si>
  <si>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</si>
  <si>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</si>
  <si>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</si>
  <si>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</si>
  <si>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</si>
  <si>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</si>
  <si>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</si>
  <si>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</si>
  <si>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</si>
  <si>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</si>
  <si>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</si>
  <si>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</si>
  <si>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</si>
  <si>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</si>
  <si>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</si>
  <si>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</si>
  <si>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</si>
  <si>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</si>
  <si>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</si>
  <si>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</si>
  <si>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</si>
  <si>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</si>
  <si>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</si>
  <si>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</si>
  <si>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</si>
  <si>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</si>
  <si>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</si>
  <si>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</si>
  <si>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</si>
  <si>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</si>
  <si>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</si>
  <si>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</si>
  <si>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</si>
  <si>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</si>
  <si>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</si>
  <si>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</si>
  <si>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</si>
  <si>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</si>
  <si>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</si>
  <si>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</si>
  <si>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</si>
  <si>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</si>
  <si>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</si>
  <si>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</si>
  <si>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</si>
  <si>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</si>
  <si>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</si>
  <si>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</si>
  <si>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</si>
  <si>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</si>
  <si>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</si>
  <si>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</si>
  <si>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</si>
  <si>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</si>
  <si>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</si>
  <si>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</si>
  <si>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</si>
  <si>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</si>
  <si>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</si>
  <si>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</si>
  <si>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</si>
  <si>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</si>
  <si>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</si>
  <si>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</si>
  <si>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</si>
  <si>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</si>
  <si>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</si>
  <si>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</si>
  <si>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</si>
  <si>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</si>
  <si>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</si>
  <si>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</si>
  <si>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</si>
  <si>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</si>
  <si>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</si>
  <si>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</si>
  <si>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</si>
  <si>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</si>
  <si>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</si>
  <si>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</si>
  <si>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</si>
  <si>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</si>
  <si>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</si>
  <si>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</si>
  <si>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</si>
  <si>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</si>
  <si>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</si>
  <si>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</si>
  <si>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</si>
  <si>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</si>
  <si>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</si>
  <si>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</si>
  <si>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</si>
  <si>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</si>
  <si>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</si>
  <si>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</si>
  <si>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</si>
  <si>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</si>
  <si>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</si>
  <si>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</si>
  <si>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</si>
  <si>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</si>
  <si>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</si>
  <si>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</si>
  <si>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</si>
  <si>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</si>
  <si>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</si>
  <si>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</si>
  <si>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</si>
  <si>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</si>
  <si>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</si>
  <si>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</si>
  <si>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</si>
  <si>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</si>
  <si>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</si>
  <si>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</si>
  <si>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</si>
  <si>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</si>
  <si>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</si>
  <si>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</si>
  <si>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</si>
  <si>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</si>
  <si>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</si>
  <si>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</si>
  <si>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</si>
  <si>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</si>
  <si>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</si>
  <si>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</si>
  <si>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</si>
  <si>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</si>
  <si>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</si>
  <si>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</si>
  <si>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</si>
  <si>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</si>
  <si>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</si>
  <si>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</si>
  <si>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</si>
  <si>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</si>
  <si>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</si>
  <si>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</si>
  <si>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</si>
  <si>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</si>
  <si>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</si>
  <si>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</si>
  <si>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</si>
  <si>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</si>
  <si>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</si>
  <si>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</si>
  <si>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</si>
  <si>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</si>
  <si>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</si>
  <si>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</si>
  <si>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</si>
  <si>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</si>
  <si>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</si>
  <si>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</si>
  <si>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</si>
  <si>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</si>
  <si>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</si>
  <si>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</si>
  <si>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</si>
  <si>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</si>
  <si>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</si>
  <si>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</si>
  <si>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</si>
  <si>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</si>
  <si>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</si>
  <si>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</si>
  <si>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</si>
  <si>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</si>
  <si>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</si>
  <si>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</si>
  <si>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</si>
  <si>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</si>
  <si>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</si>
  <si>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</si>
  <si>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</si>
  <si>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</si>
  <si>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</si>
  <si>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</si>
  <si>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</si>
  <si>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</si>
  <si>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</si>
  <si>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</si>
  <si>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</si>
  <si>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</si>
  <si>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</si>
  <si>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</si>
  <si>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</si>
  <si>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</si>
  <si>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</si>
  <si>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</si>
  <si>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</si>
  <si>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</si>
  <si>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</si>
  <si>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</si>
  <si>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</si>
  <si>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</si>
  <si>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</si>
  <si>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</si>
  <si>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</si>
  <si>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</si>
  <si>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</si>
  <si>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</si>
  <si>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</si>
  <si>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</si>
  <si>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</si>
  <si>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</si>
  <si>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</si>
  <si>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</si>
  <si>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</si>
  <si>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</si>
  <si>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</si>
  <si>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</si>
  <si>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</si>
  <si>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</si>
  <si>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</si>
  <si>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</si>
  <si>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</si>
  <si>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</si>
  <si>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</si>
  <si>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</si>
  <si>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</si>
  <si>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</si>
  <si>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</si>
  <si>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</si>
  <si>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</si>
  <si>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</si>
  <si>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</si>
  <si>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</si>
  <si>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</si>
  <si>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</si>
  <si>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</si>
  <si>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</si>
  <si>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</si>
  <si>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</si>
  <si>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</si>
  <si>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</si>
  <si>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</si>
  <si>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</si>
  <si>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</si>
  <si>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</si>
  <si>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</si>
  <si>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</si>
  <si>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</si>
  <si>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</si>
  <si>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</si>
  <si>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</si>
  <si>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</si>
  <si>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</si>
  <si>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</si>
  <si>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</si>
  <si>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</si>
  <si>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</si>
  <si>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</si>
  <si>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</si>
  <si>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</si>
  <si>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</si>
  <si>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</si>
  <si>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</si>
  <si>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</si>
  <si>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</si>
  <si>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</si>
  <si>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</si>
  <si>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</si>
  <si>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</si>
  <si>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</si>
  <si>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</si>
  <si>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</si>
  <si>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</si>
  <si>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</si>
  <si>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</si>
  <si>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</si>
  <si>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</si>
  <si>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</si>
  <si>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</si>
  <si>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</si>
  <si>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</si>
  <si>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</si>
  <si>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</si>
  <si>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</si>
  <si>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</si>
  <si>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</si>
  <si>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</si>
  <si>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</si>
  <si>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</si>
  <si>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</si>
  <si>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</si>
  <si>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</si>
  <si>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</si>
  <si>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</si>
  <si>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</si>
  <si>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</si>
  <si>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</si>
  <si>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</si>
  <si>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</si>
  <si>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</si>
  <si>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</si>
  <si>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</si>
  <si>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</si>
  <si>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</si>
  <si>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</si>
  <si>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</si>
  <si>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</si>
  <si>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</si>
  <si>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</si>
  <si>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</si>
  <si>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</si>
  <si>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</si>
  <si>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</si>
  <si>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</si>
  <si>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</si>
  <si>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</si>
  <si>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</si>
  <si>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</si>
  <si>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</si>
  <si>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</si>
  <si>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</si>
  <si>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</si>
  <si>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</si>
  <si>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</si>
  <si>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</si>
  <si>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</si>
  <si>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</si>
  <si>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</si>
  <si>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</si>
  <si>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</si>
  <si>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</si>
  <si>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</si>
  <si>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</si>
  <si>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</si>
  <si>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</si>
  <si>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</si>
  <si>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</si>
  <si>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</si>
  <si>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</si>
  <si>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</si>
  <si>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</si>
  <si>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</si>
  <si>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</si>
  <si>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</si>
  <si>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</si>
  <si>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</si>
  <si>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</si>
  <si>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</si>
  <si>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</si>
  <si>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</si>
  <si>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</si>
  <si>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</si>
  <si>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</si>
  <si>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</si>
  <si>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</si>
  <si>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</si>
  <si>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</si>
  <si>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</si>
  <si>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</si>
  <si>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</si>
  <si>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</si>
  <si>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</si>
  <si>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</si>
  <si>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</si>
  <si>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</si>
  <si>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</si>
  <si>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</si>
  <si>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</si>
  <si>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</si>
  <si>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</si>
  <si>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</si>
  <si>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</si>
  <si>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</si>
  <si>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</si>
  <si>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</si>
  <si>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</si>
  <si>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</si>
  <si>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</si>
  <si>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</si>
  <si>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</si>
  <si>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</si>
  <si>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</si>
  <si>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</si>
  <si>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</si>
  <si>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</si>
  <si>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</si>
  <si>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</si>
  <si>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</si>
  <si>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</si>
  <si>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</si>
  <si>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</si>
  <si>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</si>
  <si>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</si>
  <si>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</si>
  <si>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</si>
  <si>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</si>
  <si>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</si>
  <si>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</si>
  <si>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</si>
  <si>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</si>
  <si>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</si>
  <si>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</si>
  <si>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</si>
  <si>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</si>
  <si>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</si>
  <si>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</si>
  <si>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</si>
  <si>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</si>
  <si>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</si>
  <si>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</si>
  <si>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</si>
  <si>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</si>
  <si>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</si>
  <si>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</si>
  <si>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</si>
  <si>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</si>
  <si>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</si>
  <si>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</si>
  <si>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</si>
  <si>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</si>
  <si>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</si>
  <si>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</si>
  <si>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</si>
  <si>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</si>
  <si>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</si>
  <si>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</si>
  <si>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</si>
  <si>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</si>
  <si>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</si>
  <si>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</si>
  <si>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</si>
  <si>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</si>
  <si>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</si>
  <si>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</si>
  <si>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</si>
  <si>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</si>
  <si>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</si>
  <si>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</si>
  <si>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</si>
  <si>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</si>
  <si>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</si>
  <si>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</si>
  <si>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</si>
  <si>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</si>
  <si>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</si>
  <si>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</si>
  <si>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</si>
  <si>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</si>
  <si>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</si>
  <si>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</si>
  <si>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</si>
  <si>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</si>
  <si>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</si>
  <si>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</si>
  <si>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</si>
  <si>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</si>
  <si>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</si>
  <si>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</si>
  <si>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</si>
  <si>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</si>
  <si>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</si>
  <si>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</si>
  <si>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</si>
  <si>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</si>
  <si>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</si>
  <si>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</si>
  <si>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</si>
  <si>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</si>
  <si>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</si>
  <si>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</si>
  <si>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</si>
  <si>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</si>
  <si>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</si>
  <si>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</si>
  <si>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</si>
  <si>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</si>
  <si>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</si>
  <si>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</si>
  <si>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</si>
  <si>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</si>
  <si>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</si>
  <si>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</si>
  <si>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</si>
  <si>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</si>
  <si>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</si>
  <si>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</si>
  <si>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</si>
  <si>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</si>
  <si>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</si>
  <si>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</si>
  <si>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</si>
  <si>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</si>
  <si>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</si>
  <si>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</si>
  <si>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</si>
  <si>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</si>
  <si>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</si>
  <si>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</si>
  <si>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</si>
  <si>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</si>
  <si>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</si>
  <si>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</si>
  <si>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</si>
  <si>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</si>
  <si>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</si>
  <si>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</si>
  <si>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</si>
  <si>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</si>
  <si>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</si>
  <si>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</si>
  <si>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</si>
  <si>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</si>
  <si>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</si>
  <si>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</si>
  <si>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</si>
  <si>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</si>
  <si>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</si>
  <si>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</si>
  <si>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</si>
  <si>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</si>
  <si>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</si>
  <si>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</si>
  <si>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</si>
  <si>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</si>
  <si>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</si>
  <si>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</si>
  <si>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</si>
  <si>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</si>
  <si>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</si>
  <si>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</si>
  <si>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</si>
  <si>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</si>
  <si>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</si>
  <si>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</si>
  <si>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</si>
  <si>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</si>
  <si>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</si>
  <si>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</si>
  <si>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</si>
  <si>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</si>
  <si>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</si>
  <si>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</si>
  <si>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</si>
  <si>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</si>
  <si>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</si>
  <si>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</si>
  <si>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</si>
  <si>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</si>
  <si>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</si>
  <si>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</si>
  <si>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</si>
  <si>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</si>
  <si>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</si>
  <si>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</si>
  <si>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</si>
  <si>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</si>
  <si>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</si>
  <si>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</si>
  <si>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</si>
  <si>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</si>
  <si>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</si>
  <si>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</si>
  <si>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</si>
  <si>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</si>
  <si>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</si>
  <si>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</si>
  <si>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</si>
  <si>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</si>
  <si>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</si>
  <si>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</si>
  <si>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</si>
  <si>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</si>
  <si>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</si>
  <si>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</si>
  <si>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</si>
  <si>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</si>
  <si>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</si>
  <si>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</si>
  <si>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</si>
  <si>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</si>
  <si>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</si>
  <si>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</si>
  <si>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</si>
  <si>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</si>
  <si>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</si>
  <si>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</si>
  <si>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</si>
  <si>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</si>
  <si>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</si>
  <si>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</si>
  <si>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</si>
  <si>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</si>
  <si>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</si>
  <si>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</si>
  <si>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</si>
  <si>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</si>
  <si>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</si>
  <si>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</si>
  <si>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</si>
  <si>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</si>
  <si>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</si>
  <si>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</si>
  <si>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</si>
  <si>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</si>
  <si>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</si>
  <si>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</si>
  <si>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</si>
  <si>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</si>
  <si>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</si>
  <si>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</si>
  <si>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</si>
  <si>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</si>
  <si>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</si>
  <si>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</si>
  <si>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</si>
  <si>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</si>
  <si>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吴薇</t>
  </si>
  <si>
    <t>郑燚</t>
  </si>
  <si>
    <t>华夏</t>
    <phoneticPr fontId="6" type="noConversion"/>
  </si>
  <si>
    <t>北京新航城建设实业发展有限公司</t>
    <phoneticPr fontId="6" type="noConversion"/>
  </si>
  <si>
    <t>抵押</t>
  </si>
  <si>
    <t>抵押价格</t>
  </si>
  <si>
    <t>北京大兴国际机场临空经济区0105街区DX16-0105-6018地块F1住宅混合公建用地出让国有建设用地</t>
    <phoneticPr fontId="6" type="noConversion"/>
  </si>
  <si>
    <t>企业</t>
  </si>
  <si>
    <t>F1</t>
    <phoneticPr fontId="6" type="noConversion"/>
  </si>
  <si>
    <t>一致</t>
  </si>
  <si>
    <t>符合</t>
  </si>
  <si>
    <t>否</t>
  </si>
  <si>
    <t>居住项目</t>
  </si>
  <si>
    <t>无</t>
  </si>
  <si>
    <t>场地平整</t>
  </si>
  <si>
    <t>国有建设用地使用权出让合同</t>
    <phoneticPr fontId="224" type="noConversion"/>
  </si>
  <si>
    <t>受让人</t>
    <phoneticPr fontId="224" type="noConversion"/>
  </si>
  <si>
    <t>北京新航城控股有限公司</t>
  </si>
  <si>
    <t>北京新航城控股有限公司</t>
    <phoneticPr fontId="224" type="noConversion"/>
  </si>
  <si>
    <t>出让宗地面积</t>
    <phoneticPr fontId="224" type="noConversion"/>
  </si>
  <si>
    <t>用途</t>
    <phoneticPr fontId="224" type="noConversion"/>
  </si>
  <si>
    <r>
      <t>F</t>
    </r>
    <r>
      <rPr>
        <sz val="11"/>
        <color theme="1"/>
        <rFont val="宋体"/>
        <family val="3"/>
        <charset val="134"/>
        <scheme val="minor"/>
      </rPr>
      <t>1住宅混合公建用地</t>
    </r>
    <phoneticPr fontId="224" type="noConversion"/>
  </si>
  <si>
    <t>现状</t>
    <phoneticPr fontId="224" type="noConversion"/>
  </si>
  <si>
    <t>临时三通一平</t>
    <phoneticPr fontId="224" type="noConversion"/>
  </si>
  <si>
    <t>出让年期</t>
    <phoneticPr fontId="224" type="noConversion"/>
  </si>
  <si>
    <t>住宅</t>
    <phoneticPr fontId="224" type="noConversion"/>
  </si>
  <si>
    <t>商业</t>
    <phoneticPr fontId="224" type="noConversion"/>
  </si>
  <si>
    <t>办公</t>
    <phoneticPr fontId="224" type="noConversion"/>
  </si>
  <si>
    <t>土地成交价款</t>
    <phoneticPr fontId="224" type="noConversion"/>
  </si>
  <si>
    <t>单价</t>
    <phoneticPr fontId="224" type="noConversion"/>
  </si>
  <si>
    <t>建筑总面积</t>
    <phoneticPr fontId="224" type="noConversion"/>
  </si>
  <si>
    <t>容积率</t>
    <phoneticPr fontId="224" type="noConversion"/>
  </si>
  <si>
    <t>开工</t>
    <phoneticPr fontId="224" type="noConversion"/>
  </si>
  <si>
    <t>竣工</t>
    <phoneticPr fontId="224" type="noConversion"/>
  </si>
  <si>
    <t>公建</t>
    <phoneticPr fontId="224" type="noConversion"/>
  </si>
  <si>
    <t>建设用地面积</t>
    <phoneticPr fontId="224" type="noConversion"/>
  </si>
  <si>
    <t>总建筑面积</t>
    <phoneticPr fontId="224" type="noConversion"/>
  </si>
  <si>
    <t>地上建筑面积</t>
    <phoneticPr fontId="224" type="noConversion"/>
  </si>
  <si>
    <t>配套公共服务</t>
    <phoneticPr fontId="224" type="noConversion"/>
  </si>
  <si>
    <t>出入口及其他</t>
    <phoneticPr fontId="224" type="noConversion"/>
  </si>
  <si>
    <t>酒店</t>
  </si>
  <si>
    <t>酒店</t>
    <phoneticPr fontId="224" type="noConversion"/>
  </si>
  <si>
    <t>开闭站</t>
    <phoneticPr fontId="224" type="noConversion"/>
  </si>
  <si>
    <t>地下建筑面积</t>
    <phoneticPr fontId="224" type="noConversion"/>
  </si>
  <si>
    <t>非人防</t>
    <phoneticPr fontId="224" type="noConversion"/>
  </si>
  <si>
    <t>人防</t>
  </si>
  <si>
    <t>人防</t>
    <phoneticPr fontId="224" type="noConversion"/>
  </si>
  <si>
    <t>设备</t>
  </si>
  <si>
    <t>设备</t>
    <phoneticPr fontId="224" type="noConversion"/>
  </si>
  <si>
    <t>非机动车库</t>
    <phoneticPr fontId="224" type="noConversion"/>
  </si>
  <si>
    <t>车位</t>
  </si>
  <si>
    <t>车位</t>
    <phoneticPr fontId="224" type="noConversion"/>
  </si>
  <si>
    <t>地上</t>
  </si>
  <si>
    <t>地上</t>
    <phoneticPr fontId="224" type="noConversion"/>
  </si>
  <si>
    <t>地下</t>
  </si>
  <si>
    <t>地下</t>
    <phoneticPr fontId="224" type="noConversion"/>
  </si>
  <si>
    <t>社会</t>
    <phoneticPr fontId="224" type="noConversion"/>
  </si>
  <si>
    <t>机械</t>
    <phoneticPr fontId="224" type="noConversion"/>
  </si>
  <si>
    <t>平层</t>
  </si>
  <si>
    <t>平层</t>
    <phoneticPr fontId="224" type="noConversion"/>
  </si>
  <si>
    <t>是</t>
  </si>
  <si>
    <t>物业</t>
    <phoneticPr fontId="224" type="noConversion"/>
  </si>
  <si>
    <t>配套</t>
    <phoneticPr fontId="224" type="noConversion"/>
  </si>
  <si>
    <t xml:space="preserve"> </t>
    <phoneticPr fontId="224" type="noConversion"/>
  </si>
  <si>
    <t>小型商服</t>
    <phoneticPr fontId="224" type="noConversion"/>
  </si>
  <si>
    <t>消防电梯</t>
    <phoneticPr fontId="224" type="noConversion"/>
  </si>
  <si>
    <t>屋顶水箱间</t>
    <phoneticPr fontId="224" type="noConversion"/>
  </si>
  <si>
    <t>后勤用房</t>
    <phoneticPr fontId="224" type="noConversion"/>
  </si>
  <si>
    <t>住宅</t>
    <phoneticPr fontId="7" type="noConversion"/>
  </si>
  <si>
    <t>酒店</t>
    <phoneticPr fontId="7" type="noConversion"/>
  </si>
  <si>
    <t>商业</t>
    <phoneticPr fontId="7" type="noConversion"/>
  </si>
  <si>
    <t>建安取值</t>
  </si>
  <si>
    <t>单方建安</t>
  </si>
  <si>
    <t>合计</t>
  </si>
  <si>
    <t>建安</t>
  </si>
  <si>
    <t>主体</t>
  </si>
  <si>
    <t>装修</t>
  </si>
  <si>
    <t>综合平均</t>
  </si>
  <si>
    <t>一般</t>
  </si>
  <si>
    <t>较差</t>
  </si>
  <si>
    <t>较差</t>
    <phoneticPr fontId="3" type="noConversion"/>
  </si>
  <si>
    <t>七通</t>
  </si>
  <si>
    <t>七通</t>
    <phoneticPr fontId="3" type="noConversion"/>
  </si>
  <si>
    <t>较好</t>
  </si>
  <si>
    <t>城镇住宅用地</t>
  </si>
  <si>
    <t>自定义容积率</t>
  </si>
  <si>
    <t>不临65条商业街</t>
  </si>
  <si>
    <t>与级别开发程度不一致</t>
  </si>
  <si>
    <t>中心城区以外</t>
  </si>
  <si>
    <t>好</t>
  </si>
  <si>
    <t>1000米以外</t>
  </si>
  <si>
    <t>楼层修正</t>
  </si>
  <si>
    <r>
      <rPr>
        <sz val="11"/>
        <color theme="1"/>
        <rFont val="宋体"/>
        <family val="3"/>
        <charset val="134"/>
      </rPr>
      <t>基准地价</t>
    </r>
    <r>
      <rPr>
        <sz val="11"/>
        <color theme="1"/>
        <rFont val="Arial"/>
        <family val="2"/>
      </rPr>
      <t xml:space="preserve"> (2)</t>
    </r>
    <phoneticPr fontId="14" type="noConversion"/>
  </si>
  <si>
    <r>
      <rPr>
        <sz val="11"/>
        <color theme="1"/>
        <rFont val="宋体"/>
        <family val="3"/>
        <charset val="134"/>
      </rPr>
      <t>基准地价</t>
    </r>
    <r>
      <rPr>
        <sz val="11"/>
        <color theme="1"/>
        <rFont val="Arial"/>
        <family val="2"/>
      </rPr>
      <t xml:space="preserve"> (3)</t>
    </r>
    <phoneticPr fontId="14" type="noConversion"/>
  </si>
  <si>
    <t>基准地价</t>
  </si>
  <si>
    <t>基准地价 (2)</t>
  </si>
  <si>
    <t>基准地价 (3)</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</si>
  <si>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</si>
  <si>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</si>
  <si>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</si>
  <si>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</si>
  <si>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</si>
  <si>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</si>
  <si>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</si>
  <si>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</si>
  <si>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</si>
  <si>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</si>
  <si>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</si>
  <si>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</si>
  <si>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</si>
  <si>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</si>
  <si>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</si>
  <si>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</si>
  <si>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</si>
  <si>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</si>
  <si>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</si>
  <si>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</si>
  <si>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</si>
  <si>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</si>
  <si>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</si>
  <si>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</si>
  <si>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</si>
  <si>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</si>
  <si>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</si>
  <si>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</si>
  <si>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</si>
  <si>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</si>
  <si>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</si>
  <si>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</si>
  <si>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</si>
  <si>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</si>
  <si>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</si>
  <si>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</si>
  <si>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</si>
  <si>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</si>
  <si>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</si>
  <si>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</si>
  <si>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</si>
  <si>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</si>
  <si>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</si>
  <si>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</si>
  <si>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</si>
  <si>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</si>
  <si>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</si>
  <si>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</si>
  <si>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</si>
  <si>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</si>
  <si>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</si>
  <si>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</si>
  <si>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</si>
  <si>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</si>
  <si>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</si>
  <si>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</si>
  <si>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</si>
  <si>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</si>
  <si>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项目名称</t>
  </si>
  <si>
    <t>关联供地计划</t>
  </si>
  <si>
    <t>供地计划名称</t>
  </si>
  <si>
    <t>最早约定支付日期</t>
  </si>
  <si>
    <t>最早约定支付金额(万元)</t>
  </si>
  <si>
    <t>通州区土桥中路西侧棚户区改造项目FZX-0202-6025地块R2二类居住用地</t>
  </si>
  <si>
    <t>北京</t>
  </si>
  <si>
    <t>通州区</t>
  </si>
  <si>
    <t>玉桥</t>
  </si>
  <si>
    <t>京土储挂(通)[2024]042号</t>
  </si>
  <si>
    <t>北京城市副中心0202街区</t>
  </si>
  <si>
    <t>住宅用地</t>
  </si>
  <si>
    <t>R2二类居住用地</t>
  </si>
  <si>
    <t>70年</t>
  </si>
  <si>
    <t>2.20</t>
  </si>
  <si>
    <t/>
  </si>
  <si>
    <t>30米局部36米</t>
  </si>
  <si>
    <t>招标</t>
  </si>
  <si>
    <t>限地价,摇号/摇珠/抽签,限房价</t>
  </si>
  <si>
    <t>限地价,限房价</t>
  </si>
  <si>
    <t>含租赁住房用地</t>
  </si>
  <si>
    <t>2024-09-29</t>
  </si>
  <si>
    <t>2024-10-22</t>
  </si>
  <si>
    <t>2024-11-05</t>
  </si>
  <si>
    <t>已成交</t>
  </si>
  <si>
    <t>未开工</t>
  </si>
  <si>
    <t>北京金隅嘉业房地产开发有限公司</t>
  </si>
  <si>
    <t>金隅集团</t>
  </si>
  <si>
    <t>地方国有企业</t>
  </si>
  <si>
    <t>2024-11-04 17:00</t>
  </si>
  <si>
    <t>未触达</t>
  </si>
  <si>
    <t>17300元/㎡(五级住宅用途2021-01-01)</t>
  </si>
  <si>
    <t>0202街区土桥地铁周边项目</t>
  </si>
  <si>
    <t>通州区梨园镇强力家居土地一级开发项目FZX-0303-6001地块R2二类居住用地国有建设用地</t>
  </si>
  <si>
    <t>梨园</t>
  </si>
  <si>
    <t>京土储挂(通)[2024]040 号</t>
  </si>
  <si>
    <t>京土储挂(通)[2024]040号</t>
  </si>
  <si>
    <t>通州区梨园镇</t>
  </si>
  <si>
    <t>2.17</t>
  </si>
  <si>
    <t>36(局部48)</t>
  </si>
  <si>
    <t>挂牌</t>
  </si>
  <si>
    <t>限地价,摇号/摇珠/抽签</t>
  </si>
  <si>
    <t>2024-09-20</t>
  </si>
  <si>
    <t>2024-10-10</t>
  </si>
  <si>
    <t>2024-10-23</t>
  </si>
  <si>
    <t>招商局地产(北京)有限公司</t>
  </si>
  <si>
    <t>招商蛇口</t>
  </si>
  <si>
    <t>中央国有企业</t>
  </si>
  <si>
    <t>2024-10-22 17:00</t>
  </si>
  <si>
    <t>通州区梨园镇强力家居土地一级开发项目FZX-0303-6001地块</t>
  </si>
  <si>
    <t>北京市延庆区南辛堡村、民主村、百眼泉村棚户区改造项目YQ00-0309-0017地块R2二类居住用地</t>
  </si>
  <si>
    <t>延庆区</t>
  </si>
  <si>
    <t>延庆镇</t>
  </si>
  <si>
    <t>京土储挂(延)[2024]037号</t>
  </si>
  <si>
    <t>延庆区延庆镇</t>
  </si>
  <si>
    <t>1.60</t>
  </si>
  <si>
    <t>24米</t>
  </si>
  <si>
    <t>限地价</t>
  </si>
  <si>
    <t>2024-09-06</t>
  </si>
  <si>
    <t>2024-09-26</t>
  </si>
  <si>
    <t>2024-10-15</t>
  </si>
  <si>
    <t>已开工</t>
  </si>
  <si>
    <t>北京住总房地产开发有限责任公司</t>
  </si>
  <si>
    <t>北京住总集团</t>
  </si>
  <si>
    <t>城投企业</t>
  </si>
  <si>
    <t>2024-10-14 17:00</t>
  </si>
  <si>
    <t>5540元/㎡(九级住宅用途2021-01-01)</t>
  </si>
  <si>
    <t>YQ00-0309-0017地块</t>
  </si>
  <si>
    <t>北京市通州区宋庄镇双埠头村、大庞村、大兴庄村土地一级开发项目TZ03-0403- 6008、6015地块R2二类居住用地、 TZ03-0403-6012地块A334托幼用地</t>
  </si>
  <si>
    <t>宋庄北</t>
  </si>
  <si>
    <t>京土储挂(通)[2024]035号</t>
  </si>
  <si>
    <t>通州区宋庄镇</t>
  </si>
  <si>
    <t>综合用地(含住宅)</t>
  </si>
  <si>
    <t>R2二类居住用地、A334托幼用地</t>
  </si>
  <si>
    <t>R2二类居住用地、A33基础教育用地</t>
  </si>
  <si>
    <t>居住 70 年,商业 40 年,公共服务 50 年</t>
  </si>
  <si>
    <t>r2:1.8,a334:0.8</t>
  </si>
  <si>
    <t>R2:36米,A334:16米</t>
  </si>
  <si>
    <t>2024-08-23</t>
  </si>
  <si>
    <t>2024-09-12</t>
  </si>
  <si>
    <t>2024-09-27</t>
  </si>
  <si>
    <t>北京城建投资发展股份有限公司</t>
  </si>
  <si>
    <t>北京城建</t>
  </si>
  <si>
    <t>2024-09-26 17:00</t>
  </si>
  <si>
    <t>10740元/㎡(七级住宅用途2021-01-01)</t>
  </si>
  <si>
    <t>通州区宋庄镇双埠头村、大庞村、大兴庄村土地一级开发项目TZ03-0403-6008、6015二类居住用地及TZ03-0403-6012基础教育用地</t>
  </si>
  <si>
    <t>北京市大兴区西红门镇1号地土地一级开发项目DX04-0102-6030、6029地块R2二类居住用地、A334托幼用地</t>
  </si>
  <si>
    <t>大兴区</t>
  </si>
  <si>
    <t>西红门镇东</t>
  </si>
  <si>
    <t>京土储挂(兴)[2024]033号</t>
  </si>
  <si>
    <t>大兴区西红门镇</t>
  </si>
  <si>
    <t>A33基础教育用地、R2二类居住用地</t>
  </si>
  <si>
    <t>居住70年 商业40年 办公50年</t>
  </si>
  <si>
    <t>r2:2.5,a33:0.8</t>
  </si>
  <si>
    <t>R2:45,A33:15</t>
  </si>
  <si>
    <t>2024-08-15</t>
  </si>
  <si>
    <t>2024-09-04</t>
  </si>
  <si>
    <t>2024-09-19</t>
  </si>
  <si>
    <t>北京兴创置地房地产开发有限公司</t>
  </si>
  <si>
    <t>北京兴创投资</t>
  </si>
  <si>
    <t>2024-09-18 17:00</t>
  </si>
  <si>
    <t>13850元/㎡(六级住宅用途2021-01-01)</t>
  </si>
  <si>
    <t>北京市顺义区后沙峪镇西泗上村棚户区改造土地开发项目SY00-1801-0104、0105、0106、0107地块R2二类居住用地、B1商业用地、A334托幼用地</t>
  </si>
  <si>
    <t>顺义区</t>
  </si>
  <si>
    <t>后沙峪北部</t>
  </si>
  <si>
    <t>京土储挂(顺)[2024]032号</t>
  </si>
  <si>
    <t>顺义区后沙峪镇</t>
  </si>
  <si>
    <t>R2二类居住用地、A334托幼用地、B1商业用地</t>
  </si>
  <si>
    <t>R2二类居住用地、A33基础教育用地、B1商业设施用地</t>
  </si>
  <si>
    <t>居住 70 年 商业 40 年 办公 50 年</t>
  </si>
  <si>
    <t>r2:1.1,b1:1.0,a334:0.8</t>
  </si>
  <si>
    <t>R2:35%,A334:30%</t>
  </si>
  <si>
    <t>2024-08-09</t>
  </si>
  <si>
    <t>2024-08-29</t>
  </si>
  <si>
    <t>北京懋源宏展房地产开发有限公司 、北京懋源鸿竺房地产开发有限公司</t>
  </si>
  <si>
    <t>北京懋源</t>
  </si>
  <si>
    <t>民营企业</t>
  </si>
  <si>
    <t>2024-09-11 17:00</t>
  </si>
  <si>
    <t>顺义区西泗上村资金平衡地块</t>
  </si>
  <si>
    <t>北京市房山区良乡大学城拓展东区FS00-0125-0008地块二类城镇住宅用地、FS00-0125-0004地块幼儿园用地</t>
  </si>
  <si>
    <t>房山区</t>
  </si>
  <si>
    <t>良乡大学城南</t>
  </si>
  <si>
    <t>京土储挂(房)[2024]027号</t>
  </si>
  <si>
    <t>房山区良乡大学城拓展东区</t>
  </si>
  <si>
    <t>二类城镇住宅用地、幼儿园用地</t>
  </si>
  <si>
    <t>R居住用地</t>
  </si>
  <si>
    <t>0004:0.8,0008:2</t>
  </si>
  <si>
    <t>0004:16,0008:36</t>
  </si>
  <si>
    <t>2024-06-28</t>
  </si>
  <si>
    <t>2024-07-18</t>
  </si>
  <si>
    <t>2024-08-01</t>
  </si>
  <si>
    <t>北京城乡房屋建设开发有限责任公司</t>
  </si>
  <si>
    <t>北京建工</t>
  </si>
  <si>
    <t>2024-08-01 15:00</t>
  </si>
  <si>
    <t>7830元/㎡(八级住宅用途2021-01-01)</t>
  </si>
  <si>
    <t>房山区拱辰街道</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</si>
  <si>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</si>
  <si>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</si>
  <si>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</si>
  <si>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</si>
  <si>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</si>
  <si>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</si>
  <si>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</si>
  <si>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</si>
  <si>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</si>
  <si>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</si>
  <si>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</si>
  <si>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</si>
  <si>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</si>
  <si>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</si>
  <si>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</si>
  <si>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</si>
  <si>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</si>
  <si>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</si>
  <si>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</si>
  <si>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</si>
  <si>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</si>
  <si>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</si>
  <si>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</si>
  <si>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北京市大兴城镇建设综合开发集团有限公司 、北京大兴发展集地开发有限公司</t>
  </si>
  <si>
    <t>北京兴创投资,北京万兴建筑集团有限公司</t>
  </si>
  <si>
    <t>地方国有企业，民营企业</t>
  </si>
  <si>
    <t>城投企业，</t>
  </si>
  <si>
    <t>2024-07-02 17:00</t>
  </si>
  <si>
    <t>北京市大兴区大兴新城西片区一期A、B组团土地一级开发项目DX00-0406-0003、DX00-0406-0011地块R2二类居住用地、DX00-0404-0033地块B4综合性商业金融服务业用地、DX00-0406-0007地块A334托幼用地</t>
  </si>
  <si>
    <t>北京市顺义区仁和镇临河村棚户区改造土地开发A片区项目SY00-0702-15、26地块R2二类居住用地、SY00-0702-16地块A334托幼用地</t>
  </si>
  <si>
    <t>仁和</t>
  </si>
  <si>
    <t>京土储挂(顺)[2024]020号</t>
  </si>
  <si>
    <t>顺义区仁和镇</t>
  </si>
  <si>
    <t>15:1.6、16:0.8、26:1.6</t>
  </si>
  <si>
    <t>15:45、16:18、26:45</t>
  </si>
  <si>
    <t>2024-05-24</t>
  </si>
  <si>
    <t>2024-06-13</t>
  </si>
  <si>
    <t>2024-06-27</t>
  </si>
  <si>
    <t>北京城建投资发展股份有限公司 、苏州南山新吴房地产开发有限公司</t>
  </si>
  <si>
    <t>北京城建,南山控股</t>
  </si>
  <si>
    <t>地方国有企业，地方国有企业</t>
  </si>
  <si>
    <t>2024-06-27 15:00</t>
  </si>
  <si>
    <t>星悦时光</t>
  </si>
  <si>
    <t>北京市怀柔区雁栖镇03-01、03-02、03-03、03-04、03-05、03-06地块F1住宅混合公建用地、F3其他类多功能用地(怀柔雁栖小镇C区土地一级开发项目)</t>
  </si>
  <si>
    <t>怀柔区</t>
  </si>
  <si>
    <t>雁栖</t>
  </si>
  <si>
    <t>京土储挂(怀)[2024]011号</t>
  </si>
  <si>
    <t>怀柔区雁栖镇</t>
  </si>
  <si>
    <t>住宅 办公</t>
  </si>
  <si>
    <t>B商业服务业设施用地</t>
  </si>
  <si>
    <t>住宅70年办公40年</t>
  </si>
  <si>
    <t>≤1.11</t>
  </si>
  <si>
    <t>2024-02-21</t>
  </si>
  <si>
    <t>2024-03-12</t>
  </si>
  <si>
    <t>2024-03-26</t>
  </si>
  <si>
    <t>北京怀柔科学城雁栖小镇置业有限公司</t>
  </si>
  <si>
    <t>怀柔科学城</t>
  </si>
  <si>
    <t>2024-03-25 17:00</t>
  </si>
  <si>
    <t>北京市顺义区顺义新城第31街区SY00-3101- 0808、SY00-3101-0809地块R2二类居住用地、A334托幼用地</t>
  </si>
  <si>
    <t>俸伯</t>
  </si>
  <si>
    <t>京土储挂(顺)[2024]009号</t>
  </si>
  <si>
    <t>顺义区南彩镇</t>
  </si>
  <si>
    <t>二类居住用地、托幼用地</t>
  </si>
  <si>
    <t>住宅70年 教育50年</t>
  </si>
  <si>
    <t>0808:1.5、0809:0.8</t>
  </si>
  <si>
    <t>0808:36、0809:18</t>
  </si>
  <si>
    <t>2024-02-08</t>
  </si>
  <si>
    <t>2024-03-01</t>
  </si>
  <si>
    <t>2024-03-15</t>
  </si>
  <si>
    <t>北京祥业房地产有限公司</t>
  </si>
  <si>
    <t>2024-03-15 15:00</t>
  </si>
  <si>
    <t>住总|青年ONE</t>
  </si>
  <si>
    <t>北京市顺义区空港六期SY00-2301-0001地块R2二类居住用地</t>
  </si>
  <si>
    <t>新国展</t>
  </si>
  <si>
    <t>京土储挂(顺)[2024]007号</t>
  </si>
  <si>
    <t>二类居住用地(R2)</t>
  </si>
  <si>
    <t>住宅70年</t>
  </si>
  <si>
    <t>2</t>
  </si>
  <si>
    <t>2024-02-02</t>
  </si>
  <si>
    <t>北京建工地产有限责任公司</t>
  </si>
  <si>
    <t>保利发展,北京建工</t>
  </si>
  <si>
    <t>触达</t>
  </si>
  <si>
    <t>保利建工·星宸和煦</t>
  </si>
  <si>
    <t>北京市房山区长阳镇FS00-0101-0002、0003地块R2二类居住用地、A33基础教育用地(托幼用地)</t>
  </si>
  <si>
    <t>长阳西</t>
  </si>
  <si>
    <t>京土储挂(房)[2024]006号</t>
  </si>
  <si>
    <t>房山区长阳镇</t>
  </si>
  <si>
    <t>二类居住用地(R2) A33基础教育用地(幼儿园)</t>
  </si>
  <si>
    <t>0002:2.8、0003:0.8</t>
  </si>
  <si>
    <t>0002:60,0003:12</t>
  </si>
  <si>
    <t>2024-01-29</t>
  </si>
  <si>
    <t>2024-02-18</t>
  </si>
  <si>
    <t>2024-04-30</t>
  </si>
  <si>
    <t>北京城建集团有限责任公司</t>
  </si>
  <si>
    <t>北京城建集团</t>
  </si>
  <si>
    <t>2024-04-29 15:00</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</si>
  <si>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</si>
  <si>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</si>
  <si>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</si>
  <si>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</si>
  <si>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</si>
  <si>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</si>
  <si>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</si>
  <si>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</si>
  <si>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</si>
  <si>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</si>
  <si>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</si>
  <si>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</si>
  <si>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壹品兴创·御璟星城·元启</t>
  </si>
  <si>
    <t>北京市顺义区顺义新城第1街区01-03-21地块R2二类居住用地</t>
  </si>
  <si>
    <t>旺泉</t>
  </si>
  <si>
    <t>京土储挂(顺)[2024]002号</t>
  </si>
  <si>
    <t>城镇住宅-普通商品住房用地</t>
  </si>
  <si>
    <t>2024-01-11</t>
  </si>
  <si>
    <t>北京住总置业有限公司</t>
  </si>
  <si>
    <t>2024-02-16 15:00</t>
  </si>
  <si>
    <t>住总·芳华里</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</si>
  <si>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</si>
  <si>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</si>
  <si>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</si>
  <si>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</si>
  <si>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</si>
  <si>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</si>
  <si>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</si>
  <si>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</si>
  <si>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</si>
  <si>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</si>
  <si>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</si>
  <si>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</si>
  <si>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华润置地开发(北京)有限公司</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</si>
  <si>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</si>
  <si>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</si>
  <si>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</si>
  <si>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</si>
  <si>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</si>
  <si>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</si>
  <si>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</si>
  <si>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</si>
  <si>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纯自住房/共有产权房用地</t>
  </si>
  <si>
    <t>自住房/共有产权房</t>
  </si>
  <si>
    <t>北京大兴发展集地开发有限公司</t>
  </si>
  <si>
    <t>大兴发展·亦生共悦</t>
  </si>
  <si>
    <t>大兴区旧宫镇YZ00-0902-0340、6002、6003(原DX05-0102-0340、6002、6003)F81 集体产业用地</t>
  </si>
  <si>
    <t>旧宫南</t>
  </si>
  <si>
    <t>京规自集使挂(兴)[2023]008号</t>
  </si>
  <si>
    <t>大兴区旧宫镇,南五环以北</t>
  </si>
  <si>
    <t>北京万兴建筑集团有限公司,北京兴创投资</t>
  </si>
  <si>
    <t>民营企业，地方国有企业</t>
  </si>
  <si>
    <t>，城投企业</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</si>
  <si>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</si>
  <si>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</si>
  <si>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</si>
  <si>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</si>
  <si>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</si>
  <si>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</si>
  <si>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</si>
  <si>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</si>
  <si>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</si>
  <si>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</si>
  <si>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</si>
  <si>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</si>
  <si>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</si>
  <si>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</si>
  <si>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</si>
  <si>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北京市顺义区顺义新城土地一级开发项目SY00-1101-0601、0603地块R2二类居住用地、SY00-1101-6002地块A334托幼用地</t>
  </si>
  <si>
    <t>双丰</t>
  </si>
  <si>
    <t>京土储挂(顺)[2023]066号</t>
  </si>
  <si>
    <t>顺义区马坡镇</t>
  </si>
  <si>
    <t>0601:1.7,6002:0.8,0603:1.2</t>
  </si>
  <si>
    <t>0601,0603:35;6002:30</t>
  </si>
  <si>
    <t>2023-11-24</t>
  </si>
  <si>
    <t>2023-12-14</t>
  </si>
  <si>
    <t>2023-12-28</t>
  </si>
  <si>
    <t>保利(北京)房地产开发有限公司</t>
  </si>
  <si>
    <t>保利发展</t>
  </si>
  <si>
    <t>2023-12-28 15:00</t>
  </si>
  <si>
    <t>保利颐璟和煦</t>
  </si>
  <si>
    <t>北京大兴国际机场临空经济区0105街区DX16-0105-6037地块F1住宅混合公建用地</t>
  </si>
  <si>
    <t>礼贤镇</t>
  </si>
  <si>
    <t>京土储挂(兴临空)〔2023〕064号</t>
  </si>
  <si>
    <t>大兴区礼贤镇</t>
  </si>
  <si>
    <t>2023-11-20</t>
  </si>
  <si>
    <t>2023-12-12</t>
  </si>
  <si>
    <t>2023-12-26</t>
  </si>
  <si>
    <t>北京新航城控股有限公司 、中建科技集团有限公司</t>
  </si>
  <si>
    <t>北京新航城,中建科技</t>
  </si>
  <si>
    <t>地方国有企业，未知</t>
  </si>
  <si>
    <t>2023-12-25 17:00</t>
  </si>
  <si>
    <t>大兴区榆垡镇</t>
  </si>
  <si>
    <t>北京市房山区长阳镇北广阳城棚户区改造二片区FS00-0105-0011、0023地块项目R2二类居住用地</t>
  </si>
  <si>
    <t>篱笆房</t>
  </si>
  <si>
    <t>京土储挂(房)[2023]062号</t>
  </si>
  <si>
    <t>房山区长阳镇及拱辰街道</t>
  </si>
  <si>
    <t>0011:1.7,0023:2.1</t>
  </si>
  <si>
    <t>2023-11-16</t>
  </si>
  <si>
    <t>2023-12-06</t>
  </si>
  <si>
    <t>2023-12-20 15:00</t>
  </si>
  <si>
    <t>北京城建·和知筑</t>
  </si>
  <si>
    <t>北京市大兴区黄村镇DX00-0208-6021地块R2二类居住用地</t>
  </si>
  <si>
    <t>团河</t>
  </si>
  <si>
    <t>京土储挂(兴)[2023]059号</t>
  </si>
  <si>
    <t>2.60</t>
  </si>
  <si>
    <t>2023-11-02</t>
  </si>
  <si>
    <t>2023-11-22</t>
  </si>
  <si>
    <t>北京诺德兴创置业有限公司</t>
  </si>
  <si>
    <t>中国中铁,北京兴创投资</t>
  </si>
  <si>
    <t>中央国有企业，地方国有企业</t>
  </si>
  <si>
    <t>2023-12-05 17:00</t>
  </si>
  <si>
    <t>京玺</t>
  </si>
  <si>
    <t>北京大兴国际机场临空经济区0105街区DX16-0105-6038地块F1住宅混合公建用地 国有建设用地使用权挂牌出让公告</t>
  </si>
  <si>
    <t>京土储挂(兴临空)〔2023〕060号</t>
  </si>
  <si>
    <t>2023-11-01</t>
  </si>
  <si>
    <t>北京新航城</t>
  </si>
  <si>
    <t>北京市大兴区大兴新城西片区一期A 组团土地一级开发项目DX00-0407-0007 地块R2二类居住用地</t>
  </si>
  <si>
    <t>京土储挂(兴)[2023]057号</t>
  </si>
  <si>
    <t>2023-10-19</t>
  </si>
  <si>
    <t>2023-11-09</t>
  </si>
  <si>
    <t>2023-11-23</t>
  </si>
  <si>
    <t>北京市大兴城镇建设综合开发集团有限公司 、北京兴业恒盛投资管理有限公司</t>
  </si>
  <si>
    <t>北京兴创投资,北京兴业恒盛投资管理有限公司</t>
  </si>
  <si>
    <t>2023-11-23 15:00</t>
  </si>
  <si>
    <t>北京市怀柔区雁栖镇、怀北镇02-01、02-02、02-03、02-04、02-05、02-06、02-07、02-08、02-09地块F1住宅混合公建用地(怀柔雁栖小镇B区土地一级开发项目)</t>
  </si>
  <si>
    <t>京土储挂(怀)[2023]055号</t>
  </si>
  <si>
    <t>怀柔区雁栖镇、怀北镇</t>
  </si>
  <si>
    <t>F1住宅混合公建用地</t>
  </si>
  <si>
    <t>居住70年商业40年办公50年</t>
  </si>
  <si>
    <t>≤1.09</t>
  </si>
  <si>
    <t>12米</t>
  </si>
  <si>
    <t>2023-09-28</t>
  </si>
  <si>
    <t>2023-10-18</t>
  </si>
  <si>
    <t>北京怀柔科学城置业有限公司</t>
  </si>
  <si>
    <t>2023-11-01 15:00</t>
  </si>
  <si>
    <t>3630元/㎡(十级住宅用途2021-01-01)</t>
  </si>
  <si>
    <t>雁栖小镇（B区）</t>
  </si>
  <si>
    <t>怀柔区怀北镇、雁栖镇</t>
  </si>
  <si>
    <t>通州区宋庄镇双埠头村、大庞村、大兴庄村土地一级开发项目TZ03-0403-6023、6028 地块R2二类居住用地挂牌出让公告</t>
  </si>
  <si>
    <t>京土储挂(通)〔2023〕051号</t>
  </si>
  <si>
    <t>≤1.8</t>
  </si>
  <si>
    <t>2023-09-08</t>
  </si>
  <si>
    <t>天津晋恒房地产开发有限公司</t>
  </si>
  <si>
    <t>山西建投</t>
  </si>
  <si>
    <t>建投国贸·瑨上</t>
  </si>
  <si>
    <t>北京市密云区水源路南侧C-2地块土地一级开发项目MY00-0105-6038、6040地块R2二类居住用地</t>
  </si>
  <si>
    <t>密云区</t>
  </si>
  <si>
    <t>鼓楼</t>
  </si>
  <si>
    <t>京土储挂(密)[2023]049号</t>
  </si>
  <si>
    <t>密云区水源路南侧</t>
  </si>
  <si>
    <t>1.80</t>
  </si>
  <si>
    <t>2023-08-31</t>
  </si>
  <si>
    <t>2023-09-20</t>
  </si>
  <si>
    <t>2023-10-10</t>
  </si>
  <si>
    <t>2023-10-04 15:00</t>
  </si>
  <si>
    <t>住总国祥誉</t>
  </si>
  <si>
    <t>密云区密云镇</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</si>
  <si>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</si>
  <si>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</si>
  <si>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</si>
  <si>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</si>
  <si>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</si>
  <si>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山西金汇海房地产开发有限公司</t>
  </si>
  <si>
    <t>京熙润府</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</si>
  <si>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</si>
  <si>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</si>
  <si>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</si>
  <si>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</si>
  <si>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</si>
  <si>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</si>
  <si>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</si>
  <si>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</si>
  <si>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</si>
  <si>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</si>
  <si>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北京市延庆区南辛堡村、民主村、百眼泉村棚户区改造项目YQ00-0309-0007地块R2二类居住用地</t>
  </si>
  <si>
    <t>京土储挂(延)[2023]041号</t>
  </si>
  <si>
    <t>延庆区延庆新城09街区</t>
  </si>
  <si>
    <t>2023-07-06</t>
  </si>
  <si>
    <t>2023-07-26</t>
  </si>
  <si>
    <t>2023-08-09</t>
  </si>
  <si>
    <t>2023-08-09 15:00</t>
  </si>
  <si>
    <t>住总山澜樾府</t>
  </si>
  <si>
    <t>北京市通州区永顺镇邓家窑及永顺村南部地块土地一级开发项目FZX-0501-6004、6005地块R2二类居住用地、A334托幼用地</t>
  </si>
  <si>
    <t>物资学院</t>
  </si>
  <si>
    <t>京土储挂(通)[2023]040号</t>
  </si>
  <si>
    <t>北京市通州区永顺镇</t>
  </si>
  <si>
    <t>住宅用地70年,幼儿园用地50年</t>
  </si>
  <si>
    <t>居住2.0、幼托0.8</t>
  </si>
  <si>
    <t>居住36、幼托16</t>
  </si>
  <si>
    <t>北京万科企业有限公司</t>
  </si>
  <si>
    <t>万科</t>
  </si>
  <si>
    <t>混合所有制</t>
  </si>
  <si>
    <t>万科东庐</t>
  </si>
  <si>
    <t>通州区永顺镇</t>
  </si>
  <si>
    <t>北京市大兴区三合庄改造区土地一级开发项目DX00-0202-6018、6019、6026地块R2二类居住用地和6022 地块A334托幼用地</t>
  </si>
  <si>
    <t>黄村</t>
  </si>
  <si>
    <t>京土储挂(兴)[2023]037号</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</si>
  <si>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</si>
  <si>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</si>
  <si>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</si>
  <si>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</si>
  <si>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</si>
  <si>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</si>
  <si>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</si>
  <si>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</si>
  <si>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</si>
  <si>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</si>
  <si>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</si>
  <si>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</si>
  <si>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</si>
  <si>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</si>
  <si>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</si>
  <si>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</si>
  <si>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</si>
  <si>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</si>
  <si>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</si>
  <si>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2023-06-21</t>
  </si>
  <si>
    <t>2023-07-11</t>
  </si>
  <si>
    <t>2023-07-25</t>
  </si>
  <si>
    <t>中建玖合发展集团有限公司</t>
  </si>
  <si>
    <t>中建二局</t>
  </si>
  <si>
    <t>2023-07-25 15:00</t>
  </si>
  <si>
    <t>中建·玖玥府</t>
  </si>
  <si>
    <t>北京市顺义区顺义新城第1街区01-01-09地块R2二类居住用地、01-01-04地块A334托幼用地</t>
  </si>
  <si>
    <t>京土储挂(顺)[2023]036号</t>
  </si>
  <si>
    <t>顺义区顺义新城第1街区</t>
  </si>
  <si>
    <t>01-01-09地块容积率1.8;01-01-04地块容积率0.8</t>
  </si>
  <si>
    <t>北京首都开发股份有限公司</t>
  </si>
  <si>
    <t>首开股份</t>
  </si>
  <si>
    <t>璞瑅润府</t>
  </si>
  <si>
    <t>北京市平谷区兴谷新消费综合体项目PG00-0106-0104地块R2二类居住用地</t>
  </si>
  <si>
    <t>平谷区</t>
  </si>
  <si>
    <t>兴谷</t>
  </si>
  <si>
    <t>京土储挂(平)[2023]030号</t>
  </si>
  <si>
    <t>平谷区兴谷街道</t>
  </si>
  <si>
    <t>≤1.2</t>
  </si>
  <si>
    <t>2023-05-26</t>
  </si>
  <si>
    <t>2023-06-15</t>
  </si>
  <si>
    <t>北京辰禾嘉业房地产开发有限公司</t>
  </si>
  <si>
    <t>2023-06-29 17:00</t>
  </si>
  <si>
    <t>紫贵丽景花园</t>
  </si>
  <si>
    <t>平谷新城</t>
  </si>
  <si>
    <t>北京市房山区城关中心区FS00-0230-0018地块R2二类居住用地</t>
  </si>
  <si>
    <t>城关</t>
  </si>
  <si>
    <t>京土储挂(房)[2023]028号</t>
  </si>
  <si>
    <t>房山区城关街道</t>
  </si>
  <si>
    <t>≤2.8</t>
  </si>
  <si>
    <t>北京建工·揽星樾</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</si>
  <si>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</si>
  <si>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</si>
  <si>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</si>
  <si>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</si>
  <si>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</si>
  <si>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</si>
  <si>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</si>
  <si>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北京兴创投资,中建三局</t>
  </si>
  <si>
    <t>地方国有企业，中央国有企业</t>
  </si>
  <si>
    <t>兴城之星</t>
  </si>
  <si>
    <t>大兴新城西片区起步区A组团土地一级开发项目DX00-0407-0002、0006、0007地块</t>
  </si>
  <si>
    <t>北京市通州经济开发区西区南扩区三、五、六期 棚户区改造项目北京城市副中心1102街区FZX-1102-6003、6004地块R2二类居住用地</t>
  </si>
  <si>
    <t>张家湾休闲</t>
  </si>
  <si>
    <t>京土储挂(通)[2023]027号</t>
  </si>
  <si>
    <t>副中心1102街区</t>
  </si>
  <si>
    <t>36米</t>
  </si>
  <si>
    <t>北京北投置业有限公司</t>
  </si>
  <si>
    <t>北投集团</t>
  </si>
  <si>
    <t>张家湾棚改项目五期东地块</t>
  </si>
  <si>
    <t>北京城市副中心1201街区 FZX-1201-0061地块F3其他类多功能用地、0062地块R2二类居住用地</t>
  </si>
  <si>
    <t>环球度假区</t>
  </si>
  <si>
    <t>京土储挂(通)〔2023〕026号</t>
  </si>
  <si>
    <t>副中心1201街区</t>
  </si>
  <si>
    <t>F3其他类多功能用地,R2二类居住用地</t>
  </si>
  <si>
    <t>住宅70年,办公40年</t>
  </si>
  <si>
    <t>r2容积率2.2,f3容积率2.5</t>
  </si>
  <si>
    <t>R2限制高度45,F3限制高度36</t>
  </si>
  <si>
    <t>北京通州房地产开发有限责任公司</t>
  </si>
  <si>
    <t>通州房开</t>
  </si>
  <si>
    <t>帅府·京彩世界</t>
  </si>
  <si>
    <t>文化旅游区FZX-1201-0061、FZX-1201-0062地块</t>
  </si>
  <si>
    <t>北京经济技术开发区亦庄新城0202街区YZ00-0202-X47R1地块R2二类居住用地</t>
  </si>
  <si>
    <t>河西区南部</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</si>
  <si>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</si>
  <si>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</si>
  <si>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</si>
  <si>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</si>
  <si>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</si>
  <si>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</si>
  <si>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</si>
  <si>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</si>
  <si>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</si>
  <si>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</si>
  <si>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</si>
  <si>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</si>
  <si>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</si>
  <si>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北京市顺义区顺义新城第2街区SY00-0002-6022、SY00-0002-6023-1地块二类居住用地</t>
  </si>
  <si>
    <t>胜利</t>
  </si>
  <si>
    <t>京土储挂(顺)[2023]017号</t>
  </si>
  <si>
    <t>顺义区顺义新城第2街区</t>
  </si>
  <si>
    <t>2.2-2.4</t>
  </si>
  <si>
    <t>2023-05-11</t>
  </si>
  <si>
    <t>2023-05-31</t>
  </si>
  <si>
    <t>2023-06-14</t>
  </si>
  <si>
    <t>石家庄创世纪房地产开发有限公司</t>
  </si>
  <si>
    <t>威海康维置业有限公司,上海泽曜置业有限公司,北京市长建燕城建筑工程有限公司,南京阜仪企业管理咨询有限公司,石家庄创世纪房地产开发有限公司,龙湖集团,江苏怡康控股集团</t>
  </si>
  <si>
    <t>龙湖御湖境</t>
  </si>
  <si>
    <t>北京市顺义区顺义新城第20街区SY00-0020-6001地块二类居住用地</t>
  </si>
  <si>
    <t>后沙峪东部</t>
  </si>
  <si>
    <t>京土储挂(顺)[2023]011号</t>
  </si>
  <si>
    <t>顺义新城第20街区</t>
  </si>
  <si>
    <t>限地价,现房销售,摇号/摇珠/抽签</t>
  </si>
  <si>
    <t>2023-04-28</t>
  </si>
  <si>
    <t>2023-05-18</t>
  </si>
  <si>
    <t>2023-06-01</t>
  </si>
  <si>
    <t>中能建城市投资发展有限公司</t>
  </si>
  <si>
    <t>国贸地产,中能建城市投资</t>
  </si>
  <si>
    <t>2023-06-01 15:00</t>
  </si>
  <si>
    <t>璟上兰园</t>
  </si>
  <si>
    <t>后沙峪站C地块SY00-0020-6001地块</t>
  </si>
  <si>
    <t>北京经济技术开发区亦庄新城0510街区YZ00-0510-0032地块R2二类居住用地</t>
  </si>
  <si>
    <t>次渠</t>
  </si>
  <si>
    <t>京土储挂(开)[2023]009号</t>
  </si>
  <si>
    <t>亦庄新城0510街区YZ00-0510-0032地块</t>
  </si>
  <si>
    <t>招商璀璨时代</t>
  </si>
  <si>
    <t>亦庄新城0510街区YZ0-0510-0032地块R2二类居住用地</t>
  </si>
  <si>
    <t>北京市顺义区顺义新城第19街区19-69地块二类居住用地</t>
  </si>
  <si>
    <t>京土储挂(顺)[2023]010号</t>
  </si>
  <si>
    <t>顺义区顺义新城</t>
  </si>
  <si>
    <t>福建雄旺房地产开发有限公司</t>
  </si>
  <si>
    <t>建发·观云</t>
  </si>
  <si>
    <t>顺义区后沙峪村A地块019-069地块</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</si>
  <si>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</si>
  <si>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</si>
  <si>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</si>
  <si>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</si>
  <si>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</si>
  <si>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限地价,摇号/摇珠/抽签,限房价,现房销售</t>
  </si>
  <si>
    <t>2023-03-31</t>
  </si>
  <si>
    <t>2023-04-20</t>
  </si>
  <si>
    <t>2023-05-06</t>
  </si>
  <si>
    <t>华润置地开发(北京)有限公司 、中铁置业集团北京有限公司</t>
  </si>
  <si>
    <t>中国中铁,华润置地</t>
  </si>
  <si>
    <t>中央国有企业，中央国有企业</t>
  </si>
  <si>
    <t>橡树湾</t>
  </si>
  <si>
    <t>北京市通州区梨园镇东小马土地一级开发项目FZX-0306-6009地块R2二类居住用地国有建设用地使用权出让</t>
  </si>
  <si>
    <t>京土储挂(通)〔2023〕006号</t>
  </si>
  <si>
    <t>居住 70年、商业40 年、办公 50 年</t>
  </si>
  <si>
    <t>限地价,摇号/摇珠/抽签,现房销售</t>
  </si>
  <si>
    <t>2023-03-27</t>
  </si>
  <si>
    <t>2023-04-17</t>
  </si>
  <si>
    <t>2023-05-01 15:00</t>
  </si>
  <si>
    <t>璀璨公元</t>
  </si>
  <si>
    <t>北京市通州区梨园镇东小马土地一级开发项目FZX-0306-6009地块R2二类居住用地</t>
  </si>
  <si>
    <t>大兴区瀛海镇区级统筹集建地YZ00-0803-2019、2057地块F81集体产业用地</t>
  </si>
  <si>
    <t>瀛海</t>
  </si>
  <si>
    <t>京规自集使挂(兴)[2023]005号</t>
  </si>
  <si>
    <t>F81集体产业用地(建设共有产权住房)</t>
  </si>
  <si>
    <t>2023-03-20</t>
  </si>
  <si>
    <t>2023-04-11</t>
  </si>
  <si>
    <t>2023-04-23</t>
  </si>
  <si>
    <t>湖北文旅园区建设发展集团有限公司 、中建壹品投资发展有限公司</t>
  </si>
  <si>
    <t>湖北文旅建发集团,中建三局</t>
  </si>
  <si>
    <t>住宅、商业</t>
  </si>
  <si>
    <t>住宅、商业</t>
    <phoneticPr fontId="26" type="noConversion"/>
  </si>
  <si>
    <t>住宅、办公</t>
  </si>
  <si>
    <t>住宅、办公</t>
    <phoneticPr fontId="26" type="noConversion"/>
  </si>
  <si>
    <t>住宅</t>
    <phoneticPr fontId="26" type="noConversion"/>
  </si>
  <si>
    <t>九级</t>
    <phoneticPr fontId="26" type="noConversion"/>
  </si>
  <si>
    <t>十级</t>
    <phoneticPr fontId="26" type="noConversion"/>
  </si>
  <si>
    <t>规则</t>
    <phoneticPr fontId="26" type="noConversion"/>
  </si>
  <si>
    <t>较规则</t>
  </si>
  <si>
    <t>较规则</t>
    <phoneticPr fontId="26" type="noConversion"/>
  </si>
  <si>
    <t>较不规则</t>
    <phoneticPr fontId="26" type="noConversion"/>
  </si>
  <si>
    <t>适宜</t>
    <phoneticPr fontId="26" type="noConversion"/>
  </si>
  <si>
    <t>较适宜</t>
  </si>
  <si>
    <t>较适宜</t>
    <phoneticPr fontId="26" type="noConversion"/>
  </si>
  <si>
    <t>三通</t>
  </si>
  <si>
    <t>楼面地价</t>
  </si>
  <si>
    <t>六通</t>
  </si>
  <si>
    <t>较好</t>
    <phoneticPr fontId="26" type="noConversion"/>
  </si>
  <si>
    <t>较差</t>
    <phoneticPr fontId="3" type="noConversion"/>
  </si>
  <si>
    <t>木子民宿北京大兴机场店</t>
    <phoneticPr fontId="224" type="noConversion"/>
  </si>
  <si>
    <t>固安福朋喜来登酒店</t>
    <phoneticPr fontId="224" type="noConversion"/>
  </si>
  <si>
    <t>喆啡酒店固安北京大兴国际机场店</t>
    <phoneticPr fontId="224" type="noConversion"/>
  </si>
  <si>
    <t>格林豪泰</t>
    <phoneticPr fontId="224" type="noConversion"/>
  </si>
  <si>
    <t>希岸轻雅酒店</t>
    <phoneticPr fontId="224" type="noConversion"/>
  </si>
  <si>
    <t>亚朵</t>
    <phoneticPr fontId="224" type="noConversion"/>
  </si>
  <si>
    <t>全季</t>
    <phoneticPr fontId="224" type="noConversion"/>
  </si>
  <si>
    <t>希尔顿</t>
    <phoneticPr fontId="224" type="noConversion"/>
  </si>
  <si>
    <t>按比例</t>
  </si>
  <si>
    <t>序号</t>
    <phoneticPr fontId="224" type="noConversion"/>
  </si>
  <si>
    <t>项目名称</t>
    <phoneticPr fontId="224" type="noConversion"/>
  </si>
  <si>
    <r>
      <t>住宅-</t>
    </r>
    <r>
      <rPr>
        <sz val="11"/>
        <color theme="1"/>
        <rFont val="宋体"/>
        <family val="3"/>
        <charset val="134"/>
        <scheme val="minor"/>
      </rPr>
      <t>1</t>
    </r>
    <phoneticPr fontId="224" type="noConversion"/>
  </si>
  <si>
    <t>住宅-0.5</t>
    <phoneticPr fontId="224" type="noConversion"/>
  </si>
  <si>
    <t>商业-1</t>
    <phoneticPr fontId="224" type="noConversion"/>
  </si>
  <si>
    <t>住总兴创如遇</t>
    <phoneticPr fontId="224" type="noConversion"/>
  </si>
  <si>
    <t>京能丽墅</t>
    <phoneticPr fontId="224" type="noConversion"/>
  </si>
  <si>
    <t>兴创荣墅</t>
    <phoneticPr fontId="224" type="noConversion"/>
  </si>
  <si>
    <t>住总如院</t>
    <phoneticPr fontId="224" type="noConversion"/>
  </si>
  <si>
    <t>和悦璞云</t>
    <phoneticPr fontId="224" type="noConversion"/>
  </si>
  <si>
    <t>和悦春风</t>
    <phoneticPr fontId="224" type="noConversion"/>
  </si>
  <si>
    <t>航城壹号</t>
    <phoneticPr fontId="224" type="noConversion"/>
  </si>
  <si>
    <t>比较法-住宅、综合</t>
  </si>
  <si>
    <t>剩余法-待开发</t>
  </si>
  <si>
    <t>住宅</t>
    <phoneticPr fontId="21" type="noConversion"/>
  </si>
  <si>
    <t>中海云筑</t>
    <phoneticPr fontId="224" type="noConversion"/>
  </si>
  <si>
    <t>规模</t>
    <phoneticPr fontId="224" type="noConversion"/>
  </si>
  <si>
    <t>类型</t>
    <phoneticPr fontId="224" type="noConversion"/>
  </si>
  <si>
    <t>中式、合院</t>
    <phoneticPr fontId="224" type="noConversion"/>
  </si>
  <si>
    <t>装修</t>
    <phoneticPr fontId="224" type="noConversion"/>
  </si>
  <si>
    <t>毛坯</t>
  </si>
  <si>
    <t>毛坯</t>
    <phoneticPr fontId="224" type="noConversion"/>
  </si>
  <si>
    <t>板楼</t>
  </si>
  <si>
    <t>板楼</t>
    <phoneticPr fontId="224" type="noConversion"/>
  </si>
  <si>
    <t>板楼</t>
    <phoneticPr fontId="224" type="noConversion"/>
  </si>
  <si>
    <t>带装修</t>
    <phoneticPr fontId="224" type="noConversion"/>
  </si>
  <si>
    <t>一般</t>
    <phoneticPr fontId="21" type="noConversion"/>
  </si>
  <si>
    <t>板楼</t>
    <phoneticPr fontId="21" type="noConversion"/>
  </si>
  <si>
    <t>钢混</t>
  </si>
  <si>
    <t>钢混</t>
    <phoneticPr fontId="21" type="noConversion"/>
  </si>
  <si>
    <t>精装修</t>
  </si>
  <si>
    <t>精装修</t>
    <phoneticPr fontId="21" type="noConversion"/>
  </si>
  <si>
    <t>专业</t>
  </si>
  <si>
    <t>专业</t>
    <phoneticPr fontId="21" type="noConversion"/>
  </si>
  <si>
    <t>七通</t>
    <phoneticPr fontId="21" type="noConversion"/>
  </si>
  <si>
    <t>普通装修</t>
    <phoneticPr fontId="21" type="noConversion"/>
  </si>
  <si>
    <t>简单装修</t>
    <phoneticPr fontId="21" type="noConversion"/>
  </si>
  <si>
    <t>毛坯</t>
    <phoneticPr fontId="21" type="noConversion"/>
  </si>
  <si>
    <t>售价</t>
  </si>
  <si>
    <t>土地（套用方法）</t>
  </si>
  <si>
    <t>押一</t>
  </si>
  <si>
    <t>总车位</t>
    <phoneticPr fontId="3" type="noConversion"/>
  </si>
  <si>
    <t>车位</t>
    <phoneticPr fontId="3" type="noConversion"/>
  </si>
  <si>
    <t>人防</t>
    <phoneticPr fontId="3" type="noConversion"/>
  </si>
  <si>
    <t>机械</t>
    <phoneticPr fontId="3" type="noConversion"/>
  </si>
  <si>
    <t>平层</t>
    <phoneticPr fontId="3" type="noConversion"/>
  </si>
  <si>
    <r>
      <rPr>
        <sz val="10"/>
        <color indexed="8"/>
        <rFont val="宋体"/>
        <family val="3"/>
        <charset val="134"/>
      </rPr>
      <t>设</t>
    </r>
    <r>
      <rPr>
        <sz val="10"/>
        <color indexed="8"/>
        <rFont val="Arial"/>
        <family val="2"/>
      </rPr>
      <t>2</t>
    </r>
    <phoneticPr fontId="3" type="noConversion"/>
  </si>
  <si>
    <t>车位-平层</t>
  </si>
  <si>
    <t>车位-平层</t>
    <phoneticPr fontId="7" type="noConversion"/>
  </si>
  <si>
    <t>车位-机械</t>
  </si>
  <si>
    <t>车位-机械</t>
    <phoneticPr fontId="7" type="noConversion"/>
  </si>
  <si>
    <t>自定义</t>
  </si>
  <si>
    <t>不动产收益法-机械车位</t>
  </si>
  <si>
    <t>不动产收益法-机械车位</t>
    <phoneticPr fontId="14" type="noConversion"/>
  </si>
  <si>
    <t>不动产收益法-商业</t>
  </si>
  <si>
    <t>不动产收益法-商业</t>
    <phoneticPr fontId="14" type="noConversion"/>
  </si>
  <si>
    <t>正常</t>
  </si>
  <si>
    <t>车位</t>
    <phoneticPr fontId="27" type="noConversion"/>
  </si>
  <si>
    <t>一般</t>
    <phoneticPr fontId="27" type="noConversion"/>
  </si>
  <si>
    <t>精装修</t>
    <phoneticPr fontId="27" type="noConversion"/>
  </si>
  <si>
    <t>专业</t>
    <phoneticPr fontId="27" type="noConversion"/>
  </si>
  <si>
    <t>平层</t>
    <phoneticPr fontId="27" type="noConversion"/>
  </si>
  <si>
    <t>否</t>
    <phoneticPr fontId="27" type="noConversion"/>
  </si>
  <si>
    <t>元/车位</t>
  </si>
  <si>
    <t>项目全部</t>
  </si>
  <si>
    <t>土地</t>
  </si>
  <si>
    <t>情况3</t>
  </si>
  <si>
    <t>自行开发建设</t>
  </si>
  <si>
    <t>非个人房产</t>
  </si>
  <si>
    <t>正常操作</t>
  </si>
  <si>
    <t>限价</t>
    <phoneticPr fontId="21" type="noConversion"/>
  </si>
  <si>
    <t>远景规划</t>
    <phoneticPr fontId="26" type="noConversion"/>
  </si>
  <si>
    <t>限价</t>
    <phoneticPr fontId="26" type="noConversion"/>
  </si>
  <si>
    <t>较好</t>
    <phoneticPr fontId="26" type="noConversion"/>
  </si>
  <si>
    <t>一般</t>
    <phoneticPr fontId="26" type="noConversion"/>
  </si>
  <si>
    <r>
      <t>1</t>
    </r>
    <r>
      <rPr>
        <sz val="10"/>
        <color indexed="8"/>
        <rFont val="宋体"/>
        <family val="3"/>
        <charset val="134"/>
      </rPr>
      <t>层</t>
    </r>
    <phoneticPr fontId="3" type="noConversion"/>
  </si>
  <si>
    <r>
      <rPr>
        <sz val="10"/>
        <color indexed="8"/>
        <rFont val="宋体"/>
        <family val="3"/>
        <charset val="134"/>
      </rPr>
      <t>设定</t>
    </r>
    <r>
      <rPr>
        <sz val="10"/>
        <color indexed="8"/>
        <rFont val="Arial"/>
        <family val="2"/>
      </rPr>
      <t>2</t>
    </r>
    <r>
      <rPr>
        <sz val="10"/>
        <color indexed="8"/>
        <rFont val="宋体"/>
        <family val="3"/>
        <charset val="134"/>
      </rPr>
      <t>层</t>
    </r>
    <phoneticPr fontId="3" type="noConversion"/>
  </si>
  <si>
    <t>改善型</t>
    <phoneticPr fontId="21" type="noConversion"/>
  </si>
  <si>
    <t>改善型</t>
    <phoneticPr fontId="21" type="noConversion"/>
  </si>
  <si>
    <t>刚需型</t>
    <phoneticPr fontId="21" type="noConversion"/>
  </si>
  <si>
    <t>刚需型</t>
    <phoneticPr fontId="21"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</si>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</sst>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12"/>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374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4" fontId="0" fillId="0" borderId="0" xfId="0" applyNumberFormat="1">
      <alignment vertical="center"/>
    </xf>
    <xf numFmtId="0" fontId="141" fillId="6" borderId="0" xfId="0" applyFont="1" applyFill="1">
      <alignment vertical="center"/>
    </xf>
    <xf numFmtId="0" fontId="0" fillId="6" borderId="0" xfId="0" applyFill="1">
      <alignment vertical="center"/>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3" fillId="0" borderId="0" xfId="0" applyFont="1">
      <alignment vertical="center"/>
    </xf>
    <xf numFmtId="0" fontId="300" fillId="0" borderId="0" xfId="18"/>
    <xf numFmtId="14" fontId="300" fillId="0" borderId="0" xfId="18" applyNumberFormat="1"/>
    <xf numFmtId="0" fontId="300" fillId="6" borderId="0" xfId="18" applyFill="1"/>
    <xf numFmtId="0" fontId="301" fillId="0" borderId="0" xfId="18" applyFont="1"/>
    <xf numFmtId="14" fontId="268" fillId="0" borderId="0" xfId="18" applyNumberFormat="1" applyFont="1"/>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3" fillId="0" borderId="0" xfId="6" applyFont="1" applyAlignment="1" applyProtection="1">
      <alignment horizontal="left" vertical="center"/>
      <protection locked="0"/>
    </xf>
    <xf numFmtId="9" fontId="276" fillId="0" borderId="0" xfId="6" applyNumberFormat="1" applyFont="1" applyAlignment="1" applyProtection="1">
      <alignment horizontal="left" vertical="center"/>
      <protection locked="0"/>
    </xf>
    <xf numFmtId="0" fontId="143" fillId="6" borderId="0" xfId="0" applyFont="1" applyFill="1">
      <alignment vertical="center"/>
    </xf>
    <xf numFmtId="0" fontId="143" fillId="9" borderId="0" xfId="0" applyFont="1" applyFill="1">
      <alignment vertical="center"/>
    </xf>
    <xf numFmtId="0" fontId="0" fillId="9" borderId="0" xfId="0" applyFill="1">
      <alignment vertical="center"/>
    </xf>
    <xf numFmtId="0" fontId="141" fillId="9" borderId="0" xfId="0" applyFont="1" applyFill="1">
      <alignment vertical="center"/>
    </xf>
    <xf numFmtId="0" fontId="77" fillId="0" borderId="59" xfId="0" applyFont="1" applyBorder="1" applyAlignment="1" applyProtection="1">
      <alignment horizontal="center" vertical="center" wrapText="1"/>
      <protection locked="0"/>
    </xf>
    <xf numFmtId="49" fontId="140" fillId="0" borderId="58" xfId="0" applyNumberFormat="1" applyFont="1" applyBorder="1" applyAlignment="1" applyProtection="1">
      <alignment horizontal="center" vertical="center" wrapText="1"/>
      <protection locked="0"/>
    </xf>
    <xf numFmtId="0" fontId="78" fillId="12" borderId="0" xfId="0" applyFont="1" applyFill="1" applyProtection="1">
      <alignment vertical="center"/>
      <protection locked="0"/>
    </xf>
    <xf numFmtId="0" fontId="129" fillId="8" borderId="63"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140" fillId="0" borderId="9" xfId="0" applyFont="1" applyBorder="1" applyAlignment="1" applyProtection="1">
      <alignment horizontal="center" vertical="center" wrapText="1"/>
      <protection locked="0"/>
    </xf>
    <xf numFmtId="1" fontId="67" fillId="12" borderId="0" xfId="0" applyNumberFormat="1" applyFont="1" applyFill="1" applyProtection="1">
      <alignment vertical="center"/>
      <protection locked="0"/>
    </xf>
    <xf numFmtId="0" fontId="104" fillId="24" borderId="30" xfId="0" applyFont="1" applyFill="1" applyBorder="1" applyAlignment="1" applyProtection="1">
      <alignment vertical="center" wrapText="1"/>
      <protection locked="0"/>
    </xf>
    <xf numFmtId="0" fontId="104" fillId="24" borderId="59" xfId="0" applyFont="1" applyFill="1" applyBorder="1" applyAlignment="1" applyProtection="1">
      <alignment vertical="center" wrapText="1"/>
      <protection locked="0"/>
    </xf>
    <xf numFmtId="0" fontId="80" fillId="24" borderId="2" xfId="0" applyFont="1" applyFill="1" applyBorder="1" applyAlignment="1" applyProtection="1">
      <alignment horizontal="center" vertical="center" wrapText="1"/>
      <protection locked="0"/>
    </xf>
    <xf numFmtId="0" fontId="80" fillId="24" borderId="8" xfId="0" applyFont="1" applyFill="1" applyBorder="1" applyAlignment="1" applyProtection="1">
      <alignment horizontal="center" vertical="center" wrapText="1"/>
      <protection locked="0"/>
    </xf>
    <xf numFmtId="0" fontId="80" fillId="24" borderId="11" xfId="0" applyFont="1" applyFill="1" applyBorder="1" applyAlignment="1" applyProtection="1">
      <alignment horizontal="center" vertical="center" wrapText="1"/>
      <protection locked="0"/>
    </xf>
    <xf numFmtId="0" fontId="67" fillId="24" borderId="30" xfId="0" applyFont="1" applyFill="1" applyBorder="1" applyAlignment="1" applyProtection="1">
      <alignment horizontal="center" vertical="center" wrapText="1"/>
      <protection locked="0"/>
    </xf>
    <xf numFmtId="0" fontId="67" fillId="24" borderId="59" xfId="0" applyFont="1" applyFill="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9" xfId="0" applyFont="1" applyBorder="1" applyAlignment="1" applyProtection="1">
      <alignment horizontal="center" vertical="center" wrapText="1"/>
      <protection locked="0"/>
    </xf>
    <xf numFmtId="0" fontId="77" fillId="0" borderId="11" xfId="0" applyFont="1" applyBorder="1" applyAlignment="1" applyProtection="1">
      <alignment horizontal="center" vertical="center" wrapText="1"/>
      <protection locked="0"/>
    </xf>
    <xf numFmtId="177" fontId="82" fillId="5" borderId="2" xfId="6" applyNumberFormat="1" applyFont="1" applyFill="1" applyBorder="1" applyAlignment="1">
      <alignment horizontal="left" vertical="center"/>
    </xf>
    <xf numFmtId="2" fontId="102" fillId="5" borderId="0" xfId="0" applyNumberFormat="1" applyFont="1" applyFill="1" applyProtection="1">
      <alignment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49" fontId="256" fillId="0" borderId="11" xfId="0" applyNumberFormat="1"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9" fillId="6" borderId="11"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97">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0</xdr:row>
      <xdr:rowOff>0</xdr:rowOff>
    </xdr:from>
    <xdr:to>
      <xdr:col>12</xdr:col>
      <xdr:colOff>237331</xdr:colOff>
      <xdr:row>31</xdr:row>
      <xdr:rowOff>161240</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905125" y="0"/>
          <a:ext cx="6352381" cy="54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9524</xdr:rowOff>
    </xdr:from>
    <xdr:to>
      <xdr:col>8</xdr:col>
      <xdr:colOff>521152</xdr:colOff>
      <xdr:row>45</xdr:row>
      <xdr:rowOff>75287</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2066924"/>
          <a:ext cx="6007552" cy="5723613"/>
        </a:xfrm>
        <a:prstGeom prst="rect">
          <a:avLst/>
        </a:prstGeom>
      </xdr:spPr>
    </xdr:pic>
    <xdr:clientData/>
  </xdr:twoCellAnchor>
  <xdr:twoCellAnchor editAs="oneCell">
    <xdr:from>
      <xdr:col>8</xdr:col>
      <xdr:colOff>628650</xdr:colOff>
      <xdr:row>14</xdr:row>
      <xdr:rowOff>133350</xdr:rowOff>
    </xdr:from>
    <xdr:to>
      <xdr:col>19</xdr:col>
      <xdr:colOff>599136</xdr:colOff>
      <xdr:row>41</xdr:row>
      <xdr:rowOff>104200</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6115050" y="2533650"/>
          <a:ext cx="7514286" cy="4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1936</v>
      </c>
      <c r="B1" s="2192" t="s">
        <v>2033</v>
      </c>
    </row>
    <row r="2" spans="1:55" s="2196" customFormat="1" ht="15" thickTop="1">
      <c r="A2" s="2194" t="s">
        <v>1940</v>
      </c>
      <c r="B2" s="2195" t="str">
        <f>'预评函-封皮'!B37</f>
        <v>北京市北京大兴国际机场临空经济区0105街区DX16-0105-6018地块F1住宅混合公建用地出让国有建设用地出让国有建设用地使用权抵押价格预评估</v>
      </c>
      <c r="AX2" s="2197"/>
      <c r="AZ2" s="2197"/>
      <c r="BA2" s="2198"/>
      <c r="BC2" s="2198"/>
    </row>
    <row r="3" spans="1:55">
      <c r="A3" s="2182" t="s">
        <v>1941</v>
      </c>
      <c r="B3" s="2183" t="str">
        <f>'预评函-封皮'!B40</f>
        <v>华夏</v>
      </c>
    </row>
    <row r="4" spans="1:55" s="2184" customFormat="1">
      <c r="A4" s="2182" t="s">
        <v>1942</v>
      </c>
      <c r="B4" s="2183" t="str">
        <f>'预评函-封皮'!B46</f>
        <v>吴薇、郑燚</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1943</v>
      </c>
      <c r="B5" s="2200" t="str">
        <f>'预评函-封皮'!B49</f>
        <v>康正预评字号</v>
      </c>
    </row>
    <row r="6" spans="1:55" s="2201" customFormat="1" ht="15" thickTop="1">
      <c r="A6" s="2194" t="s">
        <v>1985</v>
      </c>
      <c r="B6" s="2195" t="str">
        <f>'预评函-1'!A4</f>
        <v>受贵公司委托，我公司对北京市北京大兴国际机场临空经济区0105街区DX16-0105-6018地块F1住宅混合公建用地出让国有建设用地出让国有建设用地使用权抵押价格进行了预评估。</v>
      </c>
      <c r="AM6" s="2202"/>
    </row>
    <row r="7" spans="1:55">
      <c r="A7" s="2182" t="s">
        <v>1937</v>
      </c>
      <c r="B7" s="2183" t="str">
        <f>'预评函-1'!A6</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8" spans="1:55">
      <c r="A8" s="2182" t="s">
        <v>1938</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1988</v>
      </c>
      <c r="B9" s="2183" t="str">
        <f>'预评函-1'!A9</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55">
      <c r="A10" s="2182" t="s">
        <v>1939</v>
      </c>
      <c r="B10" s="2183" t="str">
        <f>'预评函-1'!A11</f>
        <v>2024年11月21日（评估专业人员勘察现场之日）</v>
      </c>
    </row>
    <row r="11" spans="1:55">
      <c r="A11" s="2182" t="s">
        <v>1945</v>
      </c>
      <c r="B11" s="2183" t="str">
        <f>'预评函-1'!A14</f>
        <v>根据《国有土地使用证》[]，本次评估估价对象证载（地类）用途为F1。</v>
      </c>
    </row>
    <row r="12" spans="1:55">
      <c r="A12" s="2182" t="s">
        <v>1946</v>
      </c>
      <c r="B12" s="2183" t="str">
        <f>'预评函-1'!A15</f>
        <v>本次评估设定用途即为证载用途。</v>
      </c>
    </row>
    <row r="13" spans="1:55">
      <c r="A13" s="2182" t="s">
        <v>1947</v>
      </c>
      <c r="B13" s="2183" t="str">
        <f>'预评函-1'!A17</f>
        <v>根据委托估价方介绍及评估专业人员现场勘查，本次评估估价对象实际土地开发程度为红线外市政基础设施达“七通”（即通路、通电、通上水、、、、）、宗地红线内场地平整。</v>
      </c>
    </row>
    <row r="14" spans="1:55">
      <c r="A14" s="2182" t="s">
        <v>1948</v>
      </c>
      <c r="B14" s="2183" t="str">
        <f>'预评函-1'!A18</f>
        <v>本次评估设定土地开发程度为红线外市政基础设施达“七通”、宗地红线内场地平整。</v>
      </c>
    </row>
    <row r="15" spans="1:55">
      <c r="A15" s="2182" t="s">
        <v>1944</v>
      </c>
      <c r="B15" s="2183" t="str">
        <f>'预评函-1'!A20</f>
        <v>根据《国有土地使用证》[]，估价对象（分摊）出让国有建设用地使用权面积为19518.45平方米。根据《建设工程规划许可证》[]、《出让合同》[]，估价对象规划建筑面积为57989.51平方米。</v>
      </c>
    </row>
    <row r="16" spans="1:55">
      <c r="A16" s="2182" t="s">
        <v>1949</v>
      </c>
      <c r="B16" s="2183" t="str">
        <f>'预评函-1'!A22</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17" spans="1:48">
      <c r="A17" s="2182" t="s">
        <v>1950</v>
      </c>
      <c r="B17" s="2183" t="str">
        <f>'预评函-1'!A23</f>
        <v>本次评估设定估价对象剩余土地使用年限为。</v>
      </c>
    </row>
    <row r="18" spans="1:48">
      <c r="A18" s="2182" t="s">
        <v>1951</v>
      </c>
      <c r="B18" s="2183" t="str">
        <f>'预评函-1'!A25</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19" spans="1:48">
      <c r="A19" s="2182" t="s">
        <v>1952</v>
      </c>
      <c r="B19" s="2183" t="str">
        <f>'预评函-1'!A26</f>
        <v>本次估价的“抵押价格”是指估价对象在估价期日的“出让国有建设用地使用权价格”扣减估价师于估价期日所知悉的法定优先受偿款后的余额。</v>
      </c>
    </row>
    <row r="20" spans="1:48">
      <c r="A20" s="2182" t="s">
        <v>1953</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1954</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1955</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1956</v>
      </c>
      <c r="B23" s="2183" t="str">
        <f>'预评函-2'!K2</f>
        <v>估价期日：2024年11月21日</v>
      </c>
    </row>
    <row r="24" spans="1:48">
      <c r="A24" s="2182" t="s">
        <v>1957</v>
      </c>
      <c r="B24" s="2183" t="str">
        <f>'预评函-2'!R2</f>
        <v>估价期日的国有建设用地使用权性质：出让</v>
      </c>
    </row>
    <row r="25" spans="1:48">
      <c r="A25" s="2182" t="s">
        <v>2013</v>
      </c>
      <c r="B25" s="2183" t="str">
        <f>'预评函-2'!A3</f>
        <v>估价期日土地使用者</v>
      </c>
    </row>
    <row r="26" spans="1:48">
      <c r="A26" s="2182" t="s">
        <v>1989</v>
      </c>
      <c r="B26" s="2183" t="str">
        <f>'预评函-2'!A5</f>
        <v>中信开发</v>
      </c>
    </row>
    <row r="27" spans="1:48">
      <c r="A27" s="2182" t="s">
        <v>2014</v>
      </c>
      <c r="B27" s="2183" t="str">
        <f>'预评函-2'!B3</f>
        <v>宗地编号/不动产单元号</v>
      </c>
    </row>
    <row r="28" spans="1:48">
      <c r="A28" s="2182" t="s">
        <v>1990</v>
      </c>
      <c r="B28" s="2183" t="str">
        <f>'预评函-2'!B5</f>
        <v>11111111111</v>
      </c>
    </row>
    <row r="29" spans="1:48">
      <c r="A29" s="2182" t="s">
        <v>2016</v>
      </c>
      <c r="B29" s="2183">
        <f>'预评函-2'!C5</f>
        <v>22</v>
      </c>
    </row>
    <row r="30" spans="1:48">
      <c r="A30" s="2182" t="s">
        <v>2017</v>
      </c>
      <c r="B30" s="2183" t="str">
        <f>'预评函-2'!D3</f>
        <v>土地使用证编号/不动产权证书编号</v>
      </c>
    </row>
    <row r="31" spans="1:48">
      <c r="A31" s="2182" t="s">
        <v>1991</v>
      </c>
      <c r="B31" s="2183" t="str">
        <f>'预评函-2'!D5</f>
        <v>京国土字第111号</v>
      </c>
    </row>
    <row r="32" spans="1:48">
      <c r="A32" s="2182" t="s">
        <v>1992</v>
      </c>
      <c r="B32" s="2183" t="str">
        <f>'预评函-2'!E5</f>
        <v>F1</v>
      </c>
      <c r="AV32" s="2185"/>
    </row>
    <row r="33" spans="1:2">
      <c r="A33" s="2182" t="s">
        <v>1993</v>
      </c>
      <c r="B33" s="2183">
        <f>'预评函-2'!F5</f>
        <v>258</v>
      </c>
    </row>
    <row r="34" spans="1:2">
      <c r="A34" s="2182" t="s">
        <v>1994</v>
      </c>
      <c r="B34" s="2183">
        <f>'预评函-2'!G5</f>
        <v>0</v>
      </c>
    </row>
    <row r="35" spans="1:2">
      <c r="A35" s="2182" t="s">
        <v>1995</v>
      </c>
      <c r="B35" s="2183">
        <f>'预评函-2'!H5</f>
        <v>1.5</v>
      </c>
    </row>
    <row r="36" spans="1:2">
      <c r="A36" s="2182" t="s">
        <v>1996</v>
      </c>
      <c r="B36" s="2183">
        <f>'预评函-2'!I5</f>
        <v>1.5</v>
      </c>
    </row>
    <row r="37" spans="1:2">
      <c r="A37" s="2182" t="s">
        <v>1997</v>
      </c>
      <c r="B37" s="2183">
        <f>'预评函-2'!J5</f>
        <v>1.5</v>
      </c>
    </row>
    <row r="38" spans="1:2">
      <c r="A38" s="2182" t="s">
        <v>1998</v>
      </c>
      <c r="B38" s="2183" t="str">
        <f>'预评函-2'!K5</f>
        <v>红线外七通、宗地红线内场地平整</v>
      </c>
    </row>
    <row r="39" spans="1:2">
      <c r="A39" s="2182" t="s">
        <v>1999</v>
      </c>
      <c r="B39" s="2183" t="str">
        <f>'预评函-2'!L5</f>
        <v>红线外七通、宗地红线内场地平整</v>
      </c>
    </row>
    <row r="40" spans="1:2">
      <c r="A40" s="2182" t="s">
        <v>2018</v>
      </c>
      <c r="B40" s="2183" t="str">
        <f>'预评函-2'!M3</f>
        <v>（剩余）土地使用年限/年</v>
      </c>
    </row>
    <row r="41" spans="1:2">
      <c r="A41" s="2182" t="s">
        <v>2000</v>
      </c>
      <c r="B41" s="2183">
        <f>'预评函-2'!M5</f>
        <v>0</v>
      </c>
    </row>
    <row r="42" spans="1:2">
      <c r="A42" s="2182" t="s">
        <v>2019</v>
      </c>
      <c r="B42" s="2183" t="str">
        <f>'预评函-2'!N3</f>
        <v>（分摊）出让国有建设用地使用权面积/㎡</v>
      </c>
    </row>
    <row r="43" spans="1:2">
      <c r="A43" s="2182" t="s">
        <v>2001</v>
      </c>
      <c r="B43" s="2183">
        <f>'预评函-2'!N5</f>
        <v>19518.45</v>
      </c>
    </row>
    <row r="44" spans="1:2">
      <c r="A44" s="2182" t="s">
        <v>2020</v>
      </c>
      <c r="B44" s="2183" t="str">
        <f>'预评函-2'!O3</f>
        <v>规划建筑面积/㎡</v>
      </c>
    </row>
    <row r="45" spans="1:2">
      <c r="A45" s="2182" t="s">
        <v>2002</v>
      </c>
      <c r="B45" s="2183">
        <f>'预评函-2'!O5</f>
        <v>57989.509999999995</v>
      </c>
    </row>
    <row r="46" spans="1:2">
      <c r="A46" s="2182" t="s">
        <v>2003</v>
      </c>
      <c r="B46" s="2183">
        <f ca="1">'预评函-2'!P5</f>
        <v>26621</v>
      </c>
    </row>
    <row r="47" spans="1:2">
      <c r="A47" s="2182" t="s">
        <v>2004</v>
      </c>
      <c r="B47" s="2183">
        <f ca="1">'预评函-2'!Q5</f>
        <v>8960</v>
      </c>
    </row>
    <row r="48" spans="1:2">
      <c r="A48" s="2182" t="s">
        <v>2005</v>
      </c>
      <c r="B48" s="2183">
        <f ca="1">'预评函-2'!R5</f>
        <v>51961</v>
      </c>
    </row>
    <row r="49" spans="1:2">
      <c r="A49" s="2182" t="s">
        <v>2021</v>
      </c>
      <c r="B49" s="2183" t="str">
        <f>'预评函-2'!A6</f>
        <v>抵押价格</v>
      </c>
    </row>
    <row r="50" spans="1:2">
      <c r="A50" s="2182" t="s">
        <v>2006</v>
      </c>
      <c r="B50" s="2183">
        <f ca="1">'预评函-2'!R6</f>
        <v>51620</v>
      </c>
    </row>
    <row r="51" spans="1:2">
      <c r="A51" s="2182" t="s">
        <v>2022</v>
      </c>
      <c r="B51" s="2183" t="str">
        <f>'预评函-2'!A7</f>
        <v>——</v>
      </c>
    </row>
    <row r="52" spans="1:2">
      <c r="A52" s="2182" t="s">
        <v>2007</v>
      </c>
      <c r="B52" s="2183" t="str">
        <f>'预评函-2'!R7</f>
        <v>——</v>
      </c>
    </row>
    <row r="53" spans="1:2">
      <c r="A53" s="2182" t="s">
        <v>2023</v>
      </c>
      <c r="B53" s="2183" t="str">
        <f>'预评函-2'!A8</f>
        <v>抵押净值</v>
      </c>
    </row>
    <row r="54" spans="1:2" s="2193" customFormat="1" ht="15" thickBot="1">
      <c r="A54" s="2199" t="s">
        <v>2008</v>
      </c>
      <c r="B54" s="2200">
        <f ca="1">'预评函-2'!R8</f>
        <v>48872</v>
      </c>
    </row>
    <row r="55" spans="1:2" ht="15" thickTop="1">
      <c r="A55" s="2189" t="s">
        <v>1958</v>
      </c>
      <c r="B55" s="2190" t="str">
        <f>'预评函-3'!A2</f>
        <v>1.权利限制：根据估价对象《不动产权证书》复印件、，截至估价期日，估价对象抵押权未见登记。未设定租赁等其他他项权利。</v>
      </c>
    </row>
    <row r="56" spans="1:2">
      <c r="A56" s="2182" t="s">
        <v>1959</v>
      </c>
      <c r="B56" s="2183" t="str">
        <f>'预评函-3'!A3</f>
        <v>2.基础设施条件：估价对象实际开发程度为红线外七通、宗地红线内场地平整；本次评估设定开发程度为红线外七通、宗地红线内场地平整。</v>
      </c>
    </row>
    <row r="57" spans="1:2">
      <c r="A57" s="2182" t="s">
        <v>1960</v>
      </c>
      <c r="B57" s="2183" t="str">
        <f>'预评函-3'!A4</f>
        <v>3.估价规划限制条件：详见《建设工程规划许可证》[]、《出让合同》[]。</v>
      </c>
    </row>
    <row r="58" spans="1:2" s="2193" customFormat="1" ht="15" thickBot="1">
      <c r="A58" s="2199" t="s">
        <v>2009</v>
      </c>
      <c r="B58" s="2200" t="str">
        <f>'预评函-3'!A5</f>
        <v>4.影响价格的其他限定条件：无。</v>
      </c>
    </row>
    <row r="59" spans="1:2" ht="15" thickTop="1">
      <c r="A59" s="2189" t="s">
        <v>1961</v>
      </c>
      <c r="B59" s="2190" t="str">
        <f>'预评函-3'!A8</f>
        <v>2.本《评估意见函》仅供金融机构进行内部审核使用，不做其他目的之用。</v>
      </c>
    </row>
    <row r="60" spans="1:2">
      <c r="A60" s="2182" t="s">
        <v>1962</v>
      </c>
      <c r="B60" s="2183" t="str">
        <f>'预评函-3'!A9</f>
        <v>3.抵押双方在办理抵押登记手续时，应使用本公司出具的正式《土地估价报告》，特提请报告使用者注意。</v>
      </c>
    </row>
    <row r="61" spans="1:2">
      <c r="A61" s="2182" t="s">
        <v>1964</v>
      </c>
      <c r="B61" s="2183" t="str">
        <f>'预评函-3'!A10</f>
        <v>4.估价师所知悉的法定优先受偿款情况为：</v>
      </c>
    </row>
    <row r="62" spans="1:2">
      <c r="A62" s="2182" t="s">
        <v>1963</v>
      </c>
      <c r="B62" s="2183" t="str">
        <f>'预评函-3'!A11</f>
        <v>（1）根据估价对象《不动产权证书》复印件、，截至估价期日，估价对象抵押权未见登记。</v>
      </c>
    </row>
    <row r="63" spans="1:2">
      <c r="A63" s="2182" t="s">
        <v>1965</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1966</v>
      </c>
      <c r="B64" s="2186" t="str">
        <f>'预评函-3'!A13</f>
        <v>（3）。</v>
      </c>
    </row>
    <row r="65" spans="1:2">
      <c r="A65" s="2182" t="s">
        <v>1967</v>
      </c>
      <c r="B65" s="2183" t="str">
        <f>'预评函-3'!A14</f>
        <v>综上，本次评估估价师知悉的法定优先受偿款为人民币341万元整。</v>
      </c>
    </row>
    <row r="66" spans="1:2">
      <c r="A66" s="2182" t="s">
        <v>1968</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1969</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1972</v>
      </c>
      <c r="B68" s="2203">
        <f>'预评函-3'!D30</f>
        <v>42558</v>
      </c>
    </row>
    <row r="69" spans="1:2" ht="15" thickTop="1">
      <c r="A69" s="2189" t="s">
        <v>1970</v>
      </c>
      <c r="B69" s="2190" t="str">
        <f>'预评函-3'!A20</f>
        <v>吴薇</v>
      </c>
    </row>
    <row r="70" spans="1:2">
      <c r="A70" s="2182" t="s">
        <v>1970</v>
      </c>
      <c r="B70" s="2183">
        <f ca="1">'预评函-3'!B20</f>
        <v>2002110125</v>
      </c>
    </row>
    <row r="71" spans="1:2">
      <c r="A71" s="2182" t="s">
        <v>1971</v>
      </c>
      <c r="B71" s="2183" t="str">
        <f>'预评函-3'!A21</f>
        <v>郑燚</v>
      </c>
    </row>
    <row r="72" spans="1:2" s="2193" customFormat="1" ht="15" thickBot="1">
      <c r="A72" s="2199" t="s">
        <v>1971</v>
      </c>
      <c r="B72" s="2200">
        <f ca="1">'预评函-3'!B21</f>
        <v>2014110011</v>
      </c>
    </row>
    <row r="73" spans="1:2" ht="15" thickTop="1">
      <c r="A73" s="2189" t="s">
        <v>2030</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2031</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2032</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2062</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2667</v>
      </c>
      <c r="B1" s="3030"/>
      <c r="C1" s="3030"/>
      <c r="D1" s="3030"/>
      <c r="E1" s="3030"/>
      <c r="F1" s="3031"/>
    </row>
    <row r="2" spans="1:6">
      <c r="A2" s="3032"/>
      <c r="B2" s="3033"/>
      <c r="C2" s="3033"/>
      <c r="D2" s="3033"/>
      <c r="E2" s="3033"/>
      <c r="F2" s="3034"/>
    </row>
    <row r="3" spans="1:6">
      <c r="A3" s="2986" t="s">
        <v>2668</v>
      </c>
      <c r="B3" s="3035">
        <f>项目基本情况!D3</f>
        <v>45617</v>
      </c>
      <c r="C3" s="3036"/>
      <c r="D3" s="3036"/>
      <c r="E3" s="3036"/>
      <c r="F3" s="3034"/>
    </row>
    <row r="4" spans="1:6">
      <c r="A4" s="2986" t="s">
        <v>2669</v>
      </c>
      <c r="B4" s="3037" t="s">
        <v>2670</v>
      </c>
      <c r="C4" s="3037" t="s">
        <v>2671</v>
      </c>
      <c r="D4" s="3037" t="s">
        <v>2672</v>
      </c>
      <c r="E4" s="3037" t="s">
        <v>2673</v>
      </c>
      <c r="F4" s="3034"/>
    </row>
    <row r="5" spans="1:6">
      <c r="A5" s="3038"/>
      <c r="B5" s="3035"/>
      <c r="C5" s="3037">
        <f>ROUNDDOWN(MIN((B5-B3)/365,A5),2)</f>
        <v>-124.97</v>
      </c>
      <c r="D5" s="3039">
        <f>IF(ISERROR(ROUND(POWER(1+E5,A5-C5)*(POWER(1+E5,C5)-1)/(POWER(1+E5,A5)-1),3)),0,ROUND(POWER(1+E5,A5-C5)*(POWER(1+E5,C5)-1)/(POWER(1+E5,A5)-1),4))</f>
        <v>0</v>
      </c>
      <c r="E5" s="3040"/>
      <c r="F5" s="3034"/>
    </row>
    <row r="6" spans="1:6">
      <c r="A6" s="3038"/>
      <c r="B6" s="3035"/>
      <c r="C6" s="3037">
        <f>ROUNDDOWN(MIN((B6-B3)/365,A6),2)</f>
        <v>-124.97</v>
      </c>
      <c r="D6" s="3039">
        <f>IF(ISERROR(ROUND(POWER(1+E6,A6-C6)*(POWER(1+E6,C6)-1)/(POWER(1+E6,A6)-1),3)),0,ROUND(POWER(1+E6,A6-C6)*(POWER(1+E6,C6)-1)/(POWER(1+E6,A6)-1),4))</f>
        <v>0</v>
      </c>
      <c r="E6" s="3040"/>
      <c r="F6" s="3034"/>
    </row>
    <row r="7" spans="1:6">
      <c r="A7" s="3038"/>
      <c r="B7" s="3035"/>
      <c r="C7" s="3037">
        <f>ROUNDDOWN(MIN((B7-B3)/365,A7),2)</f>
        <v>-124.97</v>
      </c>
      <c r="D7" s="3039">
        <f>IF(ISERROR(ROUND(POWER(1+E7,A7-C7)*(POWER(1+E7,C7)-1)/(POWER(1+E7,A7)-1),3)),0,ROUND(POWER(1+E7,A7-C7)*(POWER(1+E7,C7)-1)/(POWER(1+E7,A7)-1),4))</f>
        <v>0</v>
      </c>
      <c r="E7" s="3040"/>
      <c r="F7" s="3034"/>
    </row>
    <row r="8" spans="1:6">
      <c r="A8" s="3032"/>
      <c r="B8" s="3033"/>
      <c r="C8" s="3033"/>
      <c r="D8" s="3033"/>
      <c r="E8" s="3033"/>
      <c r="F8" s="3034"/>
    </row>
    <row r="9" spans="1:6">
      <c r="A9" s="2986" t="s">
        <v>2674</v>
      </c>
      <c r="B9" s="3037"/>
      <c r="C9" s="3037"/>
      <c r="D9" s="3037"/>
      <c r="E9" s="3037"/>
      <c r="F9" s="3041"/>
    </row>
    <row r="10" spans="1:6">
      <c r="A10" s="2986" t="s">
        <v>2675</v>
      </c>
      <c r="B10" s="3037"/>
      <c r="C10" s="3037"/>
      <c r="D10" s="3037" t="s">
        <v>2673</v>
      </c>
      <c r="E10" s="3037"/>
      <c r="F10" s="3041" t="s">
        <v>2672</v>
      </c>
    </row>
    <row r="11" spans="1:6">
      <c r="A11" s="2986" t="s">
        <v>2676</v>
      </c>
      <c r="B11" s="3042"/>
      <c r="C11" s="3037" t="s">
        <v>2677</v>
      </c>
      <c r="D11" s="3042"/>
      <c r="E11" s="3037" t="s">
        <v>2678</v>
      </c>
      <c r="F11" s="3043">
        <f>ROUND(1-(1/(POWER(1+D11,B11))),4)</f>
        <v>0</v>
      </c>
    </row>
    <row r="12" spans="1:6">
      <c r="A12" s="2986" t="s">
        <v>2679</v>
      </c>
      <c r="B12" s="3042"/>
      <c r="C12" s="3037" t="s">
        <v>2680</v>
      </c>
      <c r="D12" s="3042"/>
      <c r="E12" s="3037" t="s">
        <v>2681</v>
      </c>
      <c r="F12" s="3043">
        <f>ROUND(1-(1/(POWER(1+D12,B12))),4)</f>
        <v>0</v>
      </c>
    </row>
    <row r="13" spans="1:6">
      <c r="A13" s="2986" t="s">
        <v>2682</v>
      </c>
      <c r="B13" s="3037"/>
      <c r="C13" s="3036"/>
      <c r="D13" s="3033"/>
      <c r="E13" s="3033"/>
      <c r="F13" s="3034"/>
    </row>
    <row r="14" spans="1:6">
      <c r="A14" s="2986" t="s">
        <v>2683</v>
      </c>
      <c r="B14" s="3042"/>
      <c r="C14" s="3036"/>
      <c r="D14" s="3033"/>
      <c r="E14" s="3033"/>
      <c r="F14" s="3034"/>
    </row>
    <row r="15" spans="1:6">
      <c r="A15" s="2986" t="s">
        <v>2684</v>
      </c>
      <c r="B15" s="3037" t="e">
        <f>ROUND(B14*F12/F11,2)</f>
        <v>#DIV/0!</v>
      </c>
      <c r="C15" s="3037" t="e">
        <f>ROUND(F12/F11,4)</f>
        <v>#DIV/0!</v>
      </c>
      <c r="D15" s="3033"/>
      <c r="E15" s="3033"/>
      <c r="F15" s="3034"/>
    </row>
    <row r="16" spans="1:6">
      <c r="A16" s="2986" t="s">
        <v>2685</v>
      </c>
      <c r="B16" s="3037"/>
      <c r="C16" s="3036"/>
      <c r="D16" s="3033"/>
      <c r="E16" s="3033"/>
      <c r="F16" s="3034"/>
    </row>
    <row r="17" spans="1:7">
      <c r="A17" s="2986" t="s">
        <v>2684</v>
      </c>
      <c r="B17" s="3042"/>
      <c r="C17" s="3036"/>
      <c r="D17" s="3033"/>
      <c r="E17" s="3033"/>
      <c r="F17" s="3034"/>
    </row>
    <row r="18" spans="1:7" ht="14.25" thickBot="1">
      <c r="A18" s="3044" t="s">
        <v>2683</v>
      </c>
      <c r="B18" s="3045" t="e">
        <f>ROUND(B17*F11/F12,2)</f>
        <v>#DIV/0!</v>
      </c>
      <c r="C18" s="3045" t="e">
        <f>ROUND(F11/F12,4)</f>
        <v>#DIV/0!</v>
      </c>
      <c r="D18" s="3046"/>
      <c r="E18" s="3046"/>
      <c r="F18" s="3047"/>
    </row>
    <row r="19" spans="1:7" ht="14.25" thickBot="1"/>
    <row r="20" spans="1:7">
      <c r="A20" s="3048" t="s">
        <v>2686</v>
      </c>
      <c r="B20" s="3049"/>
      <c r="C20" s="3049"/>
      <c r="D20" s="3049"/>
      <c r="E20" s="3049"/>
      <c r="F20" s="3049"/>
      <c r="G20" s="3050"/>
    </row>
    <row r="21" spans="1:7">
      <c r="A21" s="3051"/>
      <c r="B21" s="3052" t="s">
        <v>2687</v>
      </c>
      <c r="C21" s="3052" t="s">
        <v>2688</v>
      </c>
      <c r="D21" s="3052" t="s">
        <v>2689</v>
      </c>
      <c r="E21" s="3052" t="s">
        <v>2690</v>
      </c>
      <c r="F21" s="3052" t="s">
        <v>2691</v>
      </c>
      <c r="G21" s="3053" t="s">
        <v>2692</v>
      </c>
    </row>
    <row r="22" spans="1:7">
      <c r="A22" s="3051" t="s">
        <v>2693</v>
      </c>
      <c r="B22" s="3054">
        <v>50</v>
      </c>
      <c r="C22" s="3054">
        <v>32</v>
      </c>
      <c r="D22" s="3055">
        <v>0.05</v>
      </c>
      <c r="E22" s="3052">
        <f>ROUND(POWER(1+D22,B22-C22)*(POWER(1+D22,C22)-1)/(POWER(1+D22,B22)-1),3)</f>
        <v>0.86599999999999999</v>
      </c>
      <c r="F22" s="3055">
        <v>0.6</v>
      </c>
      <c r="G22" s="3053">
        <f>ROUND(100*(1-(1-E22)*F22),1)</f>
        <v>92</v>
      </c>
    </row>
    <row r="23" spans="1:7">
      <c r="A23" s="3056" t="s">
        <v>2694</v>
      </c>
      <c r="B23" s="3054">
        <v>50</v>
      </c>
      <c r="C23" s="3054">
        <v>35</v>
      </c>
      <c r="D23" s="3055">
        <v>0.05</v>
      </c>
      <c r="E23" s="3052">
        <f>ROUND(POWER(1+D23,B23-C23)*(POWER(1+D23,C23)-1)/(POWER(1+D23,B23)-1),3)</f>
        <v>0.89700000000000002</v>
      </c>
      <c r="F23" s="3055">
        <f>F22</f>
        <v>0.6</v>
      </c>
      <c r="G23" s="3053">
        <f>ROUND(100*(1-(1-E23)*F23),1)</f>
        <v>93.8</v>
      </c>
    </row>
    <row r="24" spans="1:7">
      <c r="A24" s="3056" t="s">
        <v>2695</v>
      </c>
      <c r="B24" s="3054">
        <v>50</v>
      </c>
      <c r="C24" s="3054">
        <v>25</v>
      </c>
      <c r="D24" s="3055">
        <v>0.05</v>
      </c>
      <c r="E24" s="3052">
        <f>ROUND(POWER(1+D24,B24-C24)*(POWER(1+D24,C24)-1)/(POWER(1+D24,B24)-1),3)</f>
        <v>0.77200000000000002</v>
      </c>
      <c r="F24" s="3055">
        <f>F23</f>
        <v>0.6</v>
      </c>
      <c r="G24" s="3053">
        <f>ROUND(100*(1-(1-E24)*F24),1)</f>
        <v>86.3</v>
      </c>
    </row>
    <row r="25" spans="1:7">
      <c r="A25" s="3056" t="s">
        <v>2696</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2697</v>
      </c>
      <c r="B27" s="3061"/>
      <c r="C27" s="3061"/>
      <c r="D27" s="3061"/>
      <c r="E27" s="3061"/>
      <c r="F27" s="3061"/>
      <c r="G27" s="3062"/>
    </row>
    <row r="28" spans="1:7">
      <c r="A28" s="3060" t="s">
        <v>2698</v>
      </c>
      <c r="B28" s="3061"/>
      <c r="C28" s="3061"/>
      <c r="D28" s="3061"/>
      <c r="E28" s="3061"/>
      <c r="F28" s="3061"/>
      <c r="G28" s="3062"/>
    </row>
    <row r="29" spans="1:7">
      <c r="A29" s="3060" t="s">
        <v>2699</v>
      </c>
      <c r="B29" s="3061"/>
      <c r="C29" s="3061"/>
      <c r="D29" s="3061"/>
      <c r="E29" s="3061"/>
      <c r="F29" s="3061"/>
      <c r="G29" s="3062"/>
    </row>
    <row r="30" spans="1:7">
      <c r="A30" s="3060" t="s">
        <v>2700</v>
      </c>
      <c r="B30" s="3061"/>
      <c r="C30" s="3061"/>
      <c r="D30" s="3061"/>
      <c r="E30" s="3061"/>
      <c r="F30" s="3061"/>
      <c r="G30" s="3062"/>
    </row>
    <row r="31" spans="1:7">
      <c r="A31" s="3060" t="s">
        <v>2701</v>
      </c>
      <c r="B31" s="3061"/>
      <c r="C31" s="3061"/>
      <c r="D31" s="3061"/>
      <c r="E31" s="3061"/>
      <c r="F31" s="3061"/>
      <c r="G31" s="3062"/>
    </row>
    <row r="32" spans="1:7">
      <c r="A32" s="3060" t="s">
        <v>2702</v>
      </c>
      <c r="B32" s="3061"/>
      <c r="C32" s="3061"/>
      <c r="D32" s="3061"/>
      <c r="E32" s="3061"/>
      <c r="F32" s="3061"/>
      <c r="G32" s="3062"/>
    </row>
    <row r="33" spans="1:7">
      <c r="A33" s="3060" t="s">
        <v>2703</v>
      </c>
      <c r="B33" s="3061"/>
      <c r="C33" s="3061"/>
      <c r="D33" s="3061"/>
      <c r="E33" s="3061"/>
      <c r="F33" s="3061"/>
      <c r="G33" s="3062"/>
    </row>
    <row r="34" spans="1:7">
      <c r="A34" s="3060" t="s">
        <v>2704</v>
      </c>
      <c r="B34" s="3061"/>
      <c r="C34" s="3061"/>
      <c r="D34" s="3061"/>
      <c r="E34" s="3061"/>
      <c r="F34" s="3061"/>
      <c r="G34" s="3062"/>
    </row>
    <row r="35" spans="1:7">
      <c r="A35" s="3060" t="s">
        <v>2705</v>
      </c>
      <c r="B35" s="3061"/>
      <c r="C35" s="3061"/>
      <c r="D35" s="3061"/>
      <c r="E35" s="3061"/>
      <c r="F35" s="3061"/>
      <c r="G35" s="3062"/>
    </row>
    <row r="36" spans="1:7">
      <c r="A36" s="3060" t="s">
        <v>2706</v>
      </c>
      <c r="B36" s="3061"/>
      <c r="C36" s="3061"/>
      <c r="D36" s="3061"/>
      <c r="E36" s="3061"/>
      <c r="F36" s="3061"/>
      <c r="G36" s="3062"/>
    </row>
    <row r="37" spans="1:7">
      <c r="A37" s="3060" t="s">
        <v>2707</v>
      </c>
      <c r="B37" s="3061"/>
      <c r="C37" s="3061"/>
      <c r="D37" s="3061"/>
      <c r="E37" s="3061"/>
      <c r="F37" s="3061"/>
      <c r="G37" s="3062"/>
    </row>
    <row r="38" spans="1:7">
      <c r="A38" s="3060" t="s">
        <v>2708</v>
      </c>
      <c r="B38" s="3061"/>
      <c r="C38" s="3061"/>
      <c r="D38" s="3061"/>
      <c r="E38" s="3061"/>
      <c r="F38" s="3061"/>
      <c r="G38" s="3062"/>
    </row>
    <row r="39" spans="1:7">
      <c r="A39" s="3060"/>
      <c r="B39" s="3061"/>
      <c r="C39" s="3061"/>
      <c r="D39" s="3061"/>
      <c r="E39" s="3061"/>
      <c r="F39" s="3061"/>
      <c r="G39" s="3062"/>
    </row>
    <row r="40" spans="1:7">
      <c r="A40" s="3063" t="s">
        <v>2709</v>
      </c>
      <c r="B40" s="3064"/>
      <c r="C40" s="3064"/>
      <c r="D40" s="3064"/>
      <c r="E40" s="3064"/>
      <c r="F40" s="3064"/>
      <c r="G40" s="3065"/>
    </row>
    <row r="41" spans="1:7">
      <c r="A41" s="3066" t="s">
        <v>2710</v>
      </c>
      <c r="B41" s="3067" t="s">
        <v>2711</v>
      </c>
      <c r="C41" s="3068" t="s">
        <v>2712</v>
      </c>
      <c r="D41" s="3068" t="s">
        <v>2713</v>
      </c>
      <c r="E41" s="3069"/>
      <c r="F41" s="3070"/>
      <c r="G41" s="3071"/>
    </row>
    <row r="42" spans="1:7">
      <c r="A42" s="3066" t="s">
        <v>2714</v>
      </c>
      <c r="B42" s="3067" t="s">
        <v>2715</v>
      </c>
      <c r="C42" s="3068" t="s">
        <v>2715</v>
      </c>
      <c r="D42" s="3072" t="s">
        <v>2716</v>
      </c>
      <c r="E42" s="3064" t="s">
        <v>2717</v>
      </c>
      <c r="F42" s="3064"/>
      <c r="G42" s="3065"/>
    </row>
    <row r="43" spans="1:7">
      <c r="A43" s="3066" t="s">
        <v>2718</v>
      </c>
      <c r="B43" s="3067" t="s">
        <v>2719</v>
      </c>
      <c r="C43" s="3068" t="s">
        <v>2720</v>
      </c>
      <c r="D43" s="3068" t="s">
        <v>2721</v>
      </c>
      <c r="E43" s="3069" t="s">
        <v>2722</v>
      </c>
      <c r="F43" s="3070"/>
      <c r="G43" s="3071"/>
    </row>
    <row r="44" spans="1:7">
      <c r="A44" s="3066" t="s">
        <v>2723</v>
      </c>
      <c r="B44" s="3067" t="s">
        <v>2724</v>
      </c>
      <c r="C44" s="3068" t="s">
        <v>2725</v>
      </c>
      <c r="D44" s="3072">
        <v>0.5</v>
      </c>
      <c r="E44" s="3069" t="s">
        <v>2726</v>
      </c>
      <c r="F44" s="3070"/>
      <c r="G44" s="3071"/>
    </row>
    <row r="45" spans="1:7" ht="14.25" thickBot="1">
      <c r="A45" s="3073" t="s">
        <v>2727</v>
      </c>
      <c r="B45" s="3074" t="s">
        <v>2715</v>
      </c>
      <c r="C45" s="3075" t="s">
        <v>2715</v>
      </c>
      <c r="D45" s="3075" t="s">
        <v>2728</v>
      </c>
      <c r="E45" s="3076" t="s">
        <v>2729</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E4" sqref="E4"/>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73" t="str">
        <f>IF(B10="北京市","北京市",C10)&amp;F10&amp;A17&amp;"国有建设用地使用权"&amp;B9&amp;"预评估"</f>
        <v>北京市北京大兴国际机场临空经济区0105街区DX16-0105-6018地块F1住宅混合公建用地出让国有建设用地出让国有建设用地使用权抵押价格预评估</v>
      </c>
      <c r="C1" s="3474"/>
      <c r="D1" s="3474"/>
      <c r="E1" s="3474"/>
      <c r="F1" s="3474"/>
      <c r="G1" s="3474"/>
      <c r="H1" s="3474"/>
      <c r="I1" s="3475"/>
      <c r="J1" s="2602"/>
      <c r="K1" s="1971" t="str">
        <f>IF(B10="北京市","北京市",C10)&amp;F10&amp;A17&amp;"国有建设用地使用权"&amp;B9</f>
        <v>北京市北京大兴国际机场临空经济区0105街区DX16-0105-6018地块F1住宅混合公建用地出让国有建设用地出让国有建设用地使用权抵押价格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北京市北京大兴国际机场临空经济区0105街区DX16-0105-6018地块F1住宅混合公建用地出让国有建设用地出让国有建设用地使用权</v>
      </c>
      <c r="L2" s="2582"/>
      <c r="M2" s="2582"/>
      <c r="N2" s="2583"/>
      <c r="O2" s="2584"/>
      <c r="P2" s="2583"/>
      <c r="Q2" s="2583"/>
      <c r="R2" s="2583"/>
      <c r="S2" s="2583"/>
      <c r="T2" s="2583"/>
      <c r="U2" s="2583"/>
    </row>
    <row r="3" spans="1:21">
      <c r="A3" s="1378" t="s">
        <v>1459</v>
      </c>
      <c r="B3" s="1379">
        <v>45617</v>
      </c>
      <c r="C3" s="2531" t="s">
        <v>1511</v>
      </c>
      <c r="D3" s="1379">
        <f>B3</f>
        <v>45617</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3265</v>
      </c>
      <c r="C4" s="1534">
        <f ca="1">SUMIF(土地估价师,B4,估价师及机构信息!E3:E17)</f>
        <v>2002110125</v>
      </c>
      <c r="D4" s="1531" t="s">
        <v>3266</v>
      </c>
      <c r="E4" s="1534">
        <f ca="1">SUMIF(土地估价师,D4,估价师及机构信息!E3:E17)</f>
        <v>2014110011</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吴薇、郑燚</v>
      </c>
      <c r="L4" s="2582"/>
      <c r="M4" s="2582"/>
      <c r="N4" s="2583"/>
      <c r="O4" s="2584"/>
      <c r="P4" s="2583"/>
      <c r="Q4" s="2583"/>
      <c r="R4" s="2583"/>
      <c r="S4" s="2583"/>
      <c r="T4" s="2583"/>
      <c r="U4" s="2583"/>
    </row>
    <row r="5" spans="1:21" ht="15" thickTop="1">
      <c r="A5" s="1382" t="s">
        <v>1461</v>
      </c>
      <c r="B5" s="1484" t="s">
        <v>3267</v>
      </c>
      <c r="C5" s="1383"/>
      <c r="D5" s="1384"/>
      <c r="E5" s="2602"/>
      <c r="F5" s="2602"/>
      <c r="G5" s="2602"/>
      <c r="H5" s="2602"/>
      <c r="I5" s="2603"/>
      <c r="J5" s="2602"/>
      <c r="K5" s="2586"/>
      <c r="L5" s="2582"/>
      <c r="M5" s="2582"/>
      <c r="N5" s="2583"/>
      <c r="O5" s="2584"/>
      <c r="P5" s="2583"/>
      <c r="Q5" s="2583"/>
      <c r="R5" s="2583"/>
      <c r="S5" s="2583"/>
      <c r="T5" s="2583"/>
      <c r="U5" s="2583"/>
    </row>
    <row r="6" spans="1:21" ht="26.25">
      <c r="A6" s="1380" t="s">
        <v>1986</v>
      </c>
      <c r="B6" s="1484" t="s">
        <v>3267</v>
      </c>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1987</v>
      </c>
      <c r="B7" s="1484" t="s">
        <v>3268</v>
      </c>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3269</v>
      </c>
      <c r="C8" s="1388"/>
      <c r="D8" s="3479" t="s">
        <v>1464</v>
      </c>
      <c r="E8" s="1532" t="s">
        <v>3270</v>
      </c>
      <c r="F8" s="1389"/>
      <c r="G8" s="2602"/>
      <c r="H8" s="2602"/>
      <c r="I8" s="2603"/>
      <c r="J8" s="2602"/>
      <c r="K8" s="2586"/>
      <c r="L8" s="2582"/>
      <c r="M8" s="2582"/>
      <c r="N8" s="2583"/>
      <c r="O8" s="2584"/>
      <c r="P8" s="2583"/>
      <c r="Q8" s="2583"/>
      <c r="R8" s="2583"/>
      <c r="S8" s="2583"/>
      <c r="T8" s="2583"/>
      <c r="U8" s="2583"/>
    </row>
    <row r="9" spans="1:21" ht="15" thickBot="1">
      <c r="A9" s="2533" t="s">
        <v>1463</v>
      </c>
      <c r="B9" s="1390" t="s">
        <v>3270</v>
      </c>
      <c r="C9" s="1391"/>
      <c r="D9" s="3480"/>
      <c r="E9" s="1390" t="s">
        <v>2126</v>
      </c>
      <c r="F9" s="1447"/>
      <c r="G9" s="2605"/>
      <c r="H9" s="2605"/>
      <c r="I9" s="2606"/>
      <c r="J9" s="2602"/>
      <c r="K9" s="2586"/>
      <c r="L9" s="2582"/>
      <c r="M9" s="2582"/>
      <c r="N9" s="2583"/>
      <c r="O9" s="2584"/>
      <c r="P9" s="2583"/>
      <c r="Q9" s="2583"/>
      <c r="R9" s="2583"/>
      <c r="S9" s="2583"/>
      <c r="T9" s="2583"/>
      <c r="U9" s="2583"/>
    </row>
    <row r="10" spans="1:21" ht="15" thickTop="1">
      <c r="A10" s="2534" t="s">
        <v>1515</v>
      </c>
      <c r="B10" s="1425" t="s">
        <v>1465</v>
      </c>
      <c r="C10" s="1392"/>
      <c r="D10" s="1384"/>
      <c r="E10" s="1393" t="s">
        <v>1466</v>
      </c>
      <c r="F10" s="1394" t="s">
        <v>3271</v>
      </c>
      <c r="G10" s="1445"/>
      <c r="H10" s="1446"/>
      <c r="I10" s="1384"/>
      <c r="J10" s="2602"/>
      <c r="K10" s="2586"/>
      <c r="L10" s="2582"/>
      <c r="M10" s="2582"/>
      <c r="N10" s="2583"/>
      <c r="O10" s="2584"/>
      <c r="P10" s="2583"/>
      <c r="Q10" s="2583"/>
      <c r="R10" s="2583"/>
      <c r="S10" s="2583"/>
      <c r="T10" s="2583"/>
      <c r="U10" s="2583"/>
    </row>
    <row r="11" spans="1:21" ht="42.75">
      <c r="A11" s="2535" t="s">
        <v>1516</v>
      </c>
      <c r="B11" s="1406" t="s">
        <v>3272</v>
      </c>
      <c r="C11" s="1395" t="str">
        <f>B7</f>
        <v>北京新航城建设实业发展有限公司</v>
      </c>
      <c r="D11" s="1462"/>
      <c r="E11" s="2583"/>
      <c r="F11" s="2583"/>
      <c r="G11" s="2583"/>
      <c r="H11" s="2583"/>
      <c r="I11" s="2583"/>
      <c r="J11" s="2602"/>
      <c r="K11" s="2586"/>
      <c r="L11" s="2582"/>
      <c r="M11" s="2582"/>
      <c r="N11" s="2583"/>
      <c r="O11" s="2584"/>
      <c r="P11" s="2583"/>
      <c r="Q11" s="2583"/>
      <c r="R11" s="2583"/>
      <c r="S11" s="2583"/>
      <c r="T11" s="2583"/>
      <c r="U11" s="2583"/>
    </row>
    <row r="12" spans="1:21">
      <c r="A12" s="1480" t="s">
        <v>1574</v>
      </c>
      <c r="B12" s="3476" t="s">
        <v>3273</v>
      </c>
      <c r="C12" s="3477"/>
      <c r="D12" s="3478"/>
      <c r="E12" s="1407" t="s">
        <v>1577</v>
      </c>
      <c r="F12" s="3494" t="s">
        <v>2160</v>
      </c>
      <c r="G12" s="3495"/>
      <c r="H12" s="3495"/>
      <c r="I12" s="3496"/>
      <c r="J12" s="2602"/>
      <c r="K12" s="2586"/>
      <c r="L12" s="2582"/>
      <c r="M12" s="2582"/>
      <c r="N12" s="2583"/>
      <c r="O12" s="2584"/>
      <c r="P12" s="2583"/>
      <c r="Q12" s="2583"/>
      <c r="R12" s="2583"/>
      <c r="S12" s="2583"/>
      <c r="T12" s="2583"/>
      <c r="U12" s="2583"/>
    </row>
    <row r="13" spans="1:21">
      <c r="A13" s="1399" t="s">
        <v>1575</v>
      </c>
      <c r="B13" s="3476"/>
      <c r="C13" s="3477"/>
      <c r="D13" s="3478"/>
      <c r="E13" s="1407" t="s">
        <v>1577</v>
      </c>
      <c r="F13" s="3494" t="s">
        <v>2161</v>
      </c>
      <c r="G13" s="3495"/>
      <c r="H13" s="3495"/>
      <c r="I13" s="3496"/>
      <c r="J13" s="2602"/>
      <c r="K13" s="2586"/>
      <c r="L13" s="2582"/>
      <c r="M13" s="2582"/>
      <c r="N13" s="2583"/>
      <c r="O13" s="2584"/>
      <c r="P13" s="2583"/>
      <c r="Q13" s="2583"/>
      <c r="R13" s="2583"/>
      <c r="S13" s="2583"/>
      <c r="T13" s="2583"/>
      <c r="U13" s="2583"/>
    </row>
    <row r="14" spans="1:21">
      <c r="A14" s="1378" t="s">
        <v>1578</v>
      </c>
      <c r="B14" s="1407"/>
      <c r="C14" s="1533" t="s">
        <v>3274</v>
      </c>
      <c r="D14" s="1438" t="str">
        <f>IF(C14="不一致","是否符合证载地类范围","")</f>
        <v/>
      </c>
      <c r="E14" s="1407"/>
      <c r="F14" s="1485" t="s">
        <v>3275</v>
      </c>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2731</v>
      </c>
      <c r="J15" s="2602"/>
      <c r="K15" s="2586"/>
      <c r="L15" s="2582"/>
      <c r="M15" s="2582"/>
      <c r="N15" s="2583"/>
      <c r="O15" s="2584"/>
      <c r="P15" s="2583"/>
      <c r="Q15" s="2583"/>
      <c r="R15" s="2583"/>
      <c r="S15" s="2583"/>
      <c r="T15" s="2583"/>
      <c r="U15" s="2583"/>
    </row>
    <row r="16" spans="1:21" ht="42.75">
      <c r="A16" s="2536" t="s">
        <v>1467</v>
      </c>
      <c r="B16" s="1407" t="s">
        <v>1468</v>
      </c>
      <c r="C16" s="1466" t="s">
        <v>1469</v>
      </c>
      <c r="D16" s="1428" t="s">
        <v>2732</v>
      </c>
      <c r="E16" s="1428" t="s">
        <v>1212</v>
      </c>
      <c r="F16" s="1428" t="s">
        <v>2733</v>
      </c>
      <c r="G16" s="1428" t="s">
        <v>2734</v>
      </c>
      <c r="H16" s="1398" t="s">
        <v>776</v>
      </c>
      <c r="I16" s="1398" t="s">
        <v>2731</v>
      </c>
      <c r="J16" s="2602"/>
      <c r="K16" s="1398" t="str">
        <f>IF(D17="","",D16&amp;TEXT(D17,"yyyy年m月d日;;"))</f>
        <v>商业2063年12月10日</v>
      </c>
      <c r="L16" s="1407" t="str">
        <f>IF(OR(K16="",M16=""),"","、")</f>
        <v>、</v>
      </c>
      <c r="M16" s="1398" t="str">
        <f>IF(E17="","",E16&amp;TEXT(E17,"yyyy年m月d日;;"))</f>
        <v>办公2073年12月10日</v>
      </c>
      <c r="N16" s="1407" t="str">
        <f>IF(OR(M16="",O16=""),"","、")</f>
        <v>、</v>
      </c>
      <c r="O16" s="1398" t="str">
        <f>IF(F17="","",F16&amp;TEXT(F17,"yyyy年m月d日;;"))</f>
        <v>车库2073年12月10日</v>
      </c>
      <c r="P16" s="1407" t="str">
        <f>IF(OR(O16="",Q16=""),"","、")</f>
        <v>、</v>
      </c>
      <c r="Q16" s="1398" t="str">
        <f>IF(G17="","",G16&amp;TEXT(G17,"yyyy年m月d日;;"))</f>
        <v>仓储2073年12月10日</v>
      </c>
      <c r="R16" s="1407" t="str">
        <f>IF(OR(Q16="",S16=""),"","、")</f>
        <v>、</v>
      </c>
      <c r="S16" s="1398" t="str">
        <f>IF(H17="","",H16&amp;TEXT(H17,"yyyy年m月d日;;"))</f>
        <v>工业2073年12月10日</v>
      </c>
      <c r="T16" s="1407" t="str">
        <f>IF(OR(S16="",U16=""),"","、")</f>
        <v>、</v>
      </c>
      <c r="U16" s="1398" t="str">
        <f>IF(I17="","",I16&amp;TEXT(I17,"yyyy年m月d日;;"))</f>
        <v>公共服务2073年12月10日</v>
      </c>
    </row>
    <row r="17" spans="1:21">
      <c r="A17" s="3079" t="s">
        <v>2735</v>
      </c>
      <c r="B17" s="2537" t="s">
        <v>1473</v>
      </c>
      <c r="C17" s="3078">
        <v>70838</v>
      </c>
      <c r="D17" s="3078">
        <v>59880</v>
      </c>
      <c r="E17" s="3078">
        <v>63533</v>
      </c>
      <c r="F17" s="3078">
        <f>E17</f>
        <v>63533</v>
      </c>
      <c r="G17" s="3078">
        <f>E17</f>
        <v>63533</v>
      </c>
      <c r="H17" s="3078">
        <f>E17</f>
        <v>63533</v>
      </c>
      <c r="I17" s="3078">
        <f>E17</f>
        <v>63533</v>
      </c>
      <c r="J17" s="2602"/>
      <c r="K17" s="2581" t="str">
        <f>CONCATENATE(K16,L16,M16,N16,O16,P16,Q16,R16,S16,T16,,U16)</f>
        <v>商业2063年12月10日、办公2073年12月10日、车库2073年12月10日、仓储2073年12月10日、工业2073年12月10日、公共服务2073年12月10日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v>50</v>
      </c>
      <c r="I18" s="1396">
        <v>50</v>
      </c>
      <c r="J18" s="2602"/>
      <c r="K18" s="2586"/>
      <c r="L18" s="2582"/>
      <c r="M18" s="2582"/>
      <c r="N18" s="2583"/>
      <c r="O18" s="2584"/>
      <c r="P18" s="2583"/>
      <c r="Q18" s="2583"/>
      <c r="R18" s="2583"/>
      <c r="S18" s="2583"/>
      <c r="T18" s="2583"/>
      <c r="U18" s="2583"/>
    </row>
    <row r="19" spans="1:21">
      <c r="A19" s="1463"/>
      <c r="B19" s="1377" t="s">
        <v>1475</v>
      </c>
      <c r="C19" s="1458">
        <f>IF(A17="出让",IF(C17="","",ROUNDDOWN(MIN((C17-$D$3)/365,C18),2)),C18)</f>
        <v>69.09</v>
      </c>
      <c r="D19" s="1458">
        <f>IF(A17="出让",IF(D17="","",ROUNDDOWN(MIN((D17-$D$3)/365,D18),2)),D18)</f>
        <v>39.07</v>
      </c>
      <c r="E19" s="1397">
        <f>IF(A17="出让",IF(E17="","",ROUNDDOWN(MIN((E17-$D$3)/365,E18),2)),E18)</f>
        <v>49.08</v>
      </c>
      <c r="F19" s="1397">
        <f>IF(A17="出让",IF(F17="","",ROUNDDOWN(MIN((F17-$D$3)/365,F18),2)),F18)</f>
        <v>49.08</v>
      </c>
      <c r="G19" s="1397">
        <f>IF(A17="出让",IF(G17="","",ROUNDDOWN(MIN((G17-$D$3)/365,G18),2)),G18)</f>
        <v>49.08</v>
      </c>
      <c r="H19" s="1397">
        <f>IF(A17="出让",IF(H17="","",ROUNDDOWN(MIN((H17-$D$3)/365,H18),2)),H18)</f>
        <v>49.08</v>
      </c>
      <c r="I19" s="1397">
        <f>IF(A17="出让",IF(I17="","",ROUNDDOWN(MIN((I17-$D$3)/365,I18),2)),I18)</f>
        <v>49.08</v>
      </c>
      <c r="J19" s="2602"/>
      <c r="K19" s="2586"/>
      <c r="L19" s="2582"/>
      <c r="M19" s="2582"/>
      <c r="N19" s="2583"/>
      <c r="O19" s="2584"/>
      <c r="P19" s="2583"/>
      <c r="Q19" s="2583"/>
      <c r="R19" s="2583"/>
      <c r="S19" s="2583"/>
      <c r="T19" s="2583"/>
      <c r="U19" s="2583"/>
    </row>
    <row r="20" spans="1:21">
      <c r="A20" s="1481"/>
      <c r="B20" s="1482"/>
      <c r="C20" s="1483" t="s">
        <v>1576</v>
      </c>
      <c r="D20" s="3491"/>
      <c r="E20" s="3492"/>
      <c r="F20" s="3492"/>
      <c r="G20" s="3492"/>
      <c r="H20" s="3492"/>
      <c r="I20" s="3493"/>
      <c r="J20" s="2602"/>
      <c r="K20" s="2586"/>
      <c r="L20" s="2582"/>
      <c r="M20" s="2582"/>
      <c r="N20" s="2583"/>
      <c r="O20" s="2584"/>
      <c r="P20" s="2583"/>
      <c r="Q20" s="2583"/>
      <c r="R20" s="2583"/>
      <c r="S20" s="2583"/>
      <c r="T20" s="2583"/>
      <c r="U20" s="2583"/>
    </row>
    <row r="21" spans="1:21">
      <c r="A21" s="1463" t="s">
        <v>1476</v>
      </c>
      <c r="B21" s="1464" t="s">
        <v>1477</v>
      </c>
      <c r="C21" s="1459">
        <f>'数据-汇总表'!E3</f>
        <v>57989.509999999995</v>
      </c>
      <c r="D21" s="1460" t="s">
        <v>1478</v>
      </c>
      <c r="E21" s="3481" t="s">
        <v>1514</v>
      </c>
      <c r="F21" s="3482"/>
      <c r="G21" s="3482"/>
      <c r="H21" s="3482"/>
      <c r="I21" s="3483"/>
      <c r="J21" s="2602"/>
      <c r="K21" s="2586"/>
      <c r="L21" s="2582"/>
      <c r="M21" s="2582"/>
      <c r="N21" s="2583"/>
      <c r="O21" s="2584"/>
      <c r="P21" s="2583"/>
      <c r="Q21" s="2583"/>
      <c r="R21" s="2583"/>
      <c r="S21" s="2583"/>
      <c r="T21" s="2583"/>
      <c r="U21" s="2583"/>
    </row>
    <row r="22" spans="1:21">
      <c r="A22" s="2365" t="s">
        <v>877</v>
      </c>
      <c r="B22" s="1378" t="s">
        <v>1479</v>
      </c>
      <c r="C22" s="1398">
        <f>'数据-汇总表'!D3</f>
        <v>19518.45</v>
      </c>
      <c r="D22" s="1399" t="s">
        <v>1478</v>
      </c>
      <c r="E22" s="3481" t="s">
        <v>2162</v>
      </c>
      <c r="F22" s="3482"/>
      <c r="G22" s="3482"/>
      <c r="H22" s="3482"/>
      <c r="I22" s="3483"/>
      <c r="J22" s="2602"/>
      <c r="K22" s="2586"/>
      <c r="L22" s="2582"/>
      <c r="M22" s="2582"/>
      <c r="N22" s="2583"/>
      <c r="O22" s="2584"/>
      <c r="P22" s="2583"/>
      <c r="Q22" s="2583"/>
      <c r="R22" s="2583"/>
      <c r="S22" s="2583"/>
      <c r="T22" s="2583"/>
      <c r="U22" s="2583"/>
    </row>
    <row r="23" spans="1:21" ht="29.25" thickBot="1">
      <c r="A23" s="1465" t="s">
        <v>1480</v>
      </c>
      <c r="B23" s="1408" t="s">
        <v>1481</v>
      </c>
      <c r="C23" s="1409" t="s">
        <v>3276</v>
      </c>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84" t="s">
        <v>1484</v>
      </c>
      <c r="C24" s="3485"/>
      <c r="D24" s="3486" t="s">
        <v>1485</v>
      </c>
      <c r="E24" s="3487"/>
      <c r="F24" s="1414" t="s">
        <v>1486</v>
      </c>
      <c r="G24" s="2602"/>
      <c r="H24" s="2602"/>
      <c r="I24" s="2603"/>
      <c r="J24" s="2602"/>
      <c r="K24" s="3472" t="s">
        <v>1487</v>
      </c>
      <c r="L24" s="197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429"/>
      <c r="N24" s="2583"/>
      <c r="O24" s="2584"/>
      <c r="P24" s="2583"/>
      <c r="Q24" s="2583"/>
      <c r="R24" s="2583"/>
      <c r="S24" s="2583"/>
      <c r="T24" s="2583"/>
      <c r="U24" s="2583"/>
    </row>
    <row r="25" spans="1:21" ht="28.5">
      <c r="A25" s="1451"/>
      <c r="B25" s="1448" t="s">
        <v>1680</v>
      </c>
      <c r="C25" s="1415" t="s">
        <v>1681</v>
      </c>
      <c r="D25" s="1416"/>
      <c r="E25" s="1417" t="s">
        <v>877</v>
      </c>
      <c r="F25" s="1418"/>
      <c r="G25" s="2602"/>
      <c r="H25" s="2602"/>
      <c r="I25" s="2603"/>
      <c r="J25" s="2602"/>
      <c r="K25" s="3472"/>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9"/>
      <c r="N25" s="2583"/>
      <c r="O25" s="2584"/>
      <c r="P25" s="2583"/>
      <c r="Q25" s="2583"/>
      <c r="R25" s="2583"/>
      <c r="S25" s="2583"/>
      <c r="T25" s="2583"/>
      <c r="U25" s="2583"/>
    </row>
    <row r="26" spans="1:21" ht="15" thickBot="1">
      <c r="A26" s="1452"/>
      <c r="B26" s="1449"/>
      <c r="C26" s="1415"/>
      <c r="D26" s="2602"/>
      <c r="E26" s="2602"/>
      <c r="F26" s="2607"/>
      <c r="G26" s="2602"/>
      <c r="H26" s="2602"/>
      <c r="I26" s="2603"/>
      <c r="J26" s="2602"/>
      <c r="K26" s="3472"/>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1488</v>
      </c>
      <c r="B27" s="1453" t="s">
        <v>1489</v>
      </c>
      <c r="C27" s="1419"/>
      <c r="D27" s="2090" t="s">
        <v>1489</v>
      </c>
      <c r="E27" s="1420"/>
      <c r="F27" s="2607"/>
      <c r="G27" s="2602"/>
      <c r="H27" s="2602"/>
      <c r="I27" s="2603"/>
      <c r="J27" s="2602"/>
      <c r="K27" s="2586"/>
      <c r="L27" s="2582"/>
      <c r="M27" s="2582"/>
      <c r="N27" s="2583"/>
      <c r="O27" s="2584"/>
      <c r="P27" s="2583"/>
      <c r="Q27" s="2583"/>
      <c r="R27" s="2583"/>
      <c r="S27" s="2583"/>
      <c r="T27" s="2583"/>
      <c r="U27" s="2583"/>
    </row>
    <row r="28" spans="1:21">
      <c r="A28" s="1456"/>
      <c r="B28" s="1453" t="s">
        <v>1490</v>
      </c>
      <c r="C28" s="1421"/>
      <c r="D28" s="2091" t="s">
        <v>1490</v>
      </c>
      <c r="E28" s="1422"/>
      <c r="F28" s="2607"/>
      <c r="G28" s="2602"/>
      <c r="H28" s="2602"/>
      <c r="I28" s="2603"/>
      <c r="J28" s="2602"/>
      <c r="K28" s="2586"/>
      <c r="L28" s="2582"/>
      <c r="M28" s="2582"/>
      <c r="N28" s="2583"/>
      <c r="O28" s="2584"/>
      <c r="P28" s="2583"/>
      <c r="Q28" s="2583"/>
      <c r="R28" s="2583"/>
      <c r="S28" s="2583"/>
      <c r="T28" s="2583"/>
      <c r="U28" s="2583"/>
    </row>
    <row r="29" spans="1:21">
      <c r="A29" s="1456"/>
      <c r="B29" s="1453" t="s">
        <v>1491</v>
      </c>
      <c r="C29" s="1421"/>
      <c r="D29" s="2091" t="s">
        <v>1491</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1492</v>
      </c>
      <c r="C30" s="1423"/>
      <c r="D30" s="2092" t="s">
        <v>1492</v>
      </c>
      <c r="E30" s="1424"/>
      <c r="F30" s="2608"/>
      <c r="G30" s="2605"/>
      <c r="H30" s="2605"/>
      <c r="I30" s="2606"/>
      <c r="J30" s="2602"/>
      <c r="K30" s="2586"/>
      <c r="L30" s="2582"/>
      <c r="M30" s="2582"/>
      <c r="N30" s="2583"/>
      <c r="O30" s="2584"/>
      <c r="P30" s="2583"/>
      <c r="Q30" s="2583"/>
      <c r="R30" s="2583"/>
      <c r="S30" s="2583"/>
      <c r="T30" s="2583"/>
      <c r="U30" s="2583"/>
    </row>
    <row r="31" spans="1:21" ht="15" thickTop="1">
      <c r="A31" s="3458" t="s">
        <v>1517</v>
      </c>
      <c r="B31" s="1464" t="s">
        <v>1518</v>
      </c>
      <c r="C31" s="3497" t="s">
        <v>3277</v>
      </c>
      <c r="D31" s="3498"/>
      <c r="E31" s="2602"/>
      <c r="F31" s="2602"/>
      <c r="G31" s="2602"/>
      <c r="H31" s="2602"/>
      <c r="I31" s="2603"/>
      <c r="J31" s="2602"/>
      <c r="K31" s="2589"/>
      <c r="L31" s="2583"/>
      <c r="M31" s="2583"/>
      <c r="N31" s="2583"/>
      <c r="O31" s="2583"/>
      <c r="P31" s="2583"/>
      <c r="Q31" s="2583"/>
      <c r="R31" s="2583"/>
      <c r="S31" s="2583"/>
      <c r="T31" s="2583"/>
      <c r="U31" s="2583"/>
    </row>
    <row r="32" spans="1:21">
      <c r="A32" s="3458"/>
      <c r="B32" s="1378" t="s">
        <v>1519</v>
      </c>
      <c r="C32" s="1425" t="s">
        <v>3278</v>
      </c>
      <c r="D32" s="1426"/>
      <c r="E32" s="2602"/>
      <c r="F32" s="2602"/>
      <c r="G32" s="2602"/>
      <c r="H32" s="2602"/>
      <c r="I32" s="2603"/>
      <c r="J32" s="2602"/>
      <c r="K32" s="2589"/>
      <c r="L32" s="2583"/>
      <c r="M32" s="2583"/>
      <c r="N32" s="2583"/>
      <c r="O32" s="2583"/>
      <c r="P32" s="2583"/>
      <c r="Q32" s="2583"/>
      <c r="R32" s="2583"/>
      <c r="S32" s="2583"/>
      <c r="T32" s="2583"/>
      <c r="U32" s="2583"/>
    </row>
    <row r="33" spans="1:28">
      <c r="A33" s="3458"/>
      <c r="B33" s="1378" t="s">
        <v>1520</v>
      </c>
      <c r="C33" s="1427" t="s">
        <v>3276</v>
      </c>
      <c r="D33" s="1527"/>
      <c r="E33" s="2602"/>
      <c r="F33" s="2602"/>
      <c r="G33" s="2602"/>
      <c r="H33" s="2602"/>
      <c r="I33" s="2603"/>
      <c r="J33" s="2602"/>
      <c r="K33" s="2589"/>
      <c r="L33" s="2583"/>
      <c r="M33" s="2583"/>
      <c r="N33" s="2583"/>
      <c r="O33" s="2583"/>
      <c r="P33" s="2583"/>
      <c r="Q33" s="2583"/>
      <c r="R33" s="2583"/>
      <c r="S33" s="2583"/>
      <c r="T33" s="2583"/>
      <c r="U33" s="2583"/>
    </row>
    <row r="34" spans="1:28">
      <c r="A34" s="3459"/>
      <c r="B34" s="1378" t="s">
        <v>1521</v>
      </c>
      <c r="C34" s="3460"/>
      <c r="D34" s="3461"/>
      <c r="E34" s="2602"/>
      <c r="F34" s="2602"/>
      <c r="G34" s="2602"/>
      <c r="H34" s="2602"/>
      <c r="I34" s="2603"/>
      <c r="J34" s="2602"/>
      <c r="K34" s="2589"/>
      <c r="L34" s="2583"/>
      <c r="M34" s="2583"/>
      <c r="N34" s="2583"/>
      <c r="O34" s="2583"/>
      <c r="P34" s="2583"/>
      <c r="Q34" s="2583"/>
      <c r="R34" s="2583"/>
      <c r="S34" s="2583"/>
      <c r="T34" s="2583"/>
      <c r="U34" s="2583"/>
    </row>
    <row r="35" spans="1:28">
      <c r="A35" s="3462" t="s">
        <v>785</v>
      </c>
      <c r="B35" s="1428" t="s">
        <v>3279</v>
      </c>
      <c r="C35" s="1472" t="str">
        <f>IF(B35="场地平整","——","具体情况：")</f>
        <v>——</v>
      </c>
      <c r="D35" s="3464"/>
      <c r="E35" s="3465"/>
      <c r="F35" s="3465"/>
      <c r="G35" s="3465"/>
      <c r="H35" s="3465"/>
      <c r="I35" s="3466"/>
      <c r="J35" s="2602"/>
      <c r="K35" s="2590"/>
      <c r="L35" s="2582"/>
      <c r="M35" s="2582"/>
      <c r="N35" s="2583"/>
      <c r="O35" s="2584"/>
      <c r="P35" s="2583"/>
      <c r="Q35" s="2583"/>
      <c r="R35" s="2583"/>
      <c r="S35" s="2583"/>
      <c r="T35" s="2583"/>
      <c r="U35" s="2583"/>
    </row>
    <row r="36" spans="1:28">
      <c r="A36" s="3458"/>
      <c r="B36" s="3467" t="s">
        <v>1570</v>
      </c>
      <c r="C36" s="3468"/>
      <c r="D36" s="1487" t="s">
        <v>2766</v>
      </c>
      <c r="E36" s="3469"/>
      <c r="F36" s="3469"/>
      <c r="G36" s="1399" t="str">
        <f>IF(B35="场地未平整","估价结果处理","")</f>
        <v/>
      </c>
      <c r="H36" s="3470"/>
      <c r="I36" s="3470"/>
      <c r="J36" s="2602"/>
      <c r="K36" s="2590"/>
      <c r="L36" s="2582"/>
      <c r="M36" s="2582"/>
      <c r="N36" s="2583"/>
      <c r="O36" s="2584"/>
      <c r="P36" s="2583"/>
      <c r="Q36" s="2583"/>
      <c r="R36" s="2583"/>
      <c r="S36" s="2583"/>
      <c r="T36" s="2583"/>
      <c r="U36" s="2583"/>
    </row>
    <row r="37" spans="1:28" ht="28.5">
      <c r="A37" s="3458"/>
      <c r="B37" s="3488"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58"/>
      <c r="B38" s="3489"/>
      <c r="C38" s="1386" t="s">
        <v>788</v>
      </c>
      <c r="D38" s="1486">
        <f>ROUNDDOWN(MIN(('数据-取费表'!$B$2-D37)/365,D34),1)</f>
        <v>124.9</v>
      </c>
      <c r="E38" s="1433" t="s">
        <v>789</v>
      </c>
      <c r="F38" s="2602"/>
      <c r="G38" s="2602"/>
      <c r="H38" s="2602"/>
      <c r="I38" s="2603"/>
      <c r="J38" s="2602"/>
      <c r="K38" s="2590"/>
      <c r="L38" s="2583"/>
      <c r="M38" s="2583"/>
      <c r="N38" s="2583"/>
      <c r="O38" s="2583"/>
      <c r="P38" s="2583"/>
      <c r="Q38" s="2583"/>
      <c r="R38" s="2583"/>
      <c r="S38" s="2583"/>
      <c r="T38" s="2583"/>
      <c r="U38" s="2583"/>
    </row>
    <row r="39" spans="1:28">
      <c r="A39" s="3459"/>
      <c r="B39" s="3490"/>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1493</v>
      </c>
      <c r="B40" s="1400" t="s">
        <v>2759</v>
      </c>
      <c r="C40" s="1400" t="s">
        <v>2760</v>
      </c>
      <c r="D40" s="1400" t="s">
        <v>2762</v>
      </c>
      <c r="E40" s="1400"/>
      <c r="F40" s="1400"/>
      <c r="G40" s="1400"/>
      <c r="H40" s="1400"/>
      <c r="I40" s="2603"/>
      <c r="J40" s="2602"/>
      <c r="K40" s="1436">
        <f>COUNTIF(B40:H40,"——")</f>
        <v>0</v>
      </c>
      <c r="L40" s="1407" t="s">
        <v>1494</v>
      </c>
      <c r="M40" s="1404" t="s">
        <v>1495</v>
      </c>
      <c r="N40" s="1404" t="s">
        <v>1496</v>
      </c>
      <c r="O40" s="1404" t="s">
        <v>1497</v>
      </c>
      <c r="P40" s="1404" t="s">
        <v>1498</v>
      </c>
      <c r="Q40" s="1404" t="s">
        <v>1499</v>
      </c>
      <c r="R40" s="1404" t="s">
        <v>1500</v>
      </c>
      <c r="S40" s="3471" t="s">
        <v>1501</v>
      </c>
      <c r="T40" s="1407" t="str">
        <f>NUMBERSTRING(7-K40,1)&amp;"通"</f>
        <v>七通</v>
      </c>
      <c r="U40" s="2583"/>
    </row>
    <row r="41" spans="1:28">
      <c r="A41" s="1380"/>
      <c r="B41" s="3463" t="s">
        <v>1250</v>
      </c>
      <c r="C41" s="3463"/>
      <c r="D41" s="3463"/>
      <c r="E41" s="3463"/>
      <c r="F41" s="1437">
        <f>C10</f>
        <v>0</v>
      </c>
      <c r="G41" s="2602"/>
      <c r="H41" s="2602"/>
      <c r="I41" s="2603"/>
      <c r="J41" s="2602"/>
      <c r="K41" s="1407"/>
      <c r="L41" s="1404" t="str">
        <f>B40</f>
        <v>通路</v>
      </c>
      <c r="M41" s="1438" t="str">
        <f>B40&amp;"、"&amp;C40</f>
        <v>通路、通电</v>
      </c>
      <c r="N41" s="1439" t="str">
        <f>B40&amp;"、"&amp;C40&amp;"、"&amp;D40</f>
        <v>通路、通电、通上水</v>
      </c>
      <c r="O41" s="1439" t="str">
        <f>B40&amp;"、"&amp;C40&amp;"、"&amp;D40&amp;"、"&amp;E40</f>
        <v>通路、通电、通上水、</v>
      </c>
      <c r="P41" s="1439" t="str">
        <f>B40&amp;"、"&amp;C40&amp;"、"&amp;D40&amp;"、"&amp;E40&amp;"、"&amp;F40</f>
        <v>通路、通电、通上水、、</v>
      </c>
      <c r="Q41" s="1439" t="str">
        <f>B40&amp;"、"&amp;C40&amp;"、"&amp;D40&amp;"、"&amp;E40&amp;"、"&amp;F40&amp;"、"&amp;G40</f>
        <v>通路、通电、通上水、、、</v>
      </c>
      <c r="R41" s="1439" t="str">
        <f>B40&amp;"、"&amp;C40&amp;"、"&amp;D40&amp;"、"&amp;E40&amp;"、"&amp;F40&amp;"、"&amp;G40&amp;"、"&amp;H40</f>
        <v>通路、通电、通上水、、、、</v>
      </c>
      <c r="S41" s="3471"/>
      <c r="T41" s="1438" t="str">
        <f>IF(T40="一通",L41,IF(T40="二通",M41,IF(T40="三通",N41,IF(T40="四通",O41,IF(T40="五通",P41,IF(T40="六通",Q41,R41))))))</f>
        <v>通路、通电、通上水、、、、</v>
      </c>
      <c r="U41" s="2583"/>
    </row>
    <row r="42" spans="1:28">
      <c r="A42" s="1440"/>
      <c r="B42" s="1466" t="s">
        <v>1422</v>
      </c>
      <c r="C42" s="1466" t="s">
        <v>1423</v>
      </c>
      <c r="D42" s="1466" t="s">
        <v>1424</v>
      </c>
      <c r="E42" s="1466" t="s">
        <v>2736</v>
      </c>
      <c r="F42" s="1466" t="s">
        <v>2737</v>
      </c>
      <c r="G42" s="2602"/>
      <c r="H42" s="2602"/>
      <c r="I42" s="2603"/>
      <c r="J42" s="2602"/>
      <c r="K42" s="2586"/>
      <c r="L42" s="2582"/>
      <c r="M42" s="2582"/>
      <c r="N42" s="2583"/>
      <c r="O42" s="2584"/>
      <c r="P42" s="2583"/>
      <c r="Q42" s="2583"/>
      <c r="R42" s="2583"/>
      <c r="S42" s="2583"/>
      <c r="T42" s="2583"/>
      <c r="U42" s="2583"/>
    </row>
    <row r="43" spans="1:28">
      <c r="A43" s="2558" t="s">
        <v>1235</v>
      </c>
      <c r="B43" s="1442" t="s">
        <v>1156</v>
      </c>
      <c r="C43" s="1442" t="s">
        <v>1156</v>
      </c>
      <c r="D43" s="1442" t="s">
        <v>1156</v>
      </c>
      <c r="E43" s="1442" t="s">
        <v>1156</v>
      </c>
      <c r="F43" s="1442" t="s">
        <v>1156</v>
      </c>
      <c r="G43" s="2602"/>
      <c r="H43" s="2602"/>
      <c r="I43" s="2603"/>
      <c r="J43" s="2602"/>
      <c r="K43" s="2586"/>
      <c r="L43" s="2582"/>
      <c r="M43" s="2582"/>
      <c r="N43" s="2583"/>
      <c r="O43" s="2584"/>
      <c r="P43" s="2583"/>
      <c r="Q43" s="2583"/>
      <c r="R43" s="2583"/>
      <c r="S43" s="2583"/>
      <c r="T43" s="2583"/>
      <c r="U43" s="2583"/>
    </row>
    <row r="44" spans="1:28">
      <c r="A44" s="2558" t="s">
        <v>1236</v>
      </c>
      <c r="B44" s="1442" t="s">
        <v>1125</v>
      </c>
      <c r="C44" s="1442" t="s">
        <v>1125</v>
      </c>
      <c r="D44" s="1442" t="s">
        <v>1125</v>
      </c>
      <c r="E44" s="1442" t="s">
        <v>1125</v>
      </c>
      <c r="F44" s="1442" t="s">
        <v>1125</v>
      </c>
      <c r="G44" s="2602"/>
      <c r="H44" s="2602"/>
      <c r="I44" s="2603"/>
      <c r="J44" s="2602"/>
      <c r="K44" s="2586"/>
      <c r="L44" s="2582"/>
      <c r="M44" s="2582"/>
      <c r="N44" s="2583"/>
      <c r="O44" s="2584"/>
      <c r="P44" s="2583"/>
      <c r="Q44" s="2583"/>
      <c r="R44" s="2583"/>
      <c r="S44" s="2583"/>
      <c r="T44" s="2583"/>
      <c r="U44" s="2583"/>
    </row>
    <row r="45" spans="1:28" s="2339" customFormat="1" ht="21" thickBot="1">
      <c r="A45" s="2340" t="s">
        <v>2163</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1522</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1523</v>
      </c>
      <c r="B48" s="1398" t="s">
        <v>1524</v>
      </c>
      <c r="C48" s="1398" t="s">
        <v>1525</v>
      </c>
      <c r="D48" s="1398" t="s">
        <v>1526</v>
      </c>
      <c r="E48" s="1398" t="s">
        <v>1527</v>
      </c>
      <c r="F48" s="1398" t="s">
        <v>1528</v>
      </c>
      <c r="G48" s="1398" t="s">
        <v>1529</v>
      </c>
      <c r="H48" s="1398" t="s">
        <v>1530</v>
      </c>
      <c r="I48" s="1398" t="s">
        <v>1531</v>
      </c>
      <c r="J48" s="1471"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5" sqref="J15"/>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1688</v>
      </c>
      <c r="BA2" s="1927" t="s">
        <v>1687</v>
      </c>
      <c r="BB2" s="38"/>
      <c r="BC2" s="38"/>
      <c r="BD2" s="38"/>
      <c r="BE2" s="38"/>
      <c r="BF2" s="38"/>
      <c r="BG2" s="38"/>
      <c r="BH2" s="38"/>
      <c r="BI2" s="38"/>
      <c r="BJ2" s="38"/>
      <c r="BK2" s="38"/>
      <c r="BL2" s="38"/>
      <c r="BM2" s="38"/>
      <c r="BN2" s="38"/>
      <c r="BO2" s="38"/>
      <c r="BP2" s="38"/>
      <c r="BQ2" s="38"/>
      <c r="BR2" s="38"/>
      <c r="BS2" s="38"/>
      <c r="BT2" s="38"/>
    </row>
    <row r="3" spans="1:72" s="15" customFormat="1" ht="12.75">
      <c r="A3" s="18">
        <f>指标!B1</f>
        <v>21672.98</v>
      </c>
      <c r="B3" s="19">
        <f>IF(C3="否",G5-AT5,G5)</f>
        <v>64390.649999999994</v>
      </c>
      <c r="C3" s="20" t="s">
        <v>3325</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64390.649999999994</v>
      </c>
      <c r="H5" s="23">
        <f t="shared" ref="H5:AT5" si="0">SUM(H13:H641)</f>
        <v>53873.7</v>
      </c>
      <c r="I5" s="23">
        <f t="shared" si="0"/>
        <v>34475.879999999997</v>
      </c>
      <c r="J5" s="23">
        <f t="shared" si="0"/>
        <v>0</v>
      </c>
      <c r="K5" s="23">
        <f t="shared" si="0"/>
        <v>5896.96</v>
      </c>
      <c r="L5" s="23">
        <f t="shared" si="0"/>
        <v>0</v>
      </c>
      <c r="M5" s="23">
        <f t="shared" si="0"/>
        <v>2172.2399999999998</v>
      </c>
      <c r="N5" s="23">
        <f t="shared" si="0"/>
        <v>0</v>
      </c>
      <c r="O5" s="23">
        <f t="shared" si="0"/>
        <v>11328.62</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4115.8100000000004</v>
      </c>
      <c r="AD5" s="23">
        <f t="shared" si="0"/>
        <v>23.1</v>
      </c>
      <c r="AE5" s="23">
        <f t="shared" si="0"/>
        <v>0</v>
      </c>
      <c r="AF5" s="23">
        <f t="shared" si="0"/>
        <v>954.6099999999999</v>
      </c>
      <c r="AG5" s="23">
        <f t="shared" si="0"/>
        <v>0</v>
      </c>
      <c r="AH5" s="23">
        <f t="shared" si="0"/>
        <v>100.02</v>
      </c>
      <c r="AI5" s="23">
        <f t="shared" si="0"/>
        <v>0</v>
      </c>
      <c r="AJ5" s="23">
        <f t="shared" si="0"/>
        <v>50.08</v>
      </c>
      <c r="AK5" s="23">
        <f t="shared" si="0"/>
        <v>0</v>
      </c>
      <c r="AL5" s="23">
        <f t="shared" si="0"/>
        <v>648.72</v>
      </c>
      <c r="AM5" s="23">
        <f t="shared" si="0"/>
        <v>0</v>
      </c>
      <c r="AN5" s="23">
        <f t="shared" si="0"/>
        <v>2339.2800000000002</v>
      </c>
      <c r="AO5" s="23">
        <f t="shared" si="0"/>
        <v>0</v>
      </c>
      <c r="AP5" s="23">
        <f t="shared" si="0"/>
        <v>0</v>
      </c>
      <c r="AQ5" s="23">
        <f t="shared" si="0"/>
        <v>0</v>
      </c>
      <c r="AR5" s="23">
        <f t="shared" si="0"/>
        <v>0</v>
      </c>
      <c r="AS5" s="23">
        <f t="shared" si="0"/>
        <v>0</v>
      </c>
      <c r="AT5" s="23">
        <f t="shared" si="0"/>
        <v>6401.14</v>
      </c>
      <c r="AU5" s="902"/>
      <c r="AV5" s="22" t="s">
        <v>134</v>
      </c>
      <c r="AW5" s="903"/>
      <c r="AX5" s="903"/>
      <c r="AY5" s="24" t="s">
        <v>2</v>
      </c>
      <c r="AZ5" s="25">
        <f t="shared" ref="AZ5:BT5" si="1">SUM(AZ13:AZ641)</f>
        <v>57989.509999999995</v>
      </c>
      <c r="BA5" s="25">
        <f t="shared" si="1"/>
        <v>53873.7</v>
      </c>
      <c r="BB5" s="25">
        <f t="shared" si="1"/>
        <v>34475.879999999997</v>
      </c>
      <c r="BC5" s="25">
        <f t="shared" si="1"/>
        <v>5896.96</v>
      </c>
      <c r="BD5" s="25">
        <f t="shared" si="1"/>
        <v>2172.2399999999998</v>
      </c>
      <c r="BE5" s="25">
        <f t="shared" si="1"/>
        <v>11328.62</v>
      </c>
      <c r="BF5" s="25">
        <f t="shared" si="1"/>
        <v>0</v>
      </c>
      <c r="BG5" s="25">
        <f t="shared" si="1"/>
        <v>0</v>
      </c>
      <c r="BH5" s="25">
        <f t="shared" si="1"/>
        <v>0</v>
      </c>
      <c r="BI5" s="25">
        <f t="shared" si="1"/>
        <v>0</v>
      </c>
      <c r="BJ5" s="25">
        <f t="shared" si="1"/>
        <v>0</v>
      </c>
      <c r="BK5" s="25">
        <f t="shared" si="1"/>
        <v>0</v>
      </c>
      <c r="BL5" s="25">
        <f t="shared" si="1"/>
        <v>4115.8100000000004</v>
      </c>
      <c r="BM5" s="25">
        <f t="shared" si="1"/>
        <v>23.1</v>
      </c>
      <c r="BN5" s="25">
        <f t="shared" si="1"/>
        <v>954.6099999999999</v>
      </c>
      <c r="BO5" s="25">
        <f t="shared" si="1"/>
        <v>100.02</v>
      </c>
      <c r="BP5" s="25">
        <f t="shared" si="1"/>
        <v>50.08</v>
      </c>
      <c r="BQ5" s="25">
        <f t="shared" si="1"/>
        <v>648.72</v>
      </c>
      <c r="BR5" s="25">
        <f t="shared" si="1"/>
        <v>2339.2800000000002</v>
      </c>
      <c r="BS5" s="25">
        <f t="shared" si="1"/>
        <v>0</v>
      </c>
      <c r="BT5" s="26">
        <f t="shared" si="1"/>
        <v>0</v>
      </c>
    </row>
    <row r="6" spans="1:72" s="33" customFormat="1" ht="12.75">
      <c r="A6" s="22" t="s">
        <v>135</v>
      </c>
      <c r="B6" s="27"/>
      <c r="C6" s="27"/>
      <c r="D6" s="28"/>
      <c r="E6" s="23">
        <f>H6+AC6+AT6</f>
        <v>21672.989999999998</v>
      </c>
      <c r="F6" s="23" t="s">
        <v>0</v>
      </c>
      <c r="G6" s="23" t="s">
        <v>1</v>
      </c>
      <c r="H6" s="29">
        <f>SUMIF(I$12:AB$12,"总值",I6:AB6)</f>
        <v>18133.12</v>
      </c>
      <c r="I6" s="23">
        <f t="shared" ref="I6:AB6" si="2">ROUND($A$3*I5/$B$3,2)</f>
        <v>11604.09</v>
      </c>
      <c r="J6" s="23">
        <f t="shared" si="2"/>
        <v>0</v>
      </c>
      <c r="K6" s="23">
        <f t="shared" si="2"/>
        <v>1984.83</v>
      </c>
      <c r="L6" s="23">
        <f t="shared" si="2"/>
        <v>0</v>
      </c>
      <c r="M6" s="23">
        <f t="shared" si="2"/>
        <v>731.15</v>
      </c>
      <c r="N6" s="23">
        <f t="shared" si="2"/>
        <v>0</v>
      </c>
      <c r="O6" s="23">
        <f t="shared" si="2"/>
        <v>3813.05</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1385.3400000000001</v>
      </c>
      <c r="AD6" s="23">
        <f t="shared" ref="AD6:AS6" si="3">ROUND($A$3*AD5/$B$3,2)</f>
        <v>7.78</v>
      </c>
      <c r="AE6" s="23">
        <f t="shared" si="3"/>
        <v>0</v>
      </c>
      <c r="AF6" s="23">
        <f t="shared" si="3"/>
        <v>321.31</v>
      </c>
      <c r="AG6" s="23">
        <f t="shared" si="3"/>
        <v>0</v>
      </c>
      <c r="AH6" s="23">
        <f t="shared" si="3"/>
        <v>33.67</v>
      </c>
      <c r="AI6" s="23">
        <f t="shared" si="3"/>
        <v>0</v>
      </c>
      <c r="AJ6" s="23">
        <f t="shared" si="3"/>
        <v>16.86</v>
      </c>
      <c r="AK6" s="23">
        <f t="shared" si="3"/>
        <v>0</v>
      </c>
      <c r="AL6" s="23">
        <f t="shared" si="3"/>
        <v>218.35</v>
      </c>
      <c r="AM6" s="23">
        <f t="shared" si="3"/>
        <v>0</v>
      </c>
      <c r="AN6" s="23">
        <f t="shared" si="3"/>
        <v>787.37</v>
      </c>
      <c r="AO6" s="23">
        <f t="shared" si="3"/>
        <v>0</v>
      </c>
      <c r="AP6" s="23">
        <f t="shared" si="3"/>
        <v>0</v>
      </c>
      <c r="AQ6" s="23">
        <f t="shared" si="3"/>
        <v>0</v>
      </c>
      <c r="AR6" s="23">
        <f t="shared" si="3"/>
        <v>0</v>
      </c>
      <c r="AS6" s="23">
        <f t="shared" si="3"/>
        <v>0</v>
      </c>
      <c r="AT6" s="29">
        <f>IF(C3="是",ROUND($A$3*AT5/$B$3,2),0)</f>
        <v>2154.5300000000002</v>
      </c>
      <c r="AU6" s="30"/>
      <c r="AV6" s="22" t="s">
        <v>135</v>
      </c>
      <c r="AW6" s="27"/>
      <c r="AX6" s="27"/>
      <c r="AY6" s="31">
        <f>IF(AY3&gt;0,AY3,ROUND($A$3*AZ5/$B$3,2))</f>
        <v>19518.45</v>
      </c>
      <c r="AZ6" s="23" t="s">
        <v>2</v>
      </c>
      <c r="BA6" s="23">
        <f>ROUND($AY$6*BA5/$AZ$5,2)</f>
        <v>18133.13</v>
      </c>
      <c r="BB6" s="23">
        <f>ROUND($AY$6*BB5/$AZ$5,2)</f>
        <v>11604.09</v>
      </c>
      <c r="BC6" s="23">
        <f t="shared" ref="BC6:BH6" si="4">ROUND($AY$6*BC5/$AZ$5,2)</f>
        <v>1984.83</v>
      </c>
      <c r="BD6" s="23">
        <f t="shared" si="4"/>
        <v>731.15</v>
      </c>
      <c r="BE6" s="23">
        <f t="shared" si="4"/>
        <v>3813.05</v>
      </c>
      <c r="BF6" s="23">
        <f t="shared" si="4"/>
        <v>0</v>
      </c>
      <c r="BG6" s="23">
        <f t="shared" si="4"/>
        <v>0</v>
      </c>
      <c r="BH6" s="23">
        <f t="shared" si="4"/>
        <v>0</v>
      </c>
      <c r="BI6" s="23">
        <f t="shared" ref="BI6:BT6" si="5">ROUND($AY$6*BI5/$AZ$5,2)</f>
        <v>0</v>
      </c>
      <c r="BJ6" s="23">
        <f t="shared" si="5"/>
        <v>0</v>
      </c>
      <c r="BK6" s="23">
        <f t="shared" si="5"/>
        <v>0</v>
      </c>
      <c r="BL6" s="23">
        <f t="shared" si="5"/>
        <v>1385.32</v>
      </c>
      <c r="BM6" s="23">
        <f t="shared" si="5"/>
        <v>7.78</v>
      </c>
      <c r="BN6" s="23">
        <f t="shared" si="5"/>
        <v>321.31</v>
      </c>
      <c r="BO6" s="23">
        <f t="shared" si="5"/>
        <v>33.67</v>
      </c>
      <c r="BP6" s="23">
        <f t="shared" si="5"/>
        <v>16.86</v>
      </c>
      <c r="BQ6" s="23">
        <f t="shared" si="5"/>
        <v>218.35</v>
      </c>
      <c r="BR6" s="23">
        <f t="shared" si="5"/>
        <v>787.37</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3" t="s">
        <v>3317</v>
      </c>
      <c r="J9" s="47"/>
      <c r="K9" s="2303" t="s">
        <v>3317</v>
      </c>
      <c r="L9" s="47"/>
      <c r="M9" s="2303" t="s">
        <v>3317</v>
      </c>
      <c r="N9" s="47"/>
      <c r="O9" s="55" t="s">
        <v>3319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3" t="s">
        <v>851</v>
      </c>
      <c r="J10" s="47"/>
      <c r="K10" s="2305" t="s">
        <v>2732</v>
      </c>
      <c r="L10" s="47"/>
      <c r="M10" s="2305" t="s">
        <v>2732</v>
      </c>
      <c r="N10" s="47"/>
      <c r="O10" s="62" t="s">
        <v>2733</v>
      </c>
      <c r="P10" s="47"/>
      <c r="Q10" s="62"/>
      <c r="R10" s="47"/>
      <c r="S10" s="62"/>
      <c r="T10" s="47"/>
      <c r="U10" s="62"/>
      <c r="V10" s="47"/>
      <c r="W10" s="62"/>
      <c r="X10" s="47"/>
      <c r="Y10" s="62"/>
      <c r="Z10" s="47"/>
      <c r="AA10" s="62"/>
      <c r="AB10" s="47"/>
      <c r="AC10" s="51"/>
      <c r="AD10" s="1901" t="s">
        <v>1672</v>
      </c>
      <c r="AE10" s="1923"/>
      <c r="AF10" s="1901" t="s">
        <v>1672</v>
      </c>
      <c r="AG10" s="1923"/>
      <c r="AH10" s="1901" t="s">
        <v>1673</v>
      </c>
      <c r="AI10" s="1923"/>
      <c r="AJ10" s="22" t="s">
        <v>1686</v>
      </c>
      <c r="AK10" s="1920"/>
      <c r="AL10" s="1901" t="s">
        <v>1674</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地上</v>
      </c>
      <c r="BD10" s="65" t="str">
        <f>M9</f>
        <v>地上</v>
      </c>
      <c r="BE10" s="65" t="str">
        <f>O9</f>
        <v>地下</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4"/>
      <c r="J11" s="67"/>
      <c r="K11" s="2304" t="s">
        <v>3305</v>
      </c>
      <c r="L11" s="67"/>
      <c r="M11" s="66"/>
      <c r="N11" s="67"/>
      <c r="O11" s="66"/>
      <c r="P11" s="67"/>
      <c r="Q11" s="66"/>
      <c r="R11" s="67"/>
      <c r="S11" s="66"/>
      <c r="T11" s="67"/>
      <c r="U11" s="66"/>
      <c r="V11" s="67"/>
      <c r="W11" s="66"/>
      <c r="X11" s="67"/>
      <c r="Y11" s="66"/>
      <c r="Z11" s="67"/>
      <c r="AA11" s="66"/>
      <c r="AB11" s="67"/>
      <c r="AC11" s="51"/>
      <c r="AD11" s="1921" t="s">
        <v>1685</v>
      </c>
      <c r="AE11" s="915"/>
      <c r="AF11" s="1921" t="s">
        <v>1685</v>
      </c>
      <c r="AG11" s="915"/>
      <c r="AH11" s="1921" t="s">
        <v>1684</v>
      </c>
      <c r="AI11" s="1922"/>
      <c r="AJ11" s="1921" t="s">
        <v>1684</v>
      </c>
      <c r="AK11" s="1920"/>
      <c r="AL11" s="913"/>
      <c r="AM11" s="915"/>
      <c r="AN11" s="913"/>
      <c r="AO11" s="915"/>
      <c r="AP11" s="1032"/>
      <c r="AQ11" s="1034"/>
      <c r="AR11" s="1032"/>
      <c r="AS11" s="1034"/>
      <c r="AT11" s="866"/>
      <c r="AU11" s="41"/>
      <c r="AV11" s="51"/>
      <c r="AW11" s="866"/>
      <c r="AX11" s="51"/>
      <c r="AY11" s="58"/>
      <c r="AZ11" s="58"/>
      <c r="BA11" s="58"/>
      <c r="BB11" s="46" t="str">
        <f>I10</f>
        <v>住宅</v>
      </c>
      <c r="BC11" s="46" t="str">
        <f>K10</f>
        <v>商业</v>
      </c>
      <c r="BD11" s="46" t="str">
        <f>M10</f>
        <v>商业</v>
      </c>
      <c r="BE11" s="46" t="str">
        <f>O10</f>
        <v>车库</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t="str">
        <f>K11</f>
        <v>酒店</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9"/>
      <c r="B13" s="2299"/>
      <c r="C13" s="2299"/>
      <c r="D13" s="2300" t="s">
        <v>3325</v>
      </c>
      <c r="E13" s="23">
        <f t="shared" ref="E13:E20" si="6">IF($C$3="是",ROUND($A$3*G13/$B$3,2),ROUND($A$3*(G13-AT13)/$B$3,2))</f>
        <v>21672.98</v>
      </c>
      <c r="F13" s="76"/>
      <c r="G13" s="77">
        <f t="shared" ref="G13:G20" si="7">H13+AC13+AT13</f>
        <v>64390.649999999994</v>
      </c>
      <c r="H13" s="29">
        <f t="shared" ref="H13:H20" si="8">SUMIF(I$12:AB$12,"总值",I13:AB13)</f>
        <v>53873.7</v>
      </c>
      <c r="I13" s="2302">
        <f>指标!B4</f>
        <v>34475.879999999997</v>
      </c>
      <c r="J13" s="2302"/>
      <c r="K13" s="2302">
        <f>指标!B7</f>
        <v>5896.96</v>
      </c>
      <c r="L13" s="2302"/>
      <c r="M13" s="2302">
        <f>指标!B8</f>
        <v>2172.2399999999998</v>
      </c>
      <c r="N13" s="78"/>
      <c r="O13" s="78">
        <f>指标!B11</f>
        <v>11328.62</v>
      </c>
      <c r="P13" s="78"/>
      <c r="Q13" s="78"/>
      <c r="R13" s="78"/>
      <c r="S13" s="78"/>
      <c r="T13" s="78"/>
      <c r="U13" s="78"/>
      <c r="V13" s="78"/>
      <c r="W13" s="78"/>
      <c r="X13" s="78"/>
      <c r="Y13" s="78"/>
      <c r="Z13" s="78"/>
      <c r="AA13" s="78"/>
      <c r="AB13" s="78"/>
      <c r="AC13" s="23">
        <f t="shared" ref="AC13:AC20" si="9">SUMIF(AD$12:AS$12,"总值",AD13:AS13)</f>
        <v>4115.8100000000004</v>
      </c>
      <c r="AD13" s="2306">
        <f>指标!B39+指标!B40</f>
        <v>23.1</v>
      </c>
      <c r="AE13" s="2306"/>
      <c r="AF13" s="2306">
        <f>指标!B42+指标!B14</f>
        <v>954.6099999999999</v>
      </c>
      <c r="AG13" s="2306"/>
      <c r="AH13" s="2306">
        <f>指标!B33</f>
        <v>100.02</v>
      </c>
      <c r="AI13" s="2306"/>
      <c r="AJ13" s="2306">
        <f>指标!B34</f>
        <v>50.08</v>
      </c>
      <c r="AK13" s="2306"/>
      <c r="AL13" s="2306">
        <f>指标!E39+指标!B9</f>
        <v>648.72</v>
      </c>
      <c r="AM13" s="2306"/>
      <c r="AN13" s="2306">
        <f>指标!E40</f>
        <v>2339.2800000000002</v>
      </c>
      <c r="AO13" s="2306"/>
      <c r="AP13" s="2306"/>
      <c r="AQ13" s="2306"/>
      <c r="AR13" s="2306"/>
      <c r="AS13" s="2306"/>
      <c r="AT13" s="2307">
        <f>指标!B30</f>
        <v>6401.14</v>
      </c>
      <c r="AU13" s="2308"/>
      <c r="AV13" s="14">
        <f t="shared" ref="AV13:AX20" si="10">A13</f>
        <v>0</v>
      </c>
      <c r="AW13" s="14">
        <f t="shared" si="10"/>
        <v>0</v>
      </c>
      <c r="AX13" s="14">
        <f t="shared" si="10"/>
        <v>0</v>
      </c>
      <c r="AY13" s="909">
        <f t="shared" ref="AY13:AY20" si="11">ROUND($AY$6*AZ13/$AZ$5,2)</f>
        <v>19518.45</v>
      </c>
      <c r="AZ13" s="23">
        <f t="shared" ref="AZ13:AZ20" si="12">BA13+BL13</f>
        <v>57989.509999999995</v>
      </c>
      <c r="BA13" s="23">
        <f t="shared" ref="BA13:BA20" si="13">SUM(BB13:BK13)</f>
        <v>53873.7</v>
      </c>
      <c r="BB13" s="23">
        <f t="shared" ref="BB13:BB20" si="14">IF($D13="是",I13-J13,0)</f>
        <v>34475.879999999997</v>
      </c>
      <c r="BC13" s="23">
        <f t="shared" ref="BC13:BC20" si="15">IF($D13="是",K13-L13,0)</f>
        <v>5896.96</v>
      </c>
      <c r="BD13" s="23">
        <f t="shared" ref="BD13:BD20" si="16">IF($D13="是",M13-N13,0)</f>
        <v>2172.2399999999998</v>
      </c>
      <c r="BE13" s="23">
        <f t="shared" ref="BE13:BE20" si="17">IF($D13="是",O13-P13,0)</f>
        <v>11328.62</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4115.8100000000004</v>
      </c>
      <c r="BM13" s="23">
        <f t="shared" ref="BM13:BM20" si="25">IF($D13="是",AD13-AE13,0)</f>
        <v>23.1</v>
      </c>
      <c r="BN13" s="23">
        <f t="shared" ref="BN13:BN20" si="26">IF($D13="是",AF13-AG13,0)</f>
        <v>954.6099999999999</v>
      </c>
      <c r="BO13" s="23">
        <f t="shared" ref="BO13:BO20" si="27">IF($D13="是",AH13-AI13,0)</f>
        <v>100.02</v>
      </c>
      <c r="BP13" s="23">
        <f t="shared" ref="BP13:BP20" si="28">IF($D13="是",AJ13-AK13,0)</f>
        <v>50.08</v>
      </c>
      <c r="BQ13" s="23">
        <f t="shared" ref="BQ13:BQ20" si="29">IF($D13="是",AL13-AM13,0)</f>
        <v>648.72</v>
      </c>
      <c r="BR13" s="23">
        <f t="shared" ref="BR13:BR20" si="30">IF($D13="是",AN13-AO13,0)</f>
        <v>2339.2800000000002</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2"/>
  <sheetViews>
    <sheetView topLeftCell="A7" workbookViewId="0">
      <selection activeCell="B34" sqref="B34"/>
    </sheetView>
  </sheetViews>
  <sheetFormatPr defaultRowHeight="13.5"/>
  <cols>
    <col min="1" max="1" width="19.375" customWidth="1"/>
  </cols>
  <sheetData>
    <row r="1" spans="1:2">
      <c r="A1" s="2746" t="s">
        <v>3300</v>
      </c>
      <c r="B1">
        <v>21672.98</v>
      </c>
    </row>
    <row r="2" spans="1:2">
      <c r="A2" s="2746" t="s">
        <v>3301</v>
      </c>
      <c r="B2">
        <f>B3+B10</f>
        <v>64390.649999999994</v>
      </c>
    </row>
    <row r="3" spans="1:2">
      <c r="A3" s="2746" t="s">
        <v>3302</v>
      </c>
      <c r="B3">
        <f>SUM(B4:B9)</f>
        <v>43345.959999999992</v>
      </c>
    </row>
    <row r="4" spans="1:2">
      <c r="A4" s="3389" t="s">
        <v>3290</v>
      </c>
      <c r="B4" s="3390">
        <v>34475.879999999997</v>
      </c>
    </row>
    <row r="5" spans="1:2">
      <c r="A5" s="2746" t="s">
        <v>3303</v>
      </c>
      <c r="B5">
        <v>115.07</v>
      </c>
    </row>
    <row r="6" spans="1:2">
      <c r="A6" s="2746" t="s">
        <v>3304</v>
      </c>
      <c r="B6">
        <v>85.81</v>
      </c>
    </row>
    <row r="7" spans="1:2">
      <c r="A7" s="3389" t="s">
        <v>3306</v>
      </c>
      <c r="B7" s="3390">
        <v>5896.96</v>
      </c>
    </row>
    <row r="8" spans="1:2">
      <c r="A8" s="3389" t="s">
        <v>3291</v>
      </c>
      <c r="B8" s="3390">
        <v>2172.2399999999998</v>
      </c>
    </row>
    <row r="9" spans="1:2">
      <c r="A9" s="2746" t="s">
        <v>3307</v>
      </c>
      <c r="B9">
        <v>600</v>
      </c>
    </row>
    <row r="10" spans="1:2">
      <c r="A10" s="2746" t="s">
        <v>3308</v>
      </c>
      <c r="B10">
        <f>SUM(B11:B14)</f>
        <v>21044.690000000002</v>
      </c>
    </row>
    <row r="11" spans="1:2">
      <c r="A11" s="3389" t="s">
        <v>3309</v>
      </c>
      <c r="B11" s="3390">
        <v>11328.62</v>
      </c>
    </row>
    <row r="12" spans="1:2">
      <c r="A12" s="3389" t="s">
        <v>3311</v>
      </c>
      <c r="B12" s="3390">
        <v>6372.1</v>
      </c>
    </row>
    <row r="13" spans="1:2">
      <c r="A13" s="2746" t="s">
        <v>3313</v>
      </c>
      <c r="B13">
        <v>2753.07</v>
      </c>
    </row>
    <row r="14" spans="1:2">
      <c r="A14" s="2746" t="s">
        <v>3314</v>
      </c>
      <c r="B14">
        <v>590.9</v>
      </c>
    </row>
    <row r="15" spans="1:2">
      <c r="A15" s="2746" t="s">
        <v>3296</v>
      </c>
      <c r="B15">
        <v>2</v>
      </c>
    </row>
    <row r="18" spans="1:2">
      <c r="A18" s="2746" t="s">
        <v>3316</v>
      </c>
      <c r="B18">
        <v>489</v>
      </c>
    </row>
    <row r="19" spans="1:2">
      <c r="A19" s="2746" t="s">
        <v>3318</v>
      </c>
      <c r="B19">
        <v>24</v>
      </c>
    </row>
    <row r="20" spans="1:2">
      <c r="A20" s="2746" t="s">
        <v>3320</v>
      </c>
      <c r="B20">
        <v>465</v>
      </c>
    </row>
    <row r="21" spans="1:2">
      <c r="A21" s="2746" t="s">
        <v>3290</v>
      </c>
      <c r="B21">
        <f>375-B19</f>
        <v>351</v>
      </c>
    </row>
    <row r="22" spans="1:2">
      <c r="A22" s="2746" t="s">
        <v>3299</v>
      </c>
      <c r="B22">
        <v>65</v>
      </c>
    </row>
    <row r="23" spans="1:2">
      <c r="A23" s="2746" t="s">
        <v>3321</v>
      </c>
      <c r="B23">
        <v>50</v>
      </c>
    </row>
    <row r="24" spans="1:2">
      <c r="A24" s="2746" t="s">
        <v>3322</v>
      </c>
      <c r="B24">
        <v>118</v>
      </c>
    </row>
    <row r="25" spans="1:2">
      <c r="A25" s="2746" t="s">
        <v>3324</v>
      </c>
      <c r="B25">
        <v>347</v>
      </c>
    </row>
    <row r="27" spans="1:2">
      <c r="A27" s="2746" t="s">
        <v>3311</v>
      </c>
    </row>
    <row r="28" spans="1:2">
      <c r="A28" s="2746" t="s">
        <v>3318</v>
      </c>
      <c r="B28">
        <v>29.04</v>
      </c>
    </row>
    <row r="29" spans="1:2">
      <c r="A29" s="2746" t="s">
        <v>3320</v>
      </c>
      <c r="B29">
        <v>6372.1</v>
      </c>
    </row>
    <row r="30" spans="1:2">
      <c r="B30">
        <f>B29+B28</f>
        <v>6401.14</v>
      </c>
    </row>
    <row r="32" spans="1:2">
      <c r="A32" s="2746" t="s">
        <v>3326</v>
      </c>
    </row>
    <row r="33" spans="1:5">
      <c r="A33" s="2746" t="s">
        <v>3318</v>
      </c>
      <c r="B33">
        <v>100.02</v>
      </c>
    </row>
    <row r="34" spans="1:5">
      <c r="A34" s="2746" t="s">
        <v>3320</v>
      </c>
      <c r="B34">
        <v>50.08</v>
      </c>
    </row>
    <row r="37" spans="1:5">
      <c r="A37" s="2746" t="s">
        <v>3327</v>
      </c>
      <c r="D37" s="2746" t="s">
        <v>3313</v>
      </c>
    </row>
    <row r="38" spans="1:5">
      <c r="A38" s="2746" t="s">
        <v>3318</v>
      </c>
      <c r="B38" s="2746" t="s">
        <v>3328</v>
      </c>
      <c r="D38" s="2746" t="s">
        <v>3318</v>
      </c>
    </row>
    <row r="39" spans="1:5">
      <c r="A39" s="2746" t="s">
        <v>3329</v>
      </c>
      <c r="B39">
        <v>15.05</v>
      </c>
      <c r="D39" s="2746" t="s">
        <v>3331</v>
      </c>
      <c r="E39">
        <v>48.72</v>
      </c>
    </row>
    <row r="40" spans="1:5">
      <c r="A40" s="2746" t="s">
        <v>3330</v>
      </c>
      <c r="B40">
        <v>8.0500000000000007</v>
      </c>
      <c r="D40" s="2746" t="s">
        <v>3320</v>
      </c>
      <c r="E40">
        <v>2339.2800000000002</v>
      </c>
    </row>
    <row r="41" spans="1:5">
      <c r="A41" s="2746" t="s">
        <v>3320</v>
      </c>
    </row>
    <row r="42" spans="1:5">
      <c r="A42" s="2746" t="s">
        <v>3332</v>
      </c>
      <c r="B42">
        <v>363.71</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90" zoomScaleNormal="70" zoomScaleSheetLayoutView="90" workbookViewId="0">
      <selection activeCell="E9" sqref="E9"/>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08" t="s">
        <v>169</v>
      </c>
      <c r="B2" s="3508"/>
      <c r="C2" s="3508"/>
      <c r="D2" s="1631" t="s">
        <v>170</v>
      </c>
      <c r="E2" s="97" t="s">
        <v>171</v>
      </c>
      <c r="F2" s="2609"/>
      <c r="G2" s="1041"/>
      <c r="H2" s="1042"/>
      <c r="I2" s="1043" t="s">
        <v>795</v>
      </c>
      <c r="J2" s="2609"/>
      <c r="K2" s="2609"/>
      <c r="L2" s="2609"/>
      <c r="M2" s="2609"/>
      <c r="N2" s="2609"/>
      <c r="O2" s="2609"/>
      <c r="P2" s="2609"/>
    </row>
    <row r="3" spans="1:16" ht="15.75" thickBot="1">
      <c r="A3" s="3509" t="s">
        <v>172</v>
      </c>
      <c r="B3" s="3509"/>
      <c r="C3" s="3509"/>
      <c r="D3" s="98">
        <f>'数据-基础表'!AY6</f>
        <v>19518.45</v>
      </c>
      <c r="E3" s="98">
        <f>'数据-基础表'!AZ5</f>
        <v>57989.509999999995</v>
      </c>
      <c r="F3" s="2609"/>
      <c r="G3" s="106" t="s">
        <v>796</v>
      </c>
      <c r="H3" s="102" t="s">
        <v>797</v>
      </c>
      <c r="I3" s="996">
        <f>ROUND('数据-基础表'!B3/'数据-基础表'!A3,2)</f>
        <v>2.97</v>
      </c>
      <c r="J3" s="2609"/>
      <c r="K3" s="2609"/>
      <c r="L3" s="2609"/>
      <c r="M3" s="2609"/>
      <c r="N3" s="2609"/>
      <c r="O3" s="2609"/>
      <c r="P3" s="2609"/>
    </row>
    <row r="4" spans="1:16" ht="15">
      <c r="A4" s="3510"/>
      <c r="B4" s="3511"/>
      <c r="C4" s="3512"/>
      <c r="D4" s="99" t="s">
        <v>170</v>
      </c>
      <c r="E4" s="100" t="s">
        <v>171</v>
      </c>
      <c r="F4" s="2609"/>
      <c r="G4" s="119"/>
      <c r="H4" s="102" t="s">
        <v>798</v>
      </c>
      <c r="I4" s="996">
        <f>ROUND(SUMIF('数据-基础表'!I9:AS9,"地上",'数据-基础表'!I5:AS5)/'数据-基础表'!A3,2)</f>
        <v>2</v>
      </c>
      <c r="J4" s="2609"/>
      <c r="K4" s="2609"/>
      <c r="L4" s="2609"/>
      <c r="M4" s="2609"/>
      <c r="N4" s="2609"/>
      <c r="O4" s="2609"/>
      <c r="P4" s="2609"/>
    </row>
    <row r="5" spans="1:16">
      <c r="A5" s="101" t="s">
        <v>173</v>
      </c>
      <c r="B5" s="3513" t="s">
        <v>196</v>
      </c>
      <c r="C5" s="3513"/>
      <c r="D5" s="102">
        <f>ROUND($D$3*E5/$E$3,2)</f>
        <v>11604.09</v>
      </c>
      <c r="E5" s="103">
        <f>SUMIF('数据-基础表'!$11:$11,"住宅",'数据-基础表'!$5:$5)</f>
        <v>34475.879999999997</v>
      </c>
      <c r="F5" s="2609"/>
      <c r="G5" s="106" t="s">
        <v>799</v>
      </c>
      <c r="H5" s="102" t="s">
        <v>797</v>
      </c>
      <c r="I5" s="996">
        <f>ROUND(E31/D31,2)</f>
        <v>2.97</v>
      </c>
      <c r="J5" s="2609"/>
      <c r="K5" s="2609"/>
      <c r="L5" s="2609"/>
      <c r="M5" s="2609"/>
      <c r="N5" s="2609"/>
      <c r="O5" s="2609"/>
      <c r="P5" s="2609"/>
    </row>
    <row r="6" spans="1:16" ht="15" thickBot="1">
      <c r="A6" s="104"/>
      <c r="B6" s="3513" t="s">
        <v>174</v>
      </c>
      <c r="C6" s="3513"/>
      <c r="D6" s="102">
        <f>ROUND($D$3*E6/$E$3,2)</f>
        <v>7914.36</v>
      </c>
      <c r="E6" s="103">
        <f>E3-E5</f>
        <v>23513.629999999997</v>
      </c>
      <c r="F6" s="2609"/>
      <c r="G6" s="119"/>
      <c r="H6" s="102" t="s">
        <v>798</v>
      </c>
      <c r="I6" s="996">
        <f>ROUND(F31/D31,2)</f>
        <v>2.2200000000000002</v>
      </c>
      <c r="J6" s="2609"/>
      <c r="K6" s="2609"/>
      <c r="L6" s="2609"/>
      <c r="M6" s="2609"/>
      <c r="N6" s="2609"/>
      <c r="O6" s="2609"/>
      <c r="P6" s="2609"/>
    </row>
    <row r="7" spans="1:16" ht="15">
      <c r="A7" s="3505"/>
      <c r="B7" s="3506"/>
      <c r="C7" s="3507"/>
      <c r="D7" s="99" t="s">
        <v>170</v>
      </c>
      <c r="E7" s="105" t="s">
        <v>197</v>
      </c>
      <c r="F7" s="2609"/>
      <c r="G7" s="1001" t="s">
        <v>1180</v>
      </c>
      <c r="H7" s="1002"/>
      <c r="I7" s="127">
        <v>2</v>
      </c>
      <c r="J7" s="2609"/>
      <c r="K7" s="2609"/>
      <c r="L7" s="2609"/>
      <c r="M7" s="2609"/>
      <c r="N7" s="2609"/>
      <c r="O7" s="2609"/>
      <c r="P7" s="2609"/>
    </row>
    <row r="8" spans="1:16">
      <c r="A8" s="101" t="s">
        <v>175</v>
      </c>
      <c r="B8" s="106" t="s">
        <v>176</v>
      </c>
      <c r="C8" s="102" t="s">
        <v>177</v>
      </c>
      <c r="D8" s="102">
        <f t="shared" ref="D8:D15" si="0">ROUND($D$3*E8/$E$3,2)</f>
        <v>14320.07</v>
      </c>
      <c r="E8" s="107">
        <f>SUMIF('数据-基础表'!BB10:BK10,"地上",'数据-基础表'!BB5:BK5)</f>
        <v>42545.079999999994</v>
      </c>
      <c r="F8" s="2609"/>
      <c r="G8" s="2609"/>
      <c r="H8" s="2609"/>
      <c r="I8" s="2609">
        <f>F27/'数据-基础表'!A3</f>
        <v>1.9630470752060858</v>
      </c>
      <c r="J8" s="2609"/>
      <c r="K8" s="2609"/>
      <c r="L8" s="2609"/>
      <c r="M8" s="2609"/>
      <c r="N8" s="2609"/>
      <c r="O8" s="2609"/>
      <c r="P8" s="2609"/>
    </row>
    <row r="9" spans="1:16">
      <c r="A9" s="108"/>
      <c r="B9" s="109"/>
      <c r="C9" s="102" t="s">
        <v>178</v>
      </c>
      <c r="D9" s="102">
        <f t="shared" si="0"/>
        <v>33.67</v>
      </c>
      <c r="E9" s="110">
        <f>指标!B33</f>
        <v>100.02</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1682</v>
      </c>
      <c r="D11" s="102">
        <f t="shared" si="0"/>
        <v>16.86</v>
      </c>
      <c r="E11" s="107">
        <f>SUMPRODUCT(('数据-基础表'!BB10:BK10="地下")*('数据-基础表'!BB11:BK11="办公")*('数据-基础表'!BB5:BK5))+'数据-基础表'!AJ5</f>
        <v>50.08</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1689</v>
      </c>
      <c r="D13" s="102">
        <f t="shared" si="0"/>
        <v>3813.05</v>
      </c>
      <c r="E13" s="107">
        <f>SUMPRODUCT(('数据-基础表'!BB10:BK10="地下")*('数据-基础表'!BB11:BK11="车库")*('数据-基础表'!BB5:BK5))</f>
        <v>11328.62</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18183.650000000001</v>
      </c>
      <c r="E16" s="111">
        <f>SUM(E8:E15)</f>
        <v>54023.799999999996</v>
      </c>
      <c r="F16" s="2609"/>
      <c r="G16" s="2609"/>
      <c r="H16" s="882" t="s">
        <v>185</v>
      </c>
      <c r="I16" s="883"/>
      <c r="J16" s="1633"/>
      <c r="K16" s="3499" t="s">
        <v>1847</v>
      </c>
      <c r="L16" s="3500"/>
      <c r="M16" s="3500"/>
      <c r="N16" s="3500"/>
      <c r="O16" s="3500"/>
      <c r="P16" s="3501"/>
    </row>
    <row r="17" spans="1:19" ht="15">
      <c r="A17" s="112" t="s">
        <v>182</v>
      </c>
      <c r="B17" s="113" t="s">
        <v>183</v>
      </c>
      <c r="C17" s="1886" t="s">
        <v>1668</v>
      </c>
      <c r="D17" s="99" t="s">
        <v>170</v>
      </c>
      <c r="E17" s="115" t="s">
        <v>171</v>
      </c>
      <c r="F17" s="116"/>
      <c r="G17" s="1158"/>
      <c r="H17" s="884" t="s">
        <v>184</v>
      </c>
      <c r="I17" s="885" t="s">
        <v>1667</v>
      </c>
      <c r="J17" s="1633"/>
      <c r="K17" s="3502" t="s">
        <v>1848</v>
      </c>
      <c r="L17" s="3503"/>
      <c r="M17" s="3504"/>
      <c r="N17" s="3502" t="s">
        <v>1849</v>
      </c>
      <c r="O17" s="3503"/>
      <c r="P17" s="3504"/>
      <c r="R17" s="1887" t="s">
        <v>1666</v>
      </c>
      <c r="S17" s="125"/>
    </row>
    <row r="18" spans="1:19" ht="15">
      <c r="A18" s="108"/>
      <c r="B18" s="119"/>
      <c r="C18" s="96"/>
      <c r="D18" s="1631"/>
      <c r="E18" s="120" t="s">
        <v>186</v>
      </c>
      <c r="F18" s="121" t="s">
        <v>187</v>
      </c>
      <c r="G18" s="1159" t="s">
        <v>188</v>
      </c>
      <c r="H18" s="886" t="s">
        <v>189</v>
      </c>
      <c r="I18" s="887" t="s">
        <v>190</v>
      </c>
      <c r="J18" s="1633"/>
      <c r="K18" s="2063" t="s">
        <v>1850</v>
      </c>
      <c r="L18" s="2064" t="s">
        <v>1851</v>
      </c>
      <c r="M18" s="2065" t="s">
        <v>1852</v>
      </c>
      <c r="N18" s="2063" t="s">
        <v>1850</v>
      </c>
      <c r="O18" s="2064" t="s">
        <v>1851</v>
      </c>
      <c r="P18" s="2065" t="s">
        <v>1852</v>
      </c>
      <c r="R18" s="1888" t="s">
        <v>1664</v>
      </c>
      <c r="S18" s="1888" t="s">
        <v>1665</v>
      </c>
    </row>
    <row r="19" spans="1:19">
      <c r="A19" s="123"/>
      <c r="B19" s="106" t="s">
        <v>191</v>
      </c>
      <c r="C19" s="2309" t="s">
        <v>3333</v>
      </c>
      <c r="D19" s="102">
        <f t="shared" ref="D19:D26" si="1">ROUND($D$3*E19/$E$3,2)</f>
        <v>11604.09</v>
      </c>
      <c r="E19" s="124">
        <f t="shared" ref="E19:E26" si="2">SUM(F19:G19)</f>
        <v>34475.879999999997</v>
      </c>
      <c r="F19" s="2610">
        <f>'数据-基础表'!I5</f>
        <v>34475.879999999997</v>
      </c>
      <c r="G19" s="2611"/>
      <c r="H19" s="888">
        <f>ROUND($D$3*I19/$E$3,2)</f>
        <v>1023.2</v>
      </c>
      <c r="I19" s="107">
        <f>IF($I$17="自定义",P19,M19)</f>
        <v>3039.95</v>
      </c>
      <c r="J19" s="1633"/>
      <c r="K19" s="888">
        <f t="shared" ref="K19:K26" si="3">ROUND(E$28*E19/E$27,2)</f>
        <v>1912.14</v>
      </c>
      <c r="L19" s="102">
        <f t="shared" ref="L19:L26" si="4">ROUND(IF(COUNTIF(C19,"*住宅*")&gt;0,E$29*E19/E$32,0),2)</f>
        <v>1127.81</v>
      </c>
      <c r="M19" s="107">
        <f>K19+L19</f>
        <v>3039.95</v>
      </c>
      <c r="N19" s="2066"/>
      <c r="O19" s="2067"/>
      <c r="P19" s="2068">
        <f>N19+O19</f>
        <v>0</v>
      </c>
      <c r="R19" s="102">
        <f t="shared" ref="R19:S26" si="5">D19+H19</f>
        <v>12627.29</v>
      </c>
      <c r="S19" s="124">
        <f t="shared" si="5"/>
        <v>37515.829999999994</v>
      </c>
    </row>
    <row r="20" spans="1:19">
      <c r="A20" s="123"/>
      <c r="B20" s="106" t="s">
        <v>192</v>
      </c>
      <c r="C20" s="2309" t="s">
        <v>3334</v>
      </c>
      <c r="D20" s="102">
        <f t="shared" si="1"/>
        <v>1984.83</v>
      </c>
      <c r="E20" s="124">
        <f t="shared" si="2"/>
        <v>5896.96</v>
      </c>
      <c r="F20" s="2610">
        <f>'数据-基础表'!K5</f>
        <v>5896.96</v>
      </c>
      <c r="G20" s="2611"/>
      <c r="H20" s="888">
        <f t="shared" ref="H20:H26" si="6">ROUND($D$3*I20/$E$3,2)</f>
        <v>110.08</v>
      </c>
      <c r="I20" s="107">
        <f t="shared" ref="I20:I26" si="7">IF($I$17="自定义",P20,M20)</f>
        <v>327.06</v>
      </c>
      <c r="J20" s="1633"/>
      <c r="K20" s="888">
        <f t="shared" si="3"/>
        <v>327.06</v>
      </c>
      <c r="L20" s="102">
        <f t="shared" si="4"/>
        <v>0</v>
      </c>
      <c r="M20" s="107">
        <f t="shared" ref="M20:M26" si="8">K20+L20</f>
        <v>327.06</v>
      </c>
      <c r="N20" s="2066"/>
      <c r="O20" s="2067"/>
      <c r="P20" s="2068">
        <f t="shared" ref="P20:P26" si="9">N20+O20</f>
        <v>0</v>
      </c>
      <c r="R20" s="102">
        <f t="shared" si="5"/>
        <v>2094.91</v>
      </c>
      <c r="S20" s="124">
        <f t="shared" si="5"/>
        <v>6224.02</v>
      </c>
    </row>
    <row r="21" spans="1:19">
      <c r="A21" s="123"/>
      <c r="B21" s="106" t="s">
        <v>192</v>
      </c>
      <c r="C21" s="2309" t="s">
        <v>3335</v>
      </c>
      <c r="D21" s="102">
        <f t="shared" si="1"/>
        <v>731.15</v>
      </c>
      <c r="E21" s="124">
        <f t="shared" si="2"/>
        <v>2172.2399999999998</v>
      </c>
      <c r="F21" s="2610">
        <f>'数据-基础表'!M5</f>
        <v>2172.2399999999998</v>
      </c>
      <c r="G21" s="2611"/>
      <c r="H21" s="888">
        <f t="shared" si="6"/>
        <v>40.549999999999997</v>
      </c>
      <c r="I21" s="107">
        <f t="shared" si="7"/>
        <v>120.48</v>
      </c>
      <c r="J21" s="1633"/>
      <c r="K21" s="888">
        <f t="shared" si="3"/>
        <v>120.48</v>
      </c>
      <c r="L21" s="102">
        <f t="shared" si="4"/>
        <v>0</v>
      </c>
      <c r="M21" s="107">
        <f t="shared" si="8"/>
        <v>120.48</v>
      </c>
      <c r="N21" s="2066"/>
      <c r="O21" s="2067"/>
      <c r="P21" s="2068">
        <f t="shared" si="9"/>
        <v>0</v>
      </c>
      <c r="R21" s="102">
        <f t="shared" si="5"/>
        <v>771.69999999999993</v>
      </c>
      <c r="S21" s="124">
        <f t="shared" si="5"/>
        <v>2292.7199999999998</v>
      </c>
    </row>
    <row r="22" spans="1:19">
      <c r="A22" s="123"/>
      <c r="B22" s="106" t="s">
        <v>192</v>
      </c>
      <c r="C22" s="3081" t="s">
        <v>4090</v>
      </c>
      <c r="D22" s="102">
        <f t="shared" si="1"/>
        <v>2298.1</v>
      </c>
      <c r="E22" s="124">
        <f t="shared" si="2"/>
        <v>6827.6900000000005</v>
      </c>
      <c r="F22" s="2612"/>
      <c r="G22" s="2613">
        <f>'数据-取费表'!AI21</f>
        <v>6827.6900000000005</v>
      </c>
      <c r="H22" s="888">
        <f t="shared" si="6"/>
        <v>127.46</v>
      </c>
      <c r="I22" s="107">
        <f t="shared" si="7"/>
        <v>378.68</v>
      </c>
      <c r="J22" s="1633"/>
      <c r="K22" s="888">
        <f t="shared" si="3"/>
        <v>378.68</v>
      </c>
      <c r="L22" s="102">
        <f t="shared" si="4"/>
        <v>0</v>
      </c>
      <c r="M22" s="107">
        <f t="shared" si="8"/>
        <v>378.68</v>
      </c>
      <c r="N22" s="2066"/>
      <c r="O22" s="2067"/>
      <c r="P22" s="2068">
        <f t="shared" si="9"/>
        <v>0</v>
      </c>
      <c r="R22" s="102">
        <f t="shared" si="5"/>
        <v>2425.56</v>
      </c>
      <c r="S22" s="124">
        <f t="shared" si="5"/>
        <v>7206.3700000000008</v>
      </c>
    </row>
    <row r="23" spans="1:19">
      <c r="A23" s="123"/>
      <c r="B23" s="106" t="s">
        <v>192</v>
      </c>
      <c r="C23" s="3081" t="s">
        <v>4092</v>
      </c>
      <c r="D23" s="102">
        <f>ROUND($D$3*E23/$E$3,2)</f>
        <v>1514.95</v>
      </c>
      <c r="E23" s="124">
        <f>SUM(F23:G23)</f>
        <v>4500.93</v>
      </c>
      <c r="F23" s="2612"/>
      <c r="G23" s="2613">
        <f>'数据-取费表'!AI20</f>
        <v>4500.93</v>
      </c>
      <c r="H23" s="888">
        <f>ROUND($D$3*I23/$E$3,2)</f>
        <v>84.03</v>
      </c>
      <c r="I23" s="107">
        <f t="shared" si="7"/>
        <v>249.64</v>
      </c>
      <c r="J23" s="1633"/>
      <c r="K23" s="888">
        <f t="shared" si="3"/>
        <v>249.64</v>
      </c>
      <c r="L23" s="102">
        <f t="shared" si="4"/>
        <v>0</v>
      </c>
      <c r="M23" s="107">
        <f t="shared" si="8"/>
        <v>249.64</v>
      </c>
      <c r="N23" s="2066"/>
      <c r="O23" s="2067"/>
      <c r="P23" s="2068">
        <f t="shared" si="9"/>
        <v>0</v>
      </c>
      <c r="R23" s="102">
        <f t="shared" si="5"/>
        <v>1598.98</v>
      </c>
      <c r="S23" s="124">
        <f t="shared" si="5"/>
        <v>4750.5700000000006</v>
      </c>
    </row>
    <row r="24" spans="1:19">
      <c r="A24" s="123"/>
      <c r="B24" s="106" t="s">
        <v>192</v>
      </c>
      <c r="C24" s="3081"/>
      <c r="D24" s="102">
        <f>ROUND($D$3*E24/$E$3,2)</f>
        <v>0</v>
      </c>
      <c r="E24" s="124">
        <f>SUM(F24:G24)</f>
        <v>0</v>
      </c>
      <c r="F24" s="2612"/>
      <c r="G24" s="2613"/>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18133.12</v>
      </c>
      <c r="E27" s="129">
        <f>IF(SUM(E19:E26)='数据-基础表'!BA5,SUM(E19:E26),IF(F27="地上面积有误","面积有误","地下面积有误"))</f>
        <v>53873.7</v>
      </c>
      <c r="F27" s="124">
        <f>IF(SUM(F19:F26)=E8,SUM(F19:F26),"地上面积有误")</f>
        <v>42545.079999999994</v>
      </c>
      <c r="G27" s="103">
        <f>SUM(G19:G26)</f>
        <v>11328.62</v>
      </c>
      <c r="H27" s="889">
        <f>SUM(H19:H26)</f>
        <v>1385.32</v>
      </c>
      <c r="I27" s="890">
        <f>SUM(I19:I26)</f>
        <v>4115.8099999999995</v>
      </c>
      <c r="J27" s="1633"/>
      <c r="K27" s="2072">
        <f t="shared" ref="K27:P27" si="10">SUM(K19:K26)</f>
        <v>2988</v>
      </c>
      <c r="L27" s="2073">
        <f t="shared" si="10"/>
        <v>1127.81</v>
      </c>
      <c r="M27" s="2074">
        <f t="shared" si="10"/>
        <v>4115.8099999999995</v>
      </c>
      <c r="N27" s="2072">
        <f t="shared" si="10"/>
        <v>0</v>
      </c>
      <c r="O27" s="2073">
        <f t="shared" si="10"/>
        <v>0</v>
      </c>
      <c r="P27" s="194">
        <f t="shared" si="10"/>
        <v>0</v>
      </c>
      <c r="R27" s="1892" t="str">
        <f>IF(SUM(R19:R26)=$D$3,SUM(R19:R26),SUM(R19:R26)&amp;"误差"&amp;ROUND(SUM(R19:R26)-$D$3,2))</f>
        <v>19518.44误差-0.01</v>
      </c>
      <c r="S27" s="102">
        <f>IF(SUM(S19:S26)=$E$3,SUM(S19:S26),SUM(S19:S26)&amp;"误差"&amp;ROUND(SUM(S19:S26)-E3,2))</f>
        <v>57989.509999999995</v>
      </c>
    </row>
    <row r="28" spans="1:19">
      <c r="A28" s="123"/>
      <c r="B28" s="106" t="s">
        <v>193</v>
      </c>
      <c r="C28" s="125" t="s">
        <v>194</v>
      </c>
      <c r="D28" s="102">
        <f>ROUND($D$3*E28/$E$3,2)</f>
        <v>1005.72</v>
      </c>
      <c r="E28" s="124">
        <f>SUM(F28:G28)</f>
        <v>2988</v>
      </c>
      <c r="F28" s="125">
        <f>'数据-基础表'!BQ5+'数据-基础表'!BS5</f>
        <v>648.72</v>
      </c>
      <c r="G28" s="130">
        <f>'数据-基础表'!BR5+'数据-基础表'!BT5</f>
        <v>2339.2800000000002</v>
      </c>
      <c r="H28" s="2609"/>
      <c r="I28" s="2609"/>
      <c r="J28" s="2609"/>
      <c r="K28" s="2609"/>
      <c r="L28" s="2609"/>
      <c r="M28" s="2609"/>
      <c r="N28" s="2609"/>
      <c r="O28" s="2609"/>
      <c r="P28" s="2609"/>
    </row>
    <row r="29" spans="1:19">
      <c r="A29" s="123"/>
      <c r="B29" s="106" t="s">
        <v>193</v>
      </c>
      <c r="C29" s="1900" t="s">
        <v>1675</v>
      </c>
      <c r="D29" s="102">
        <f>ROUND($D$3*E29/$E$3,2)</f>
        <v>379.6</v>
      </c>
      <c r="E29" s="124">
        <f>SUM(F29:G29)</f>
        <v>1127.81</v>
      </c>
      <c r="F29" s="125">
        <f>'数据-基础表'!BM5+'数据-基础表'!BO5</f>
        <v>123.12</v>
      </c>
      <c r="G29" s="111">
        <f>'数据-基础表'!BN5+'数据-基础表'!BP5</f>
        <v>1004.6899999999999</v>
      </c>
      <c r="H29" s="2609"/>
      <c r="I29" s="2609"/>
      <c r="J29" s="2609"/>
      <c r="K29" s="2609"/>
      <c r="L29" s="2609"/>
      <c r="M29" s="2609"/>
      <c r="N29" s="2609"/>
      <c r="O29" s="2609"/>
      <c r="P29" s="2609"/>
    </row>
    <row r="30" spans="1:19">
      <c r="A30" s="123"/>
      <c r="B30" s="102"/>
      <c r="C30" s="131" t="s">
        <v>181</v>
      </c>
      <c r="D30" s="124">
        <f>SUM(D28:D29)</f>
        <v>1385.3200000000002</v>
      </c>
      <c r="E30" s="124">
        <f>SUM(E28:E29)</f>
        <v>4115.8099999999995</v>
      </c>
      <c r="F30" s="124">
        <f>SUM(F28:F29)</f>
        <v>771.84</v>
      </c>
      <c r="G30" s="103">
        <f>SUM(G28:G29)</f>
        <v>3343.9700000000003</v>
      </c>
      <c r="H30" s="2609"/>
      <c r="I30" s="2609"/>
      <c r="J30" s="2609"/>
      <c r="K30" s="2609"/>
      <c r="L30" s="2609"/>
      <c r="M30" s="2609"/>
      <c r="N30" s="2609"/>
      <c r="O30" s="2609"/>
      <c r="P30" s="2609"/>
    </row>
    <row r="31" spans="1:19" ht="32.25" customHeight="1" thickBot="1">
      <c r="A31" s="1160"/>
      <c r="B31" s="1161" t="s">
        <v>195</v>
      </c>
      <c r="C31" s="1917" t="s">
        <v>1677</v>
      </c>
      <c r="D31" s="1162">
        <f>D27+D30</f>
        <v>19518.439999999999</v>
      </c>
      <c r="E31" s="1162">
        <f>E27+E30</f>
        <v>57989.509999999995</v>
      </c>
      <c r="F31" s="1163">
        <f>F27+F30</f>
        <v>43316.919999999991</v>
      </c>
      <c r="G31" s="1164">
        <f>G27+G30</f>
        <v>14672.59</v>
      </c>
      <c r="H31" s="2609"/>
      <c r="I31" s="2609"/>
      <c r="J31" s="2609"/>
      <c r="K31" s="2609"/>
      <c r="L31" s="2609"/>
      <c r="M31" s="2609"/>
      <c r="N31" s="2609"/>
      <c r="O31" s="2609"/>
      <c r="P31" s="2609"/>
    </row>
    <row r="32" spans="1:19">
      <c r="A32" s="1633"/>
      <c r="B32" s="1929" t="s">
        <v>1676</v>
      </c>
      <c r="C32" s="2087"/>
      <c r="D32" s="119"/>
      <c r="E32" s="119">
        <f>SUMIF(C19:C26,"*住宅*",E19:E26)</f>
        <v>34475.879999999997</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L15" sqref="L15"/>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6" customFormat="1" ht="15.75" thickBot="1">
      <c r="A2" s="133" t="s">
        <v>201</v>
      </c>
      <c r="B2" s="1925">
        <f>项目基本情况!D3</f>
        <v>45617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4">
      <c r="A5" s="1891"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3236</v>
      </c>
      <c r="O5" s="147" t="s">
        <v>212</v>
      </c>
      <c r="P5" s="149" t="s">
        <v>213</v>
      </c>
      <c r="Q5" s="150" t="s">
        <v>214</v>
      </c>
      <c r="R5" s="151" t="s">
        <v>215</v>
      </c>
      <c r="S5" s="2075" t="s">
        <v>1853</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1678</v>
      </c>
      <c r="AI5" s="155" t="s">
        <v>1647</v>
      </c>
      <c r="AJ5" s="155" t="s">
        <v>224</v>
      </c>
      <c r="AK5" s="143" t="s">
        <v>225</v>
      </c>
      <c r="AL5" s="143" t="s">
        <v>226</v>
      </c>
      <c r="AM5" s="156" t="s">
        <v>227</v>
      </c>
      <c r="AN5" s="1950" t="s">
        <v>1725</v>
      </c>
      <c r="AO5" s="2627"/>
      <c r="AP5" s="2614" t="s">
        <v>2257</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70838</v>
      </c>
      <c r="F6" s="158">
        <f>SUMIF(项目基本情况!C$15:I$15,C6,项目基本情况!C$19:I$19)</f>
        <v>69.09</v>
      </c>
      <c r="G6" s="159">
        <f t="shared" ref="G6:G13" si="0">IF(ISERROR(ROUND(POWER(1+H6,D6-F6)*(POWER(1+H6,F6)-1)/(POWER(1+H6,D6)-1),3)),0,ROUND(POWER(1+H6,D6-F6)*(POWER(1+H6,F6)-1)/(POWER(1+H6,D6)-1),3))</f>
        <v>0.998</v>
      </c>
      <c r="H6" s="2310">
        <v>0.04</v>
      </c>
      <c r="I6" s="2310">
        <v>4.4999999999999998E-2</v>
      </c>
      <c r="J6" s="160">
        <v>7.0000000000000007E-2</v>
      </c>
      <c r="K6" s="163">
        <f>SUMIF('数据-汇总表'!C$19:C$33,'数据-取费表'!A6,'数据-汇总表'!E$19:E$33)</f>
        <v>34475.879999999997</v>
      </c>
      <c r="L6" s="2311">
        <v>5000</v>
      </c>
      <c r="M6" s="161">
        <f t="shared" ref="M6:M14" si="1">ROUND(K6*L6/10000,0)</f>
        <v>17238</v>
      </c>
      <c r="N6" s="2312">
        <v>0</v>
      </c>
      <c r="O6" s="161">
        <f>IF($N$5="成新度","——",ROUND(M6*N6,0))</f>
        <v>0</v>
      </c>
      <c r="P6" s="162">
        <f>IF($N$5="成新度","——",M6-O6)</f>
        <v>17238</v>
      </c>
      <c r="Q6" s="2313">
        <v>0.15</v>
      </c>
      <c r="R6" s="163">
        <f>SUMIF('数据-汇总表'!C$19:C$33,A6,'数据-汇总表'!R$19:R$33)</f>
        <v>12627.29</v>
      </c>
      <c r="S6" s="122">
        <f>IF('数据-汇总表'!$I$17="按面积比例",SUMIF('数据-汇总表'!C$19:C$33,A6,'数据-汇总表'!K$19:K$33),SUMIF('数据-汇总表'!C$19:C$33,A6,'数据-汇总表'!N$19:N$33))</f>
        <v>1912.14</v>
      </c>
      <c r="T6" s="1827">
        <f>IF($T$4="按面积比例",IF(ISERROR(ROUND($M$14*S6/S$16,0)),"0",ROUND($M$14*S6/S$16,0)),"需自行计算录入")</f>
        <v>765</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1"/>
      <c r="AN6" s="1124"/>
      <c r="AO6" s="2609"/>
      <c r="AP6" s="96">
        <f>ROUND(1-1/(1+H6)^F6,3)</f>
        <v>0.93300000000000005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t="str">
        <f>'数据-汇总表'!C20</f>
        <v>酒店</v>
      </c>
      <c r="B7" s="1924" t="str">
        <f t="shared" ref="B7:B13" si="2">IF(A7=0,"","经营性")</f>
        <v>经营性</v>
      </c>
      <c r="C7" s="157" t="s">
        <v>2732</v>
      </c>
      <c r="D7" s="1895">
        <f>SUMIF(项目基本情况!C$15:I$15,C7,项目基本情况!C$18:I$18)</f>
        <v>40</v>
      </c>
      <c r="E7" s="1896">
        <f>IF(B7="","",SUMIF(项目基本情况!C$15:I$15,C7,项目基本情况!C$17:I$17))</f>
        <v>59880</v>
      </c>
      <c r="F7" s="158">
        <f>SUMIF(项目基本情况!C$15:I$15,C7,项目基本情况!C$19:I$19)</f>
        <v>39.07</v>
      </c>
      <c r="G7" s="159">
        <f t="shared" si="0"/>
        <v>0.99199999999999999</v>
      </c>
      <c r="H7" s="2310">
        <v>0.05</v>
      </c>
      <c r="I7" s="2310">
        <v>5.5E-2</v>
      </c>
      <c r="J7" s="160">
        <f>J6</f>
        <v>7.0000000000000007E-2</v>
      </c>
      <c r="K7" s="163">
        <f>SUMIF('数据-汇总表'!C$19:C$33,'数据-取费表'!A7,'数据-汇总表'!E$19:E$33)</f>
        <v>5896.96</v>
      </c>
      <c r="L7" s="2311">
        <v>6000</v>
      </c>
      <c r="M7" s="161">
        <f t="shared" si="1"/>
        <v>3538</v>
      </c>
      <c r="N7" s="2312">
        <f>N6</f>
        <v>0</v>
      </c>
      <c r="O7" s="161">
        <f t="shared" ref="O7:O14" si="3">IF($N$5="成新度","——",ROUND(M7*N7,0))</f>
        <v>0</v>
      </c>
      <c r="P7" s="162">
        <f t="shared" ref="P7:P14" si="4">IF($N$5="成新度","——",M7-O7)</f>
        <v>3538</v>
      </c>
      <c r="Q7" s="2313">
        <v>0.1</v>
      </c>
      <c r="R7" s="163">
        <f>SUMIF('数据-汇总表'!C$19:C$33,A7,'数据-汇总表'!R$19:R$33)</f>
        <v>2094.91</v>
      </c>
      <c r="S7" s="122">
        <f>IF('数据-汇总表'!$I$17="按面积比例",SUMIF('数据-汇总表'!C$19:C$33,A7,'数据-汇总表'!K$19:K$33),SUMIF('数据-汇总表'!C$19:C$33,A7,'数据-汇总表'!N$19:N$33))</f>
        <v>327.06</v>
      </c>
      <c r="T7" s="1827">
        <f t="shared" ref="T7:T13" si="5">IF($T$4="按面积比例",IF(ISERROR(ROUND($M$14*S7/S$16,0)),"0",ROUND($M$14*S7/S$16,0)),"需自行计算录入")</f>
        <v>131</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1"/>
      <c r="AN7" s="1124"/>
      <c r="AO7" s="2609"/>
      <c r="AP7" s="96">
        <f t="shared" ref="AP7:AP13" si="8">ROUND(1-1/(1+H7)^F7,3)</f>
        <v>0.85099999999999998</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c r="A8" s="1889" t="str">
        <f>'数据-汇总表'!C21</f>
        <v>商业</v>
      </c>
      <c r="B8" s="1924" t="str">
        <f t="shared" si="2"/>
        <v>经营性</v>
      </c>
      <c r="C8" s="157" t="s">
        <v>2732</v>
      </c>
      <c r="D8" s="1895">
        <f>SUMIF(项目基本情况!C$15:I$15,C8,项目基本情况!C$18:I$18)</f>
        <v>40</v>
      </c>
      <c r="E8" s="1896">
        <f>IF(B8="","",SUMIF(项目基本情况!C$15:I$15,C8,项目基本情况!C$17:I$17))</f>
        <v>59880</v>
      </c>
      <c r="F8" s="158">
        <f>SUMIF(项目基本情况!C$15:I$15,C8,项目基本情况!C$19:I$19)</f>
        <v>39.07</v>
      </c>
      <c r="G8" s="159">
        <f t="shared" si="0"/>
        <v>0.99199999999999999</v>
      </c>
      <c r="H8" s="2310">
        <v>0.05</v>
      </c>
      <c r="I8" s="2310">
        <v>5.5E-2</v>
      </c>
      <c r="J8" s="160">
        <f>J6</f>
        <v>7.0000000000000007E-2</v>
      </c>
      <c r="K8" s="163">
        <f>SUMIF('数据-汇总表'!C$19:C$33,'数据-取费表'!A8,'数据-汇总表'!E$19:E$33)</f>
        <v>2172.2399999999998</v>
      </c>
      <c r="L8" s="2311">
        <f>L6</f>
        <v>5000</v>
      </c>
      <c r="M8" s="161">
        <f>ROUND(K8*L8/10000,0)</f>
        <v>1086</v>
      </c>
      <c r="N8" s="2312">
        <f>N6</f>
        <v>0</v>
      </c>
      <c r="O8" s="161">
        <f t="shared" si="3"/>
        <v>0</v>
      </c>
      <c r="P8" s="162">
        <f t="shared" si="4"/>
        <v>1086</v>
      </c>
      <c r="Q8" s="2313">
        <v>0.1</v>
      </c>
      <c r="R8" s="163">
        <f>SUMIF('数据-汇总表'!C$19:C$33,A8,'数据-汇总表'!R$19:R$33)</f>
        <v>771.69999999999993</v>
      </c>
      <c r="S8" s="122">
        <f>IF('数据-汇总表'!$I$17="按面积比例",SUMIF('数据-汇总表'!C$19:C$33,A8,'数据-汇总表'!K$19:K$33),SUMIF('数据-汇总表'!C$19:C$33,A8,'数据-汇总表'!N$19:N$33))</f>
        <v>120.48</v>
      </c>
      <c r="T8" s="1827">
        <f t="shared" si="5"/>
        <v>48</v>
      </c>
      <c r="U8" s="164">
        <v>2.5</v>
      </c>
      <c r="V8" s="165">
        <v>0.02</v>
      </c>
      <c r="W8" s="165">
        <v>0.1</v>
      </c>
      <c r="X8" s="1908"/>
      <c r="Y8" s="166">
        <v>1</v>
      </c>
      <c r="Z8" s="167"/>
      <c r="AA8" s="160"/>
      <c r="AB8" s="160"/>
      <c r="AC8" s="1911"/>
      <c r="AD8" s="168"/>
      <c r="AE8" s="886">
        <f t="shared" ca="1" si="6"/>
        <v>37.07</v>
      </c>
      <c r="AF8" s="127"/>
      <c r="AG8" s="1053">
        <f t="shared" si="7"/>
        <v>0</v>
      </c>
      <c r="AH8" s="127"/>
      <c r="AI8" s="171">
        <v>365</v>
      </c>
      <c r="AJ8" s="127"/>
      <c r="AK8" s="172">
        <v>2E-3</v>
      </c>
      <c r="AL8" s="173">
        <v>1E-3</v>
      </c>
      <c r="AM8" s="2321">
        <v>0.01</v>
      </c>
      <c r="AN8" s="1124" t="s">
        <v>4096</v>
      </c>
      <c r="AO8" s="2609"/>
      <c r="AP8" s="96">
        <f t="shared" si="8"/>
        <v>0.85099999999999998</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c r="A9" s="1889" t="str">
        <f>'数据-汇总表'!C22</f>
        <v>车位-平层</v>
      </c>
      <c r="B9" s="1924" t="str">
        <f t="shared" si="2"/>
        <v>经营性</v>
      </c>
      <c r="C9" s="157" t="s">
        <v>2733</v>
      </c>
      <c r="D9" s="1895">
        <f>SUMIF(项目基本情况!C$15:I$15,C9,项目基本情况!C$18:I$18)</f>
        <v>50</v>
      </c>
      <c r="E9" s="1896">
        <f>IF(B9="","",SUMIF(项目基本情况!C$15:I$15,C9,项目基本情况!C$17:I$17))</f>
        <v>63533</v>
      </c>
      <c r="F9" s="158">
        <f>SUMIF(项目基本情况!C$15:I$15,C9,项目基本情况!C$19:I$19)</f>
        <v>49.08</v>
      </c>
      <c r="G9" s="159">
        <f t="shared" si="0"/>
        <v>0.995</v>
      </c>
      <c r="H9" s="160">
        <v>4.4999999999999998E-2</v>
      </c>
      <c r="I9" s="160">
        <v>0.05</v>
      </c>
      <c r="J9" s="160">
        <f>J6</f>
        <v>7.0000000000000007E-2</v>
      </c>
      <c r="K9" s="163">
        <f>SUMIF('数据-汇总表'!C$19:C$33,'数据-取费表'!A9,'数据-汇总表'!E$19:E$33)</f>
        <v>6827.6900000000005</v>
      </c>
      <c r="L9" s="2311">
        <v>4500</v>
      </c>
      <c r="M9" s="161">
        <f t="shared" si="1"/>
        <v>3072</v>
      </c>
      <c r="N9" s="2312">
        <f>N6</f>
        <v>0</v>
      </c>
      <c r="O9" s="161">
        <f t="shared" si="3"/>
        <v>0</v>
      </c>
      <c r="P9" s="162">
        <f t="shared" si="4"/>
        <v>3072</v>
      </c>
      <c r="Q9" s="175">
        <v>0.05</v>
      </c>
      <c r="R9" s="163">
        <f>SUMIF('数据-汇总表'!C$19:C$33,A9,'数据-汇总表'!R$19:R$33)</f>
        <v>2425.56</v>
      </c>
      <c r="S9" s="122">
        <f>IF('数据-汇总表'!$I$17="按面积比例",SUMIF('数据-汇总表'!C$19:C$33,A9,'数据-汇总表'!K$19:K$33),SUMIF('数据-汇总表'!C$19:C$33,A9,'数据-汇总表'!N$19:N$33))</f>
        <v>378.68</v>
      </c>
      <c r="T9" s="1827">
        <f t="shared" si="5"/>
        <v>151</v>
      </c>
      <c r="U9" s="164">
        <v>350</v>
      </c>
      <c r="V9" s="165">
        <f>V8</f>
        <v>0.02</v>
      </c>
      <c r="W9" s="165">
        <f>W8</f>
        <v>0.1</v>
      </c>
      <c r="X9" s="1908"/>
      <c r="Y9" s="166">
        <f>Y8</f>
        <v>1</v>
      </c>
      <c r="Z9" s="167"/>
      <c r="AA9" s="160"/>
      <c r="AB9" s="160"/>
      <c r="AC9" s="1911"/>
      <c r="AD9" s="168"/>
      <c r="AE9" s="886">
        <f t="shared" ca="1" si="6"/>
        <v>0</v>
      </c>
      <c r="AF9" s="127"/>
      <c r="AG9" s="1053">
        <f t="shared" si="7"/>
        <v>0</v>
      </c>
      <c r="AH9" s="127">
        <f>AK21</f>
        <v>179</v>
      </c>
      <c r="AI9" s="171">
        <v>12</v>
      </c>
      <c r="AJ9" s="127"/>
      <c r="AK9" s="172"/>
      <c r="AL9" s="173"/>
      <c r="AM9" s="2321"/>
      <c r="AN9" s="1124"/>
      <c r="AO9" s="2609"/>
      <c r="AP9" s="96">
        <f t="shared" si="8"/>
        <v>0.88500000000000001</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c r="A10" s="1889" t="str">
        <f>'数据-汇总表'!C23</f>
        <v>车位-机械</v>
      </c>
      <c r="B10" s="1924" t="str">
        <f t="shared" si="2"/>
        <v>经营性</v>
      </c>
      <c r="C10" s="157" t="s">
        <v>2733</v>
      </c>
      <c r="D10" s="1895">
        <f>SUMIF(项目基本情况!C$15:I$15,C10,项目基本情况!C$18:I$18)</f>
        <v>50</v>
      </c>
      <c r="E10" s="1896">
        <f>IF(B10="","",SUMIF(项目基本情况!C$15:I$15,C10,项目基本情况!C$17:I$17))</f>
        <v>63533</v>
      </c>
      <c r="F10" s="158">
        <f>SUMIF(项目基本情况!C$15:I$15,C10,项目基本情况!C$19:I$19)</f>
        <v>49.08</v>
      </c>
      <c r="G10" s="159">
        <f t="shared" si="0"/>
        <v>0.995</v>
      </c>
      <c r="H10" s="160">
        <f>H9</f>
        <v>4.4999999999999998E-2</v>
      </c>
      <c r="I10" s="160">
        <f>I9</f>
        <v>0.05</v>
      </c>
      <c r="J10" s="160">
        <f>J9</f>
        <v>7.0000000000000007E-2</v>
      </c>
      <c r="K10" s="163">
        <f>SUMIF('数据-汇总表'!C$19:C$33,'数据-取费表'!A10,'数据-汇总表'!E$19:E$33)</f>
        <v>4500.93</v>
      </c>
      <c r="L10" s="2311">
        <v>5000</v>
      </c>
      <c r="M10" s="161">
        <f t="shared" si="1"/>
        <v>2250</v>
      </c>
      <c r="N10" s="2312">
        <f>N9</f>
        <v>0</v>
      </c>
      <c r="O10" s="161">
        <f t="shared" si="3"/>
        <v>0</v>
      </c>
      <c r="P10" s="162">
        <f t="shared" si="4"/>
        <v>2250</v>
      </c>
      <c r="Q10" s="175">
        <v>0.05</v>
      </c>
      <c r="R10" s="163">
        <f>SUMIF('数据-汇总表'!C$19:C$33,A10,'数据-汇总表'!R$19:R$33)</f>
        <v>1598.98</v>
      </c>
      <c r="S10" s="122">
        <f>IF('数据-汇总表'!$I$17="按面积比例",SUMIF('数据-汇总表'!C$19:C$33,A10,'数据-汇总表'!K$19:K$33),SUMIF('数据-汇总表'!C$19:C$33,A10,'数据-汇总表'!N$19:N$33))</f>
        <v>249.64</v>
      </c>
      <c r="T10" s="1827">
        <f t="shared" si="5"/>
        <v>100</v>
      </c>
      <c r="U10" s="164">
        <f>U9*0.8</f>
        <v>280</v>
      </c>
      <c r="V10" s="165">
        <f>V9</f>
        <v>0.02</v>
      </c>
      <c r="W10" s="165">
        <f>W9</f>
        <v>0.1</v>
      </c>
      <c r="X10" s="1908"/>
      <c r="Y10" s="166">
        <f>Y9</f>
        <v>1</v>
      </c>
      <c r="Z10" s="167"/>
      <c r="AA10" s="160"/>
      <c r="AB10" s="160"/>
      <c r="AC10" s="1911"/>
      <c r="AD10" s="168"/>
      <c r="AE10" s="886">
        <f t="shared" ca="1" si="6"/>
        <v>47.08</v>
      </c>
      <c r="AF10" s="127"/>
      <c r="AG10" s="1053">
        <f t="shared" si="7"/>
        <v>0</v>
      </c>
      <c r="AH10" s="127">
        <f>AK20*2</f>
        <v>236</v>
      </c>
      <c r="AI10" s="171">
        <v>12</v>
      </c>
      <c r="AJ10" s="127"/>
      <c r="AK10" s="172">
        <f>AK8</f>
        <v>2E-3</v>
      </c>
      <c r="AL10" s="173">
        <f>AL8</f>
        <v>1E-3</v>
      </c>
      <c r="AM10" s="2321">
        <f>AM8</f>
        <v>0.01</v>
      </c>
      <c r="AN10" s="1124" t="s">
        <v>4094</v>
      </c>
      <c r="AO10" s="2609"/>
      <c r="AP10" s="96">
        <f t="shared" si="8"/>
        <v>0.88500000000000001</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1"/>
      <c r="AN11" s="1124"/>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1"/>
      <c r="AN12" s="1124"/>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1669</v>
      </c>
      <c r="B14" s="1893" t="s">
        <v>1213</v>
      </c>
      <c r="C14" s="1894" t="s">
        <v>1669</v>
      </c>
      <c r="D14" s="1895"/>
      <c r="E14" s="1896"/>
      <c r="F14" s="158"/>
      <c r="G14" s="159"/>
      <c r="H14" s="1897"/>
      <c r="I14" s="1897"/>
      <c r="J14" s="1897"/>
      <c r="K14" s="163">
        <f>SUMIF('数据-汇总表'!C$19:C$33,'数据-取费表'!A14,'数据-汇总表'!E$19:E$33)</f>
        <v>2988</v>
      </c>
      <c r="L14" s="176">
        <v>4000</v>
      </c>
      <c r="M14" s="161">
        <f t="shared" si="1"/>
        <v>1195</v>
      </c>
      <c r="N14" s="177">
        <f>N6</f>
        <v>0</v>
      </c>
      <c r="O14" s="161">
        <f t="shared" si="3"/>
        <v>0</v>
      </c>
      <c r="P14" s="162">
        <f t="shared" si="4"/>
        <v>1195</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1671</v>
      </c>
      <c r="B15" s="1893" t="s">
        <v>1213</v>
      </c>
      <c r="C15" s="1894" t="s">
        <v>1670</v>
      </c>
      <c r="D15" s="1895"/>
      <c r="E15" s="1896"/>
      <c r="F15" s="158"/>
      <c r="G15" s="159"/>
      <c r="H15" s="1897"/>
      <c r="I15" s="1897"/>
      <c r="J15" s="1897"/>
      <c r="K15" s="163">
        <f>SUMIF('数据-汇总表'!C$19:C$33,'数据-取费表'!A15,'数据-汇总表'!E$19:E$33)</f>
        <v>1127.81</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0.996</v>
      </c>
      <c r="H16" s="184">
        <f>ROUND(SUMPRODUCT(H6:H13,K6:K13)/SUMPRODUCT((H6:H13&gt;0)*(K6:K13)),3)</f>
        <v>4.2999999999999997E-2</v>
      </c>
      <c r="I16" s="185"/>
      <c r="J16" s="185"/>
      <c r="K16" s="186">
        <f>SUM(K6:K15)</f>
        <v>57989.509999999995</v>
      </c>
      <c r="L16" s="187">
        <f>ROUND(M16*10000/SUM(K6:K14),0)</f>
        <v>4991</v>
      </c>
      <c r="M16" s="187">
        <f>SUM(M6:M14)</f>
        <v>28379</v>
      </c>
      <c r="N16" s="188">
        <f>ROUND(SUMPRODUCT(M6:M14,N6:N14)/M16,3)</f>
        <v>0</v>
      </c>
      <c r="O16" s="187">
        <f>SUM(O6:O14)</f>
        <v>0</v>
      </c>
      <c r="P16" s="187">
        <f>SUM(P6:P14)</f>
        <v>28379</v>
      </c>
      <c r="Q16" s="189">
        <f>ROUND(SUMPRODUCT(Q6:Q13,K6:K13)/SUMPRODUCT((Q6:Q13&gt;0)*(K6:K13)),2)</f>
        <v>0.12</v>
      </c>
      <c r="R16" s="1898">
        <f>SUM(R6:R13)</f>
        <v>19518.440000000002</v>
      </c>
      <c r="S16" s="190">
        <f>SUM(S6:S13)</f>
        <v>2988</v>
      </c>
      <c r="T16" s="191">
        <f>IF(SUMIF(T6:T13,"&lt;9E307")=M14,SUMIF(T6:T13,"&lt;9E307"),"有误，请检查")</f>
        <v>1195</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0.91100000000000003</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2267</v>
      </c>
      <c r="D19" s="2618"/>
      <c r="E19" s="2609"/>
      <c r="F19" s="2609"/>
      <c r="G19" s="2609"/>
      <c r="H19" s="2609"/>
      <c r="I19" s="2609"/>
      <c r="J19" s="2609"/>
      <c r="K19" s="2617"/>
      <c r="L19" s="2617"/>
      <c r="M19" s="2615"/>
      <c r="N19" s="2615"/>
      <c r="O19" s="2615"/>
      <c r="P19" s="2615"/>
      <c r="Q19" s="2615"/>
      <c r="R19" s="2615"/>
      <c r="S19" s="2615"/>
      <c r="T19" s="2615"/>
      <c r="U19" s="2615" t="s">
        <v>4117</v>
      </c>
      <c r="V19" s="2615">
        <v>3</v>
      </c>
      <c r="W19" s="2615"/>
      <c r="X19" s="2615"/>
      <c r="Y19" s="2615"/>
      <c r="Z19" s="2615"/>
      <c r="AA19" s="2615"/>
      <c r="AB19" s="2615"/>
      <c r="AC19" s="2615"/>
      <c r="AD19" s="2615"/>
      <c r="AE19" s="2615"/>
      <c r="AF19" s="2615"/>
      <c r="AG19" s="3412" t="s">
        <v>4083</v>
      </c>
      <c r="AH19" s="2615">
        <f>指标!B20</f>
        <v>465</v>
      </c>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v>
      </c>
      <c r="C20" s="2628" t="s">
        <v>1690</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f>'数据-基础表'!O13</f>
        <v>11328.62</v>
      </c>
      <c r="AG20" s="3412" t="s">
        <v>4084</v>
      </c>
      <c r="AH20" s="2615">
        <f>ROUNDDOWN(AH19*AF20/AF22,0)</f>
        <v>297</v>
      </c>
      <c r="AI20" s="2615">
        <f>ROUND(AK20/AH20*AF20,2)</f>
        <v>4500.93</v>
      </c>
      <c r="AJ20" s="3412" t="s">
        <v>4086</v>
      </c>
      <c r="AK20" s="2615">
        <f>指标!B24</f>
        <v>118</v>
      </c>
      <c r="AL20" s="2615" t="s">
        <v>4088</v>
      </c>
      <c r="AM20" s="2615">
        <f>AK20*2</f>
        <v>236</v>
      </c>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t="s">
        <v>4118</v>
      </c>
      <c r="V21" s="2615">
        <f>V19*0.85</f>
        <v>2.5499999999999998</v>
      </c>
      <c r="W21" s="2615"/>
      <c r="X21" s="2615"/>
      <c r="Y21" s="2615"/>
      <c r="Z21" s="2615"/>
      <c r="AA21" s="2615"/>
      <c r="AB21" s="2615"/>
      <c r="AC21" s="2615"/>
      <c r="AD21" s="2615"/>
      <c r="AE21" s="2615"/>
      <c r="AF21" s="2615">
        <f>指标!B29</f>
        <v>6372.1</v>
      </c>
      <c r="AG21" s="3412" t="s">
        <v>4085</v>
      </c>
      <c r="AH21" s="2615">
        <f>AH19-AH20</f>
        <v>168</v>
      </c>
      <c r="AI21" s="2615">
        <f>AF20-AI20</f>
        <v>6827.6900000000005</v>
      </c>
      <c r="AJ21" s="3412" t="s">
        <v>4087</v>
      </c>
      <c r="AK21" s="2615">
        <f>AH20-AK20</f>
        <v>179</v>
      </c>
      <c r="AL21" s="2615"/>
      <c r="AM21" s="2615">
        <f>AK21+AM20</f>
        <v>415</v>
      </c>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t="s">
        <v>3336</v>
      </c>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f>AF21+AF20</f>
        <v>17700.72</v>
      </c>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t="s">
        <v>2203</v>
      </c>
      <c r="L23" s="2617" t="s">
        <v>3337</v>
      </c>
      <c r="M23" s="2615" t="s">
        <v>3338</v>
      </c>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t="s">
        <v>3339</v>
      </c>
      <c r="K24" s="2617">
        <f>K25</f>
        <v>57989.509999999995</v>
      </c>
      <c r="L24" s="2617">
        <v>5719</v>
      </c>
      <c r="M24" s="2615">
        <f>M25+M28+M30+M31</f>
        <v>33864.416665999997</v>
      </c>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7"/>
      <c r="B25" s="96"/>
      <c r="C25" s="2609"/>
      <c r="D25" s="2618"/>
      <c r="E25" s="2609"/>
      <c r="F25" s="2609"/>
      <c r="G25" s="2609"/>
      <c r="H25" s="2609"/>
      <c r="I25" s="2609"/>
      <c r="J25" s="2609" t="s">
        <v>3340</v>
      </c>
      <c r="K25" s="2617">
        <f>K26+K27</f>
        <v>57989.509999999995</v>
      </c>
      <c r="L25" s="2617">
        <v>2219</v>
      </c>
      <c r="M25" s="2615">
        <f>M26+M27</f>
        <v>9907.2762000000002</v>
      </c>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t="s">
        <v>3317</v>
      </c>
      <c r="K26" s="2617">
        <f>'数据-汇总表'!F31</f>
        <v>43316.919999999991</v>
      </c>
      <c r="L26" s="2617">
        <v>1000</v>
      </c>
      <c r="M26" s="2615">
        <f>K26*L26/10000</f>
        <v>4331.6919999999991</v>
      </c>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1692</v>
      </c>
      <c r="B27" s="208">
        <v>160</v>
      </c>
      <c r="C27" s="2629" t="s">
        <v>2268</v>
      </c>
      <c r="D27" s="2621"/>
      <c r="E27" s="2622"/>
      <c r="F27" s="2622"/>
      <c r="G27" s="2609"/>
      <c r="H27" s="2609"/>
      <c r="I27" s="2609"/>
      <c r="J27" s="2609" t="s">
        <v>3319</v>
      </c>
      <c r="K27" s="2617">
        <f>'数据-汇总表'!G31</f>
        <v>14672.59</v>
      </c>
      <c r="L27" s="2617">
        <v>3800</v>
      </c>
      <c r="M27" s="2615">
        <f>K27*L27/10000</f>
        <v>5575.5842000000002</v>
      </c>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1693</v>
      </c>
      <c r="B28" s="210">
        <v>200</v>
      </c>
      <c r="C28" s="2623"/>
      <c r="D28" s="2621"/>
      <c r="E28" s="2622"/>
      <c r="F28" s="2622"/>
      <c r="G28" s="2609"/>
      <c r="H28" s="2609"/>
      <c r="I28" s="2609"/>
      <c r="J28" s="2609" t="s">
        <v>3341</v>
      </c>
      <c r="K28" s="2617">
        <f>K25</f>
        <v>57989.509999999995</v>
      </c>
      <c r="L28" s="2617">
        <v>2000</v>
      </c>
      <c r="M28" s="2615">
        <f>K28*L28/10000</f>
        <v>11597.901999999998</v>
      </c>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1691</v>
      </c>
      <c r="B29" s="213"/>
      <c r="C29" s="2630" t="s">
        <v>1694</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2">
        <v>200</v>
      </c>
      <c r="C30" s="2623"/>
      <c r="D30" s="2621"/>
      <c r="E30" s="2622"/>
      <c r="F30" s="2622"/>
      <c r="G30" s="2609"/>
      <c r="H30" s="2609"/>
      <c r="I30" s="2609"/>
      <c r="J30" s="2609" t="s">
        <v>3312</v>
      </c>
      <c r="K30" s="2617">
        <f>K25</f>
        <v>57989.509999999995</v>
      </c>
      <c r="L30" s="2617">
        <v>1500</v>
      </c>
      <c r="M30" s="2615">
        <f>K30*L30/10000</f>
        <v>8698.4264999999978</v>
      </c>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50</v>
      </c>
      <c r="C31" s="2620"/>
      <c r="D31" s="2621"/>
      <c r="E31" s="2622"/>
      <c r="F31" s="2622"/>
      <c r="G31" s="2609"/>
      <c r="H31" s="2609"/>
      <c r="I31" s="2609"/>
      <c r="J31" s="2609" t="s">
        <v>3310</v>
      </c>
      <c r="K31" s="2617">
        <f>'数据-基础表'!AT5</f>
        <v>6401.14</v>
      </c>
      <c r="L31" s="2617">
        <f>L24</f>
        <v>5719</v>
      </c>
      <c r="M31" s="2615">
        <f>K31*L31/10000</f>
        <v>3660.8119660000002</v>
      </c>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150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0.05</v>
      </c>
      <c r="C33" s="2631" t="s">
        <v>3254</v>
      </c>
      <c r="D33" s="2621"/>
      <c r="E33" s="2622"/>
      <c r="F33" s="2622"/>
      <c r="G33" s="2609"/>
      <c r="H33" s="2609"/>
      <c r="I33" s="2609"/>
      <c r="J33" s="2609" t="s">
        <v>3342</v>
      </c>
      <c r="K33" s="2617">
        <f>K25</f>
        <v>57989.509999999995</v>
      </c>
      <c r="L33" s="2617">
        <f>M33*10000/K33</f>
        <v>6471.0373707244644</v>
      </c>
      <c r="M33" s="2615">
        <f>M31+M24</f>
        <v>37525.228631999998</v>
      </c>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2258</v>
      </c>
      <c r="D34" s="2632" t="s">
        <v>2264</v>
      </c>
      <c r="E34" s="2615"/>
      <c r="F34" s="2609"/>
      <c r="G34" s="2609">
        <f ca="1">'剩余法-待开发'!C15</f>
        <v>862</v>
      </c>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f>B30</f>
        <v>200</v>
      </c>
      <c r="C35" s="2631" t="s">
        <v>2259</v>
      </c>
      <c r="D35" s="2618"/>
      <c r="E35" s="2609"/>
      <c r="F35" s="2609"/>
      <c r="G35" s="3416">
        <f>'数据-汇总表'!E29*'数据-取费表'!L14/10000</f>
        <v>451.12400000000002</v>
      </c>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3255</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2260</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0.03</v>
      </c>
      <c r="C38" s="2631" t="s">
        <v>2260</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1799</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2282</v>
      </c>
      <c r="B40" s="1991">
        <f ca="1">IF(A40="利息：取LPR",存贷款利率!E2,存贷款利率!E2+C40)</f>
        <v>3.1E-2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3"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3"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2265</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2261</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2262</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2269</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2261</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2263</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2164</v>
      </c>
      <c r="D53" s="2635" t="s">
        <v>2266</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2165</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2166</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2167</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2168</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2169</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2170</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2171</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2172</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2173</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2174</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6:T15">
    <cfRule type="expression" dxfId="170" priority="1" stopIfTrue="1">
      <formula>$T$4="按面积比例"</formula>
    </cfRule>
    <cfRule type="containsText" dxfId="169" priority="12" stopIfTrue="1" operator="containsText" text="自行计算">
      <formula>NOT(ISERROR(SEARCH("自行计算",T6)))</formula>
    </cfRule>
    <cfRule type="containsText" dxfId="168" priority="13" stopIfTrue="1" operator="containsText" text="自行计算">
      <formula>NOT(ISERROR(SEARCH("自行计算",T6)))</formula>
    </cfRule>
  </conditionalFormatting>
  <conditionalFormatting sqref="T12:T13">
    <cfRule type="containsText" dxfId="167" priority="2" stopIfTrue="1" operator="containsText" text="自行计算">
      <formula>NOT(ISERROR(SEARCH("自行计算",T12)))</formula>
    </cfRule>
    <cfRule type="containsText" dxfId="166" priority="3" stopIfTrue="1" operator="containsText" text="自行计算">
      <formula>NOT(ISERROR(SEARCH("自行计算",T12)))</formula>
    </cfRule>
    <cfRule type="containsText" dxfId="165" priority="4" stopIfTrue="1" operator="containsText" text="自行计算">
      <formula>NOT(ISERROR(SEARCH("自行计算",T12)))</formula>
    </cfRule>
    <cfRule type="containsText" dxfId="164"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36" sqref="F36"/>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514" t="s">
        <v>1198</v>
      </c>
      <c r="B1" s="3515"/>
      <c r="C1" s="3515"/>
      <c r="D1" s="3515"/>
      <c r="E1" s="3515"/>
      <c r="F1" s="3515"/>
      <c r="G1" s="3515"/>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1" t="s">
        <v>4032</v>
      </c>
      <c r="D3" s="2647"/>
      <c r="E3" s="2648" t="s">
        <v>1201</v>
      </c>
      <c r="F3" s="2649" t="s">
        <v>1189</v>
      </c>
      <c r="G3" s="2650" t="s">
        <v>2179</v>
      </c>
      <c r="H3" s="2644"/>
      <c r="I3" s="2644"/>
      <c r="J3" s="2644"/>
      <c r="K3" s="2644"/>
      <c r="L3" s="2644"/>
      <c r="M3" s="2644"/>
      <c r="N3" s="2644"/>
      <c r="O3" s="2644"/>
      <c r="P3" s="2644"/>
      <c r="Q3" s="2644"/>
    </row>
    <row r="4" spans="1:18" ht="40.5">
      <c r="A4" s="2648"/>
      <c r="B4" s="2651" t="s">
        <v>1202</v>
      </c>
      <c r="C4" s="3392" t="s">
        <v>3345</v>
      </c>
      <c r="D4" s="2647"/>
      <c r="E4" s="2652"/>
      <c r="F4" s="2653" t="s">
        <v>1203</v>
      </c>
      <c r="G4" s="2654" t="s">
        <v>2176</v>
      </c>
      <c r="H4" s="2644"/>
      <c r="I4" s="2644"/>
      <c r="J4" s="2644"/>
      <c r="K4" s="2644"/>
      <c r="L4" s="2644"/>
      <c r="M4" s="2644"/>
      <c r="N4" s="2644"/>
      <c r="O4" s="2644"/>
      <c r="P4" s="2644"/>
      <c r="Q4" s="2644"/>
    </row>
    <row r="5" spans="1:18" ht="27">
      <c r="A5" s="2648"/>
      <c r="B5" s="2651" t="s">
        <v>1204</v>
      </c>
      <c r="C5" s="3392" t="s">
        <v>3345</v>
      </c>
      <c r="D5" s="2647"/>
      <c r="E5" s="2652"/>
      <c r="F5" s="2651" t="s">
        <v>1827</v>
      </c>
      <c r="G5" s="2654" t="s">
        <v>2177</v>
      </c>
      <c r="H5" s="2644"/>
      <c r="I5" s="2644"/>
      <c r="J5" s="2644"/>
      <c r="K5" s="2644"/>
      <c r="L5" s="2644"/>
      <c r="M5" s="2644"/>
      <c r="N5" s="2644"/>
      <c r="O5" s="2644"/>
      <c r="P5" s="2644"/>
      <c r="Q5" s="2644"/>
    </row>
    <row r="6" spans="1:18">
      <c r="A6" s="2648"/>
      <c r="B6" s="2651" t="s">
        <v>1190</v>
      </c>
      <c r="C6" s="3392" t="s">
        <v>3345</v>
      </c>
      <c r="D6" s="2647"/>
      <c r="E6" s="2652"/>
      <c r="F6" s="2651" t="s">
        <v>1828</v>
      </c>
      <c r="G6" s="2654" t="s">
        <v>2175</v>
      </c>
      <c r="H6" s="2644"/>
      <c r="I6" s="2644"/>
      <c r="J6" s="2644"/>
      <c r="K6" s="2644"/>
      <c r="L6" s="2644"/>
      <c r="M6" s="2644"/>
      <c r="N6" s="2644"/>
      <c r="O6" s="2644"/>
      <c r="P6" s="2644"/>
      <c r="Q6" s="2644"/>
    </row>
    <row r="7" spans="1:18" ht="27.75" thickBot="1">
      <c r="A7" s="2648"/>
      <c r="B7" s="2651" t="s">
        <v>1827</v>
      </c>
      <c r="C7" s="3393" t="s">
        <v>3345</v>
      </c>
      <c r="D7" s="2655"/>
      <c r="E7" s="2656"/>
      <c r="F7" s="2657" t="s">
        <v>1205</v>
      </c>
      <c r="G7" s="2658" t="s">
        <v>2178</v>
      </c>
      <c r="H7" s="2644"/>
      <c r="I7" s="2644"/>
      <c r="J7" s="2644"/>
      <c r="K7" s="2644"/>
      <c r="L7" s="2644"/>
      <c r="M7" s="2644"/>
      <c r="N7" s="2644"/>
      <c r="O7" s="2644"/>
      <c r="P7" s="2644"/>
      <c r="Q7" s="2644"/>
    </row>
    <row r="8" spans="1:18">
      <c r="A8" s="2648"/>
      <c r="B8" s="2651" t="s">
        <v>1828</v>
      </c>
      <c r="C8" s="3393" t="s">
        <v>3347</v>
      </c>
      <c r="D8" s="2655"/>
      <c r="E8" s="2655"/>
      <c r="F8" s="2659"/>
      <c r="G8" s="2659"/>
      <c r="H8" s="2644"/>
      <c r="I8" s="2644"/>
      <c r="J8" s="2644"/>
      <c r="K8" s="2644"/>
      <c r="L8" s="2644"/>
      <c r="M8" s="2644"/>
      <c r="N8" s="2644"/>
      <c r="O8" s="2644"/>
      <c r="P8" s="2644"/>
      <c r="Q8" s="2644"/>
    </row>
    <row r="9" spans="1:18">
      <c r="A9" s="2648"/>
      <c r="B9" s="2651" t="s">
        <v>1191</v>
      </c>
      <c r="C9" s="3393" t="s">
        <v>3345</v>
      </c>
      <c r="D9" s="2647"/>
      <c r="E9" s="2655"/>
      <c r="F9" s="2659"/>
      <c r="G9" s="2659"/>
      <c r="H9" s="2644"/>
      <c r="I9" s="2644"/>
      <c r="J9" s="2644"/>
      <c r="K9" s="2644"/>
      <c r="L9" s="2644"/>
      <c r="M9" s="2644"/>
      <c r="N9" s="2644"/>
      <c r="O9" s="2644"/>
      <c r="P9" s="2644"/>
      <c r="Q9" s="2644"/>
    </row>
    <row r="10" spans="1:18" ht="15" thickBot="1">
      <c r="A10" s="2660"/>
      <c r="B10" s="2661" t="s">
        <v>1206</v>
      </c>
      <c r="C10" s="2662"/>
      <c r="D10" s="2647"/>
      <c r="E10" s="2647"/>
      <c r="F10" s="2659"/>
      <c r="G10" s="2659"/>
      <c r="J10" s="2664"/>
      <c r="M10" s="2664"/>
      <c r="P10" s="2664"/>
      <c r="R10" s="2663"/>
    </row>
    <row r="11" spans="1:18">
      <c r="A11" s="2665"/>
      <c r="B11" s="2655"/>
      <c r="C11" s="2647"/>
      <c r="D11" s="2647"/>
      <c r="E11" s="2647"/>
      <c r="F11" s="2655"/>
      <c r="G11" s="2655"/>
      <c r="J11" s="2664"/>
      <c r="M11" s="2664"/>
      <c r="P11" s="2664"/>
      <c r="R11" s="2663"/>
    </row>
    <row r="12" spans="1:18" s="2638" customFormat="1" ht="18.75">
      <c r="A12" s="2665"/>
      <c r="B12" s="2655"/>
      <c r="C12" s="2647"/>
      <c r="D12" s="2666"/>
      <c r="E12" s="2647"/>
      <c r="F12" s="2655"/>
      <c r="G12" s="2655"/>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较差</v>
      </c>
      <c r="D15" s="2647"/>
      <c r="E15" s="2677" t="s">
        <v>1193</v>
      </c>
      <c r="F15" s="2675" t="s">
        <v>1208</v>
      </c>
      <c r="G15" s="2678" t="str">
        <f>G3</f>
        <v>估价对象位于XX开发区，园区建设成熟度XX，产业集聚程度XX</v>
      </c>
    </row>
    <row r="16" spans="1:18" ht="40.5">
      <c r="A16" s="2679"/>
      <c r="B16" s="2680" t="s">
        <v>1202</v>
      </c>
      <c r="C16" s="2681" t="str">
        <f>C4</f>
        <v>较差</v>
      </c>
      <c r="D16" s="2647"/>
      <c r="E16" s="2682"/>
      <c r="F16" s="2683" t="s">
        <v>1203</v>
      </c>
      <c r="G16" s="2684" t="str">
        <f>G4</f>
        <v>估价对象周边道路状况、公共交通通达情况、停车便捷程度，综合评价交通便捷度较好</v>
      </c>
    </row>
    <row r="17" spans="1:7" ht="14.25">
      <c r="A17" s="2679"/>
      <c r="B17" s="2680" t="s">
        <v>1204</v>
      </c>
      <c r="C17" s="2681" t="str">
        <f>C5</f>
        <v>较差</v>
      </c>
      <c r="D17" s="2655"/>
      <c r="E17" s="2682"/>
      <c r="F17" s="2683" t="s">
        <v>1209</v>
      </c>
      <c r="G17" s="2685"/>
    </row>
    <row r="18" spans="1:7" ht="27">
      <c r="A18" s="2679"/>
      <c r="B18" s="2683" t="s">
        <v>1190</v>
      </c>
      <c r="C18" s="2684" t="str">
        <f>C6</f>
        <v>较差</v>
      </c>
      <c r="D18" s="2655"/>
      <c r="E18" s="2682"/>
      <c r="F18" s="2683" t="s">
        <v>1205</v>
      </c>
      <c r="G18" s="2684" t="str">
        <f>G7</f>
        <v>该园区内是否有污染型企业，绿化情况，卫生条件，整体环境状况判断</v>
      </c>
    </row>
    <row r="19" spans="1:7" ht="27">
      <c r="A19" s="2679"/>
      <c r="B19" s="2683" t="s">
        <v>1194</v>
      </c>
      <c r="C19" s="2685"/>
      <c r="D19" s="2647"/>
      <c r="E19" s="2682"/>
      <c r="F19" s="2651" t="s">
        <v>1827</v>
      </c>
      <c r="G19" s="2684" t="str">
        <f>G5</f>
        <v>估价对象所在区域公共配套设施齐备情况</v>
      </c>
    </row>
    <row r="20" spans="1:7">
      <c r="A20" s="2679"/>
      <c r="B20" s="2683" t="s">
        <v>1195</v>
      </c>
      <c r="C20" s="2681" t="str">
        <f>C9</f>
        <v>较差</v>
      </c>
      <c r="D20" s="2655"/>
      <c r="E20" s="2682"/>
      <c r="F20" s="2651" t="s">
        <v>1828</v>
      </c>
      <c r="G20" s="2684" t="str">
        <f>G6</f>
        <v>估价对象所在区域基础设施水平</v>
      </c>
    </row>
    <row r="21" spans="1:7" ht="14.25">
      <c r="A21" s="2679"/>
      <c r="B21" s="2651" t="s">
        <v>1827</v>
      </c>
      <c r="C21" s="2684" t="str">
        <f>C7</f>
        <v>较差</v>
      </c>
      <c r="D21" s="2647"/>
      <c r="E21" s="2682"/>
      <c r="F21" s="2683" t="s">
        <v>1196</v>
      </c>
      <c r="G21" s="2686"/>
    </row>
    <row r="22" spans="1:7" ht="14.25">
      <c r="A22" s="2679"/>
      <c r="B22" s="2651" t="s">
        <v>1828</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f>C10</f>
        <v>0</v>
      </c>
      <c r="E24" s="2655"/>
      <c r="F24" s="2655"/>
      <c r="G24" s="2655"/>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3" customWidth="1"/>
    <col min="2" max="16384" width="14.625" style="2693"/>
  </cols>
  <sheetData>
    <row r="1" spans="1:10" ht="16.5">
      <c r="A1" s="2692" t="s">
        <v>2116</v>
      </c>
      <c r="B1" s="2692">
        <f>SUM(B14:B23)</f>
        <v>57989.509999999995</v>
      </c>
      <c r="C1" s="2700"/>
      <c r="D1" s="2700"/>
      <c r="E1" s="2700"/>
      <c r="F1" s="2700"/>
      <c r="G1" s="2701"/>
      <c r="H1" s="2701"/>
      <c r="I1" s="2701"/>
      <c r="J1" s="2701"/>
    </row>
    <row r="2" spans="1:10" ht="16.5">
      <c r="A2" s="2692" t="s">
        <v>2117</v>
      </c>
      <c r="B2" s="2692">
        <f>SUM(C14:C23)</f>
        <v>19518.45</v>
      </c>
      <c r="C2" s="2700"/>
      <c r="D2" s="2700"/>
      <c r="E2" s="2700"/>
      <c r="F2" s="2700"/>
      <c r="G2" s="2701"/>
      <c r="H2" s="2701"/>
      <c r="I2" s="2701"/>
      <c r="J2" s="2701"/>
    </row>
    <row r="3" spans="1:10" ht="16.5">
      <c r="A3" s="2692" t="s">
        <v>2118</v>
      </c>
      <c r="B3" s="2694">
        <f>项目基本情况!D3</f>
        <v>45617</v>
      </c>
      <c r="C3" s="2700"/>
      <c r="D3" s="2700"/>
      <c r="E3" s="2700"/>
      <c r="F3" s="2700"/>
      <c r="G3" s="2701"/>
      <c r="H3" s="2701"/>
      <c r="I3" s="2701"/>
      <c r="J3" s="2701"/>
    </row>
    <row r="4" spans="1:10" ht="33">
      <c r="A4" s="2692" t="s">
        <v>2119</v>
      </c>
      <c r="B4" s="2692" t="s">
        <v>2120</v>
      </c>
      <c r="C4" s="2692" t="s">
        <v>2121</v>
      </c>
      <c r="D4" s="2692" t="s">
        <v>2122</v>
      </c>
      <c r="E4" s="2700"/>
      <c r="F4" s="2700"/>
      <c r="G4" s="2701"/>
      <c r="H4" s="2701"/>
      <c r="I4" s="2701"/>
      <c r="J4" s="2701"/>
    </row>
    <row r="5" spans="1:10" ht="16.5">
      <c r="A5" s="2692" t="s">
        <v>2123</v>
      </c>
      <c r="B5" s="2692">
        <f ca="1">SUM(D14:D23)</f>
        <v>51961</v>
      </c>
      <c r="C5" s="2692">
        <f ca="1">ROUND(B5*10000/$B$1,0)</f>
        <v>8960</v>
      </c>
      <c r="D5" s="2692">
        <f ca="1">ROUND(B5*10000/$B$2,0)</f>
        <v>26621</v>
      </c>
      <c r="E5" s="2700"/>
      <c r="F5" s="2700"/>
      <c r="G5" s="2701"/>
      <c r="H5" s="2701"/>
      <c r="I5" s="2701"/>
      <c r="J5" s="2701"/>
    </row>
    <row r="6" spans="1:10" ht="16.5">
      <c r="A6" s="2692" t="s">
        <v>2124</v>
      </c>
      <c r="B6" s="2692">
        <f ca="1">SUM(G14:G23)</f>
        <v>51961</v>
      </c>
      <c r="C6" s="2692">
        <f ca="1">ROUND(B6*10000/$B$1,0)</f>
        <v>8960</v>
      </c>
      <c r="D6" s="2692">
        <f ca="1">ROUND(B6*10000/$B$2,0)</f>
        <v>26621</v>
      </c>
      <c r="E6" s="2700"/>
      <c r="F6" s="2700"/>
      <c r="G6" s="2701"/>
      <c r="H6" s="2701"/>
      <c r="I6" s="2701"/>
      <c r="J6" s="2701"/>
    </row>
    <row r="7" spans="1:10" ht="16.5">
      <c r="A7" s="2692" t="s">
        <v>2125</v>
      </c>
      <c r="B7" s="2692">
        <f>SUM(H14:H23)</f>
        <v>0</v>
      </c>
      <c r="C7" s="2692">
        <f>ROUND(B7*10000/$B$1,0)</f>
        <v>0</v>
      </c>
      <c r="D7" s="2692">
        <f>ROUND(B7*10000/$B$2,0)</f>
        <v>0</v>
      </c>
      <c r="E7" s="2700"/>
      <c r="F7" s="2700"/>
      <c r="G7" s="2701"/>
      <c r="H7" s="2701"/>
      <c r="I7" s="2701"/>
      <c r="J7" s="2701"/>
    </row>
    <row r="8" spans="1:10" ht="16.5">
      <c r="A8" s="2692" t="s">
        <v>2126</v>
      </c>
      <c r="B8" s="2692">
        <f>SUM(I14:I23)</f>
        <v>0</v>
      </c>
      <c r="C8" s="2692">
        <f>ROUND(B8*10000/$B$1,0)</f>
        <v>0</v>
      </c>
      <c r="D8" s="2692">
        <f>ROUND(B8*10000/$B$2,0)</f>
        <v>0</v>
      </c>
      <c r="E8" s="2700"/>
      <c r="F8" s="2700"/>
      <c r="G8" s="2701"/>
      <c r="H8" s="2701"/>
      <c r="I8" s="2701"/>
      <c r="J8" s="2701"/>
    </row>
    <row r="9" spans="1:10" ht="16.5">
      <c r="A9" s="2692" t="s">
        <v>2127</v>
      </c>
      <c r="B9" s="2325"/>
      <c r="C9" s="2700"/>
      <c r="D9" s="2700"/>
      <c r="E9" s="2700"/>
      <c r="F9" s="2700"/>
      <c r="G9" s="2701"/>
      <c r="H9" s="2701"/>
      <c r="I9" s="2701"/>
      <c r="J9" s="2701"/>
    </row>
    <row r="10" spans="1:10" ht="16.5">
      <c r="A10" s="2692" t="s">
        <v>2128</v>
      </c>
      <c r="B10" s="2325"/>
      <c r="C10" s="2700"/>
      <c r="D10" s="2700"/>
      <c r="E10" s="2700"/>
      <c r="F10" s="2700"/>
      <c r="G10" s="2701"/>
      <c r="H10" s="2701"/>
      <c r="I10" s="2701"/>
      <c r="J10" s="2701"/>
    </row>
    <row r="11" spans="1:10" ht="16.5">
      <c r="A11" s="2692" t="s">
        <v>2145</v>
      </c>
      <c r="B11" s="2325"/>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2144</v>
      </c>
      <c r="B13" s="2696" t="s">
        <v>2116</v>
      </c>
      <c r="C13" s="2696" t="s">
        <v>2117</v>
      </c>
      <c r="D13" s="2696" t="s">
        <v>2129</v>
      </c>
      <c r="E13" s="2692" t="s">
        <v>2143</v>
      </c>
      <c r="F13" s="2692" t="s">
        <v>2122</v>
      </c>
      <c r="G13" s="2696" t="s">
        <v>2130</v>
      </c>
      <c r="H13" s="2696" t="s">
        <v>2131</v>
      </c>
      <c r="I13" s="2696" t="s">
        <v>2132</v>
      </c>
      <c r="J13" s="2701"/>
    </row>
    <row r="14" spans="1:10" ht="16.5">
      <c r="A14" s="2697" t="s">
        <v>2142</v>
      </c>
      <c r="B14" s="2698">
        <f>'数据-汇总表'!E3</f>
        <v>57989.509999999995</v>
      </c>
      <c r="C14" s="2698">
        <f>'数据-汇总表'!D3</f>
        <v>19518.45</v>
      </c>
      <c r="D14" s="2698">
        <f ca="1">结果表!G19</f>
        <v>51961</v>
      </c>
      <c r="E14" s="2698">
        <f ca="1">ROUND(D14*10000/B14,0)</f>
        <v>8960</v>
      </c>
      <c r="F14" s="2698">
        <f ca="1">ROUND(D14*10000/C14,0)</f>
        <v>26621</v>
      </c>
      <c r="G14" s="2698">
        <f ca="1">D14</f>
        <v>51961</v>
      </c>
      <c r="H14" s="2698"/>
      <c r="I14" s="2698"/>
      <c r="J14" s="2701"/>
    </row>
    <row r="15" spans="1:10" ht="16.5">
      <c r="A15" s="2697" t="s">
        <v>2133</v>
      </c>
      <c r="B15" s="2699"/>
      <c r="C15" s="2699"/>
      <c r="D15" s="2699"/>
      <c r="E15" s="2698" t="e">
        <f t="shared" ref="E15:E23" si="0">ROUND(D15*10000/B15,0)</f>
        <v>#DIV/0!</v>
      </c>
      <c r="F15" s="2698" t="e">
        <f t="shared" ref="F15:F23" si="1">ROUND(D15*10000/C15,0)</f>
        <v>#DIV/0!</v>
      </c>
      <c r="G15" s="2325"/>
      <c r="H15" s="2325"/>
      <c r="I15" s="2699"/>
      <c r="J15" s="2701"/>
    </row>
    <row r="16" spans="1:10" ht="16.5">
      <c r="A16" s="2697" t="s">
        <v>2134</v>
      </c>
      <c r="B16" s="2699"/>
      <c r="C16" s="2699"/>
      <c r="D16" s="2699"/>
      <c r="E16" s="2698" t="e">
        <f t="shared" si="0"/>
        <v>#DIV/0!</v>
      </c>
      <c r="F16" s="2698" t="e">
        <f t="shared" si="1"/>
        <v>#DIV/0!</v>
      </c>
      <c r="G16" s="2325"/>
      <c r="H16" s="2325"/>
      <c r="I16" s="2699"/>
      <c r="J16" s="2701"/>
    </row>
    <row r="17" spans="1:10" ht="16.5">
      <c r="A17" s="2697" t="s">
        <v>2135</v>
      </c>
      <c r="B17" s="2699"/>
      <c r="C17" s="2699"/>
      <c r="D17" s="2699"/>
      <c r="E17" s="2698" t="e">
        <f t="shared" si="0"/>
        <v>#DIV/0!</v>
      </c>
      <c r="F17" s="2698" t="e">
        <f t="shared" si="1"/>
        <v>#DIV/0!</v>
      </c>
      <c r="G17" s="2325"/>
      <c r="H17" s="2325"/>
      <c r="I17" s="2699"/>
      <c r="J17" s="2701"/>
    </row>
    <row r="18" spans="1:10" ht="16.5">
      <c r="A18" s="2697" t="s">
        <v>2136</v>
      </c>
      <c r="B18" s="2699"/>
      <c r="C18" s="2699"/>
      <c r="D18" s="2699"/>
      <c r="E18" s="2698" t="e">
        <f t="shared" si="0"/>
        <v>#DIV/0!</v>
      </c>
      <c r="F18" s="2698" t="e">
        <f t="shared" si="1"/>
        <v>#DIV/0!</v>
      </c>
      <c r="G18" s="2699"/>
      <c r="H18" s="2699"/>
      <c r="I18" s="2699"/>
      <c r="J18" s="2701"/>
    </row>
    <row r="19" spans="1:10" ht="16.5">
      <c r="A19" s="2697" t="s">
        <v>2137</v>
      </c>
      <c r="B19" s="2699"/>
      <c r="C19" s="2699"/>
      <c r="D19" s="2699"/>
      <c r="E19" s="2698" t="e">
        <f t="shared" si="0"/>
        <v>#DIV/0!</v>
      </c>
      <c r="F19" s="2698" t="e">
        <f t="shared" si="1"/>
        <v>#DIV/0!</v>
      </c>
      <c r="G19" s="2699"/>
      <c r="H19" s="2699"/>
      <c r="I19" s="2699"/>
      <c r="J19" s="2701"/>
    </row>
    <row r="20" spans="1:10" ht="16.5">
      <c r="A20" s="2697" t="s">
        <v>2138</v>
      </c>
      <c r="B20" s="2699"/>
      <c r="C20" s="2699"/>
      <c r="D20" s="2699"/>
      <c r="E20" s="2698" t="e">
        <f t="shared" si="0"/>
        <v>#DIV/0!</v>
      </c>
      <c r="F20" s="2698" t="e">
        <f t="shared" si="1"/>
        <v>#DIV/0!</v>
      </c>
      <c r="G20" s="2699"/>
      <c r="H20" s="2699"/>
      <c r="I20" s="2699"/>
      <c r="J20" s="2701"/>
    </row>
    <row r="21" spans="1:10" ht="16.5">
      <c r="A21" s="2697" t="s">
        <v>2139</v>
      </c>
      <c r="B21" s="2699"/>
      <c r="C21" s="2699"/>
      <c r="D21" s="2699"/>
      <c r="E21" s="2698" t="e">
        <f t="shared" si="0"/>
        <v>#DIV/0!</v>
      </c>
      <c r="F21" s="2698" t="e">
        <f t="shared" si="1"/>
        <v>#DIV/0!</v>
      </c>
      <c r="G21" s="2699"/>
      <c r="H21" s="2699"/>
      <c r="I21" s="2699"/>
      <c r="J21" s="2701"/>
    </row>
    <row r="22" spans="1:10" ht="16.5">
      <c r="A22" s="2697" t="s">
        <v>2140</v>
      </c>
      <c r="B22" s="2699"/>
      <c r="C22" s="2699"/>
      <c r="D22" s="2699"/>
      <c r="E22" s="2698" t="e">
        <f t="shared" si="0"/>
        <v>#DIV/0!</v>
      </c>
      <c r="F22" s="2698" t="e">
        <f t="shared" si="1"/>
        <v>#DIV/0!</v>
      </c>
      <c r="G22" s="2699"/>
      <c r="H22" s="2699"/>
      <c r="I22" s="2699"/>
      <c r="J22" s="2701"/>
    </row>
    <row r="23" spans="1:10" ht="16.5">
      <c r="A23" s="2697" t="s">
        <v>2141</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22" zoomScaleNormal="100" zoomScaleSheetLayoutView="100" zoomScalePageLayoutView="80" workbookViewId="0">
      <selection activeCell="G40" sqref="G40"/>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1571</v>
      </c>
      <c r="B1" s="1474"/>
      <c r="C1" s="1499" t="s">
        <v>1572</v>
      </c>
      <c r="D1" s="1500" t="s">
        <v>4106</v>
      </c>
      <c r="E1" s="1499" t="s">
        <v>1573</v>
      </c>
      <c r="F1" s="1501" t="s">
        <v>4107</v>
      </c>
      <c r="G1" s="287"/>
      <c r="H1" s="287"/>
      <c r="I1" s="287"/>
      <c r="J1" s="1636"/>
      <c r="K1" s="1636"/>
      <c r="L1" s="1636"/>
      <c r="M1" s="1636"/>
      <c r="N1" s="1636"/>
      <c r="O1" s="1636"/>
      <c r="P1" s="1636"/>
      <c r="Q1" s="1636"/>
      <c r="R1" s="1636"/>
      <c r="S1" s="1636"/>
      <c r="T1" s="1636"/>
      <c r="U1" s="1636"/>
      <c r="V1" s="1636"/>
    </row>
    <row r="2" spans="1:22" ht="21.75" customHeight="1" thickBot="1">
      <c r="A2" s="3560" t="str">
        <f>项目基本情况!K2</f>
        <v>北京市北京大兴国际机场临空经济区0105街区DX16-0105-6018地块F1住宅混合公建用地出让国有建设用地出让国有建设用地使用权</v>
      </c>
      <c r="B2" s="3561"/>
      <c r="C2" s="3562"/>
      <c r="D2" s="3562"/>
      <c r="E2" s="3562"/>
      <c r="F2" s="3562"/>
      <c r="G2" s="3561"/>
      <c r="H2" s="3561"/>
      <c r="I2" s="3563"/>
      <c r="J2" s="1643"/>
      <c r="K2" s="1636"/>
      <c r="L2" s="1636"/>
      <c r="M2" s="1636"/>
      <c r="N2" s="1636"/>
      <c r="O2" s="1636"/>
      <c r="P2" s="1636"/>
      <c r="Q2" s="1636"/>
      <c r="R2" s="1636"/>
      <c r="S2" s="1636"/>
      <c r="T2" s="1636"/>
      <c r="U2" s="1636"/>
      <c r="V2" s="1636"/>
    </row>
    <row r="3" spans="1:22" ht="14.25">
      <c r="A3" s="3553" t="s">
        <v>264</v>
      </c>
      <c r="B3" s="3554"/>
      <c r="C3" s="3554"/>
      <c r="D3" s="3554"/>
      <c r="E3" s="3554"/>
      <c r="F3" s="3554"/>
      <c r="G3" s="3554"/>
      <c r="H3" s="3554"/>
      <c r="I3" s="3554"/>
      <c r="J3" s="1643"/>
      <c r="K3" s="1636"/>
      <c r="L3" s="1636"/>
      <c r="M3" s="1636"/>
      <c r="N3" s="1636"/>
      <c r="O3" s="1636"/>
      <c r="P3" s="1636"/>
      <c r="Q3" s="1636"/>
      <c r="R3" s="1636"/>
      <c r="S3" s="1636"/>
      <c r="T3" s="1636"/>
      <c r="U3" s="1636"/>
      <c r="V3" s="1636"/>
    </row>
    <row r="4" spans="1:22" ht="14.25">
      <c r="A4" s="238" t="s">
        <v>265</v>
      </c>
      <c r="B4" s="239" t="s">
        <v>266</v>
      </c>
      <c r="C4" s="240" t="s">
        <v>4054</v>
      </c>
      <c r="D4" s="240" t="s">
        <v>4055</v>
      </c>
      <c r="E4" s="3519" t="s">
        <v>267</v>
      </c>
      <c r="F4" s="3520"/>
      <c r="G4" s="3520"/>
      <c r="H4" s="3520"/>
      <c r="I4" s="3555"/>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18" t="s">
        <v>268</v>
      </c>
      <c r="B5" s="3547">
        <v>25</v>
      </c>
      <c r="C5" s="3545"/>
      <c r="D5" s="3549"/>
      <c r="E5" s="241" t="s">
        <v>269</v>
      </c>
      <c r="F5" s="242"/>
      <c r="G5" s="242"/>
      <c r="H5" s="242"/>
      <c r="I5" s="243"/>
      <c r="J5" s="1643"/>
      <c r="K5" s="1636"/>
      <c r="L5" s="1636"/>
      <c r="M5" s="1636"/>
      <c r="N5" s="1636"/>
      <c r="O5" s="1636"/>
      <c r="P5" s="1636"/>
      <c r="Q5" s="1636"/>
      <c r="R5" s="1636"/>
      <c r="S5" s="1636"/>
      <c r="T5" s="1636"/>
      <c r="U5" s="1636"/>
      <c r="V5" s="1636"/>
    </row>
    <row r="6" spans="1:22" ht="14.25">
      <c r="A6" s="3518"/>
      <c r="B6" s="3547"/>
      <c r="C6" s="3548"/>
      <c r="D6" s="3549"/>
      <c r="E6" s="241" t="s">
        <v>270</v>
      </c>
      <c r="F6" s="242"/>
      <c r="G6" s="242"/>
      <c r="H6" s="242"/>
      <c r="I6" s="243"/>
      <c r="J6" s="1643"/>
      <c r="K6" s="1636"/>
      <c r="L6" s="1636"/>
      <c r="M6" s="1636"/>
      <c r="N6" s="1636"/>
      <c r="O6" s="1636"/>
      <c r="P6" s="1636"/>
      <c r="Q6" s="1636"/>
      <c r="R6" s="1636"/>
      <c r="S6" s="1636"/>
      <c r="T6" s="1636"/>
      <c r="U6" s="1636"/>
      <c r="V6" s="1636"/>
    </row>
    <row r="7" spans="1:22" ht="14.25">
      <c r="A7" s="3518"/>
      <c r="B7" s="3547"/>
      <c r="C7" s="3546"/>
      <c r="D7" s="3549"/>
      <c r="E7" s="241" t="s">
        <v>271</v>
      </c>
      <c r="F7" s="242"/>
      <c r="G7" s="242"/>
      <c r="H7" s="242"/>
      <c r="I7" s="243"/>
      <c r="J7" s="1643"/>
      <c r="K7" s="1636"/>
      <c r="L7" s="1636"/>
      <c r="M7" s="1636"/>
      <c r="N7" s="1636"/>
      <c r="O7" s="1636"/>
      <c r="P7" s="1636"/>
      <c r="Q7" s="1636"/>
      <c r="R7" s="1636"/>
      <c r="S7" s="1636"/>
      <c r="T7" s="1636"/>
      <c r="U7" s="1636"/>
      <c r="V7" s="1636"/>
    </row>
    <row r="8" spans="1:22" ht="14.25">
      <c r="A8" s="3518" t="s">
        <v>272</v>
      </c>
      <c r="B8" s="3547">
        <v>15</v>
      </c>
      <c r="C8" s="3545"/>
      <c r="D8" s="3549"/>
      <c r="E8" s="241" t="s">
        <v>273</v>
      </c>
      <c r="F8" s="242"/>
      <c r="G8" s="242"/>
      <c r="H8" s="242"/>
      <c r="I8" s="243"/>
      <c r="J8" s="1643"/>
      <c r="K8" s="1636"/>
      <c r="L8" s="1636"/>
      <c r="M8" s="1636"/>
      <c r="N8" s="1636"/>
      <c r="O8" s="1636"/>
      <c r="P8" s="1636"/>
      <c r="Q8" s="1636"/>
      <c r="R8" s="1636"/>
      <c r="S8" s="1636"/>
      <c r="T8" s="1636"/>
      <c r="U8" s="1636"/>
      <c r="V8" s="1636"/>
    </row>
    <row r="9" spans="1:22" ht="14.25">
      <c r="A9" s="3518"/>
      <c r="B9" s="3547"/>
      <c r="C9" s="3546"/>
      <c r="D9" s="3549"/>
      <c r="E9" s="241" t="s">
        <v>274</v>
      </c>
      <c r="F9" s="242"/>
      <c r="G9" s="242"/>
      <c r="H9" s="242"/>
      <c r="I9" s="243"/>
      <c r="J9" s="1643"/>
      <c r="K9" s="1636"/>
      <c r="L9" s="1636"/>
      <c r="M9" s="1636"/>
      <c r="N9" s="1636"/>
      <c r="O9" s="1636"/>
      <c r="P9" s="1636"/>
      <c r="Q9" s="1636"/>
      <c r="R9" s="1636"/>
      <c r="S9" s="1636"/>
      <c r="T9" s="1636"/>
      <c r="U9" s="1636"/>
      <c r="V9" s="1636"/>
    </row>
    <row r="10" spans="1:22" ht="14.25">
      <c r="A10" s="3518" t="s">
        <v>275</v>
      </c>
      <c r="B10" s="3547">
        <v>15</v>
      </c>
      <c r="C10" s="3545"/>
      <c r="D10" s="3549"/>
      <c r="E10" s="241" t="s">
        <v>276</v>
      </c>
      <c r="F10" s="242"/>
      <c r="G10" s="242"/>
      <c r="H10" s="242"/>
      <c r="I10" s="243"/>
      <c r="J10" s="1643"/>
      <c r="K10" s="1636"/>
      <c r="L10" s="1636"/>
      <c r="M10" s="1636"/>
      <c r="N10" s="1636"/>
      <c r="O10" s="1636"/>
      <c r="P10" s="1636"/>
      <c r="Q10" s="1636"/>
      <c r="R10" s="1636"/>
      <c r="S10" s="1636"/>
      <c r="T10" s="1636"/>
      <c r="U10" s="1636"/>
      <c r="V10" s="1636"/>
    </row>
    <row r="11" spans="1:22" ht="14.25">
      <c r="A11" s="3518"/>
      <c r="B11" s="3547"/>
      <c r="C11" s="3546"/>
      <c r="D11" s="3549"/>
      <c r="E11" s="241" t="s">
        <v>277</v>
      </c>
      <c r="F11" s="242"/>
      <c r="G11" s="242"/>
      <c r="H11" s="242"/>
      <c r="I11" s="243"/>
      <c r="J11" s="1643"/>
      <c r="K11" s="1636"/>
      <c r="L11" s="1636"/>
      <c r="M11" s="1636"/>
      <c r="N11" s="1636"/>
      <c r="O11" s="1636"/>
      <c r="P11" s="1636"/>
      <c r="Q11" s="1636"/>
      <c r="R11" s="1636"/>
      <c r="S11" s="1636"/>
      <c r="T11" s="1636"/>
      <c r="U11" s="1636"/>
      <c r="V11" s="1636"/>
    </row>
    <row r="12" spans="1:22" ht="14.25">
      <c r="A12" s="3518" t="s">
        <v>278</v>
      </c>
      <c r="B12" s="3547">
        <v>15</v>
      </c>
      <c r="C12" s="3545"/>
      <c r="D12" s="3549"/>
      <c r="E12" s="241" t="s">
        <v>279</v>
      </c>
      <c r="F12" s="242"/>
      <c r="G12" s="242"/>
      <c r="H12" s="242"/>
      <c r="I12" s="243"/>
      <c r="J12" s="1643"/>
      <c r="K12" s="1636"/>
      <c r="L12" s="1636"/>
      <c r="M12" s="1636"/>
      <c r="N12" s="1636"/>
      <c r="O12" s="1636"/>
      <c r="P12" s="1636"/>
      <c r="Q12" s="1636"/>
      <c r="R12" s="1636"/>
      <c r="S12" s="1636"/>
      <c r="T12" s="1636"/>
      <c r="U12" s="1636"/>
      <c r="V12" s="1636"/>
    </row>
    <row r="13" spans="1:22" ht="14.25">
      <c r="A13" s="3518"/>
      <c r="B13" s="3547"/>
      <c r="C13" s="3546"/>
      <c r="D13" s="3549"/>
      <c r="E13" s="241" t="s">
        <v>280</v>
      </c>
      <c r="F13" s="242"/>
      <c r="G13" s="242"/>
      <c r="H13" s="242"/>
      <c r="I13" s="243"/>
      <c r="J13" s="1643"/>
      <c r="K13" s="1636"/>
      <c r="L13" s="1636"/>
      <c r="M13" s="1636"/>
      <c r="N13" s="1636"/>
      <c r="O13" s="1636"/>
      <c r="P13" s="1636"/>
      <c r="Q13" s="1636"/>
      <c r="R13" s="1636"/>
      <c r="S13" s="1636"/>
      <c r="T13" s="1636"/>
      <c r="U13" s="1636"/>
      <c r="V13" s="1636"/>
    </row>
    <row r="14" spans="1:22" ht="14.25">
      <c r="A14" s="3518" t="s">
        <v>281</v>
      </c>
      <c r="B14" s="3547">
        <v>30</v>
      </c>
      <c r="C14" s="3545">
        <v>5</v>
      </c>
      <c r="D14" s="3549">
        <f>10-C14</f>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18"/>
      <c r="B15" s="3547"/>
      <c r="C15" s="3548"/>
      <c r="D15" s="3549"/>
      <c r="E15" s="241" t="s">
        <v>283</v>
      </c>
      <c r="F15" s="242"/>
      <c r="G15" s="242"/>
      <c r="H15" s="242"/>
      <c r="I15" s="243"/>
      <c r="J15" s="1643"/>
      <c r="K15" s="1636"/>
      <c r="L15" s="1636"/>
      <c r="M15" s="1636"/>
      <c r="N15" s="1636"/>
      <c r="O15" s="1636"/>
      <c r="P15" s="1636"/>
      <c r="Q15" s="1636"/>
      <c r="R15" s="1636"/>
      <c r="S15" s="1636"/>
      <c r="T15" s="1636"/>
      <c r="U15" s="1636"/>
      <c r="V15" s="1636"/>
    </row>
    <row r="16" spans="1:22" ht="14.25">
      <c r="A16" s="3518"/>
      <c r="B16" s="3547"/>
      <c r="C16" s="3546"/>
      <c r="D16" s="3549"/>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50" t="s">
        <v>2247</v>
      </c>
      <c r="F18" s="3551"/>
      <c r="G18" s="3551"/>
      <c r="H18" s="3551"/>
      <c r="I18" s="3551"/>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55115</v>
      </c>
      <c r="D19" s="251">
        <f ca="1">SUMIF(INDIRECT("'"&amp;D4&amp;"'"&amp;"!A:A"),结果表!B19,INDIRECT("'"&amp;D4&amp;"'"&amp;"!B:B"))</f>
        <v>48807</v>
      </c>
      <c r="E19" s="248" t="s">
        <v>289</v>
      </c>
      <c r="F19" s="249" t="s">
        <v>288</v>
      </c>
      <c r="G19" s="252">
        <f ca="1">ROUND(C19*$C$18+D19*$D$18,0)</f>
        <v>51961</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9504</v>
      </c>
      <c r="D20" s="256">
        <f ca="1">SUMIF(INDIRECT("'"&amp;D4&amp;"'"&amp;"!A:A"),结果表!B20,INDIRECT("'"&amp;D4&amp;"'"&amp;"!B:B"))</f>
        <v>8417</v>
      </c>
      <c r="E20" s="254"/>
      <c r="F20" s="102" t="s">
        <v>291</v>
      </c>
      <c r="G20" s="257">
        <f ca="1">ROUND(C20*$C$18+D20*$D$18,0)</f>
        <v>8961</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28237</v>
      </c>
      <c r="D21" s="135">
        <f ca="1">SUMIF(INDIRECT("'"&amp;D4&amp;"'"&amp;"!A:A"),结果表!B21,INDIRECT("'"&amp;D4&amp;"'"&amp;"!B:B"))</f>
        <v>25006</v>
      </c>
      <c r="E21" s="254"/>
      <c r="F21" s="106" t="s">
        <v>293</v>
      </c>
      <c r="G21" s="260">
        <f ca="1">ROUND(C21*$C$18+D21*$D$18,0)</f>
        <v>26622</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0.12924375601860394</v>
      </c>
      <c r="E22" s="262"/>
      <c r="F22" s="263"/>
      <c r="G22" s="264">
        <f ca="1">ROUND(G19/('数据-汇总表'!D3/666.67),0)</f>
        <v>1775</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4"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25"/>
      <c r="B25" s="1124" t="s">
        <v>297</v>
      </c>
      <c r="C25" s="268">
        <f>IF(B30=0,0,C30)</f>
        <v>0</v>
      </c>
      <c r="D25" s="269"/>
      <c r="E25" s="287"/>
      <c r="F25" s="287"/>
      <c r="G25" s="287"/>
      <c r="H25" s="287"/>
      <c r="I25" s="287"/>
      <c r="J25" s="1636"/>
      <c r="K25" s="1061" t="str">
        <f ca="1">项目基本情况!A17&amp;"国有建设用地使用权价格："&amp;O38&amp;"万元"</f>
        <v>出让国有建设用地使用权价格：51961万元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大写金额：人民币伍亿壹仟玖佰陆拾壹万元整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单位面积地价：26621元/平方米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楼面地价：8960元/平方米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抵押价格：51620万元</v>
      </c>
      <c r="L29" s="1060"/>
      <c r="M29" s="1060"/>
      <c r="N29" s="1060"/>
      <c r="O29" s="258"/>
      <c r="P29" s="1636"/>
      <c r="V29" s="1636"/>
    </row>
    <row r="30" spans="1:22" ht="18.75" thickBot="1">
      <c r="A30" s="2364" t="s">
        <v>302</v>
      </c>
      <c r="B30" s="271"/>
      <c r="C30" s="271"/>
      <c r="D30" s="272"/>
      <c r="E30" s="2538" t="s">
        <v>2248</v>
      </c>
      <c r="F30" s="287"/>
      <c r="G30" s="287"/>
      <c r="H30" s="287"/>
      <c r="I30" s="287"/>
      <c r="J30" s="1636"/>
      <c r="K30" s="1064" t="str">
        <f ca="1">IF(K29="——","——","大写金额：人民币"&amp;NUMBERSTRING(INT(O39*10000),2)&amp;"元整")</f>
        <v>大写金额：人民币伍亿壹仟陆佰贰拾万元整</v>
      </c>
      <c r="L30" s="1060"/>
      <c r="M30" s="1060"/>
      <c r="N30" s="1060"/>
      <c r="O30" s="258"/>
      <c r="P30" s="1636"/>
      <c r="V30" s="1636"/>
    </row>
    <row r="31" spans="1:22" ht="24" customHeight="1" thickBot="1">
      <c r="A31" s="3552" t="s">
        <v>2249</v>
      </c>
      <c r="B31" s="3552"/>
      <c r="C31" s="3552"/>
      <c r="D31" s="3552"/>
      <c r="E31" s="3552"/>
      <c r="F31" s="3552"/>
      <c r="G31" s="3552"/>
      <c r="H31" s="3552"/>
      <c r="I31" s="3552"/>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51961</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8960</v>
      </c>
      <c r="D33" s="1173" t="s">
        <v>1224</v>
      </c>
      <c r="E33" s="3524" t="s">
        <v>304</v>
      </c>
      <c r="F33" s="273" t="s">
        <v>305</v>
      </c>
      <c r="G33" s="274"/>
      <c r="H33" s="894" t="s">
        <v>4111</v>
      </c>
      <c r="I33" s="1065"/>
      <c r="J33" s="1636"/>
      <c r="K33" s="1064" t="str">
        <f ca="1">IF(项目基本情况!E9="——","——","抵押净值："&amp;C46&amp;"万元")</f>
        <v>抵押净值：48872万元</v>
      </c>
      <c r="L33" s="1060"/>
      <c r="M33" s="1060"/>
      <c r="N33" s="1060"/>
      <c r="O33" s="258"/>
      <c r="P33" s="1636"/>
      <c r="V33" s="1636"/>
    </row>
    <row r="34" spans="1:22" ht="18.75" thickBot="1">
      <c r="A34" s="277"/>
      <c r="B34" s="98" t="s">
        <v>1225</v>
      </c>
      <c r="C34" s="244">
        <f ca="1">ROUND(C32*10000/'数据-汇总表'!D3,0)</f>
        <v>26621</v>
      </c>
      <c r="D34" s="1173" t="s">
        <v>1224</v>
      </c>
      <c r="E34" s="3568"/>
      <c r="F34" s="118" t="s">
        <v>307</v>
      </c>
      <c r="G34" s="276"/>
      <c r="H34" s="96"/>
      <c r="I34" s="287"/>
      <c r="J34" s="1636"/>
      <c r="K34" s="1067" t="str">
        <f ca="1">IF(K33="——","——","大写金额：人民币"&amp;NUMBERSTRING(INT(O41*10000),2)&amp;"元整")</f>
        <v>大写金额：人民币肆亿捌仟捌佰柒拾贰万元整</v>
      </c>
      <c r="L34" s="1068"/>
      <c r="M34" s="1068"/>
      <c r="N34" s="1068"/>
      <c r="O34" s="1069"/>
      <c r="P34" s="1636"/>
      <c r="V34" s="1636"/>
    </row>
    <row r="35" spans="1:22" ht="15.75" thickBot="1">
      <c r="A35" s="262"/>
      <c r="B35" s="1174"/>
      <c r="C35" s="1175">
        <f ca="1">ROUND(C32/('数据-汇总表'!D3/666.67),0)</f>
        <v>1775</v>
      </c>
      <c r="D35" s="1176" t="s">
        <v>1226</v>
      </c>
      <c r="E35" s="3569"/>
      <c r="F35" s="278" t="s">
        <v>308</v>
      </c>
      <c r="G35" s="896">
        <f>E39</f>
        <v>341</v>
      </c>
      <c r="H35" s="895" t="s">
        <v>309</v>
      </c>
      <c r="I35" s="287"/>
      <c r="J35" s="1636"/>
      <c r="K35" s="3542" t="s">
        <v>316</v>
      </c>
      <c r="L35" s="3542" t="s">
        <v>317</v>
      </c>
      <c r="M35" s="1070" t="s">
        <v>318</v>
      </c>
      <c r="N35" s="3542" t="s">
        <v>319</v>
      </c>
      <c r="O35" s="3542" t="s">
        <v>320</v>
      </c>
      <c r="P35" s="1636"/>
      <c r="V35" s="1636"/>
    </row>
    <row r="36" spans="1:22" ht="16.5" customHeight="1">
      <c r="A36" s="280" t="s">
        <v>310</v>
      </c>
      <c r="B36" s="281" t="s">
        <v>299</v>
      </c>
      <c r="C36" s="282" t="s">
        <v>311</v>
      </c>
      <c r="D36" s="282" t="s">
        <v>312</v>
      </c>
      <c r="E36" s="283" t="s">
        <v>313</v>
      </c>
      <c r="F36" s="287"/>
      <c r="G36" s="287"/>
      <c r="H36" s="287"/>
      <c r="I36" s="287"/>
      <c r="J36" s="1644"/>
      <c r="K36" s="3543"/>
      <c r="L36" s="3543"/>
      <c r="M36" s="1072" t="s">
        <v>321</v>
      </c>
      <c r="N36" s="3543"/>
      <c r="O36" s="3543"/>
      <c r="P36" s="1636"/>
      <c r="V36" s="1636"/>
    </row>
    <row r="37" spans="1:22" ht="16.5" customHeight="1" thickBot="1">
      <c r="A37" s="1066" t="s">
        <v>314</v>
      </c>
      <c r="B37" s="270">
        <v>11328.62</v>
      </c>
      <c r="C37" s="271">
        <f>ROUND(信息!B9*0.1*0.25,2)</f>
        <v>288.38</v>
      </c>
      <c r="D37" s="271">
        <v>1.0305</v>
      </c>
      <c r="E37" s="272">
        <f>ROUND(B37*C37*D37/10000,0)</f>
        <v>337</v>
      </c>
      <c r="F37" s="287"/>
      <c r="G37" s="287"/>
      <c r="H37" s="287"/>
      <c r="I37" s="287"/>
      <c r="J37" s="1644"/>
      <c r="K37" s="3544"/>
      <c r="L37" s="3544"/>
      <c r="M37" s="1073"/>
      <c r="N37" s="3544"/>
      <c r="O37" s="3544"/>
      <c r="P37" s="1636"/>
      <c r="V37" s="1636"/>
    </row>
    <row r="38" spans="1:22" ht="16.5" customHeight="1" thickBot="1">
      <c r="A38" s="1066" t="s">
        <v>315</v>
      </c>
      <c r="B38" s="3741">
        <f>'比较法-住宅、综合'!E62</f>
        <v>50.08</v>
      </c>
      <c r="C38" s="3741">
        <f>ROUND(信息!B9*0.25*0.25,2)</f>
        <v>720.94</v>
      </c>
      <c r="D38" s="271">
        <v>1.0305</v>
      </c>
      <c r="E38" s="272">
        <f>ROUND(B38*C38*D38/10000,0)</f>
        <v>4</v>
      </c>
      <c r="F38" s="287"/>
      <c r="G38" s="287"/>
      <c r="H38" s="287"/>
      <c r="I38" s="287"/>
      <c r="J38" s="1644"/>
      <c r="K38" s="1074">
        <f>'数据-汇总表'!D3</f>
        <v>19518.45</v>
      </c>
      <c r="L38" s="1075">
        <f>'数据-汇总表'!E3</f>
        <v>57989.509999999995</v>
      </c>
      <c r="M38" s="1075">
        <f ca="1">C34</f>
        <v>26621</v>
      </c>
      <c r="N38" s="1075">
        <f ca="1">C33</f>
        <v>8960</v>
      </c>
      <c r="O38" s="1076">
        <f ca="1">C32</f>
        <v>51961</v>
      </c>
      <c r="P38" s="1636">
        <f ca="1">L38*N38</f>
        <v>519586009.59999996</v>
      </c>
      <c r="V38" s="1636"/>
    </row>
    <row r="39" spans="1:22" ht="16.5" customHeight="1" thickBot="1">
      <c r="A39" s="1071"/>
      <c r="B39" s="284"/>
      <c r="C39" s="285"/>
      <c r="D39" s="285"/>
      <c r="E39" s="286">
        <f>E38+E37</f>
        <v>341</v>
      </c>
      <c r="F39" s="287"/>
      <c r="G39" s="287"/>
      <c r="H39" s="287"/>
      <c r="I39" s="287"/>
      <c r="J39" s="1644"/>
      <c r="K39" s="3582" t="str">
        <f>MID(A44,3,LEN(A44)-2)</f>
        <v>抵押价格</v>
      </c>
      <c r="L39" s="3583"/>
      <c r="M39" s="3583"/>
      <c r="N39" s="3584"/>
      <c r="O39" s="1178">
        <f ca="1">C44</f>
        <v>51620</v>
      </c>
      <c r="P39" s="1636"/>
      <c r="V39" s="1636"/>
    </row>
    <row r="40" spans="1:22" ht="19.5" thickBot="1">
      <c r="A40" s="95" t="s">
        <v>810</v>
      </c>
      <c r="B40" s="287"/>
      <c r="C40" s="287"/>
      <c r="D40" s="287"/>
      <c r="E40" s="287"/>
      <c r="F40" s="287"/>
      <c r="G40" s="287"/>
      <c r="H40" s="287"/>
      <c r="I40" s="287"/>
      <c r="J40" s="1644"/>
      <c r="K40" s="3582" t="str">
        <f>MID(A45,3,LEN(A45)-2)</f>
        <v/>
      </c>
      <c r="L40" s="3583"/>
      <c r="M40" s="3583"/>
      <c r="N40" s="3584"/>
      <c r="O40" s="1178" t="str">
        <f>C45</f>
        <v>——</v>
      </c>
      <c r="P40" s="1636"/>
      <c r="V40" s="1636"/>
    </row>
    <row r="41" spans="1:22" ht="16.5" thickBot="1">
      <c r="A41" s="288" t="s">
        <v>322</v>
      </c>
      <c r="B41" s="289"/>
      <c r="C41" s="290" t="s">
        <v>323</v>
      </c>
      <c r="D41" s="291" t="s">
        <v>324</v>
      </c>
      <c r="E41" s="291" t="s">
        <v>325</v>
      </c>
      <c r="F41" s="292" t="s">
        <v>326</v>
      </c>
      <c r="G41" s="287"/>
      <c r="H41" s="287"/>
      <c r="I41" s="287"/>
      <c r="J41" s="1644"/>
      <c r="K41" s="3582" t="str">
        <f>MID(A46,3,LEN(A46)-2)</f>
        <v>抵押净值</v>
      </c>
      <c r="L41" s="3583"/>
      <c r="M41" s="3583"/>
      <c r="N41" s="3584"/>
      <c r="O41" s="1178">
        <f ca="1">C46</f>
        <v>48872</v>
      </c>
      <c r="P41" s="1636"/>
      <c r="V41" s="1636"/>
    </row>
    <row r="42" spans="1:22" ht="29.25">
      <c r="A42" s="3526" t="s">
        <v>1583</v>
      </c>
      <c r="B42" s="3527"/>
      <c r="C42" s="244">
        <f ca="1">C32</f>
        <v>51961</v>
      </c>
      <c r="D42" s="293">
        <f ca="1">C33</f>
        <v>8960</v>
      </c>
      <c r="E42" s="293">
        <f ca="1">C34</f>
        <v>26621</v>
      </c>
      <c r="F42" s="294">
        <f ca="1">C35</f>
        <v>1775</v>
      </c>
      <c r="G42" s="287"/>
      <c r="H42" s="287"/>
      <c r="I42" s="295"/>
      <c r="J42" s="1644"/>
      <c r="K42" s="1077" t="s">
        <v>327</v>
      </c>
      <c r="L42" s="1660" t="s">
        <v>328</v>
      </c>
      <c r="M42" s="1078" t="s">
        <v>329</v>
      </c>
      <c r="N42" s="1661" t="s">
        <v>330</v>
      </c>
      <c r="O42" s="1662" t="s">
        <v>331</v>
      </c>
      <c r="P42" s="1636"/>
      <c r="V42" s="1636"/>
    </row>
    <row r="43" spans="1:22" ht="30">
      <c r="A43" s="3537" t="s">
        <v>2010</v>
      </c>
      <c r="B43" s="3538"/>
      <c r="C43" s="244">
        <f>IF(H33="正常操作",G33+G34+G35,G34+G35)</f>
        <v>341</v>
      </c>
      <c r="D43" s="293" t="s">
        <v>17</v>
      </c>
      <c r="E43" s="293" t="s">
        <v>18</v>
      </c>
      <c r="F43" s="294" t="s">
        <v>18</v>
      </c>
      <c r="G43" s="2171" t="s">
        <v>877</v>
      </c>
      <c r="H43" s="287"/>
      <c r="I43" s="295"/>
      <c r="J43" s="1644"/>
      <c r="K43" s="1079" t="str">
        <f>C4</f>
        <v>比较法-住宅、综合</v>
      </c>
      <c r="L43" s="1080">
        <f ca="1">IF(L42="估价结果/万元",C19,C20)</f>
        <v>55115</v>
      </c>
      <c r="M43" s="1081">
        <f>C18</f>
        <v>0.5</v>
      </c>
      <c r="N43" s="1082">
        <f ca="1">IF(N42="测算结果/万元",G19,G20)</f>
        <v>51961</v>
      </c>
      <c r="O43" s="1083">
        <f ca="1">IF(O42="最终结果/万元",C32,C33)</f>
        <v>51961</v>
      </c>
      <c r="P43" s="1636"/>
      <c r="V43" s="1636"/>
    </row>
    <row r="44" spans="1:22" ht="30.75" thickBot="1">
      <c r="A44" s="3526" t="str">
        <f>IF(OR(项目基本情况!E8="抵押价格",项目基本情况!E8="已注销及未注销"),"3.抵押价格","——")</f>
        <v>3.抵押价格</v>
      </c>
      <c r="B44" s="3527"/>
      <c r="C44" s="244">
        <f ca="1">IF(A44="——","——",C42-C43)</f>
        <v>51620</v>
      </c>
      <c r="D44" s="293">
        <f ca="1">ROUND(C44*10000/'数据-汇总表'!E3,0)</f>
        <v>8902</v>
      </c>
      <c r="E44" s="293">
        <f ca="1">ROUND(C44*10000/'数据-汇总表'!D3,0)</f>
        <v>26447</v>
      </c>
      <c r="F44" s="294">
        <f ca="1">ROUND(C44/('数据-汇总表'!D3/666.67),0)</f>
        <v>1763</v>
      </c>
      <c r="G44" s="287"/>
      <c r="H44" s="287"/>
      <c r="I44" s="295"/>
      <c r="J44" s="1644"/>
      <c r="K44" s="1084" t="str">
        <f>D4</f>
        <v>剩余法-待开发</v>
      </c>
      <c r="L44" s="1085">
        <f ca="1">IF(L42="估价结果/万元",D19,D20)</f>
        <v>48807</v>
      </c>
      <c r="M44" s="1086">
        <f>D18</f>
        <v>0.5</v>
      </c>
      <c r="N44" s="1087"/>
      <c r="O44" s="1088"/>
      <c r="P44" s="1636"/>
      <c r="V44" s="1636"/>
    </row>
    <row r="45" spans="1:22" ht="15">
      <c r="A45" s="3532" t="str">
        <f>IF(项目基本情况!E8="已注销及未注销","4.抵押担保权已注销时的抵押价格",IF(项目基本情况!E8="已注销","3.抵押担保权已注销时的抵押价格","——"))</f>
        <v>——</v>
      </c>
      <c r="B45" s="3533"/>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28" t="str">
        <f>IF(项目基本情况!E9="抵押净值",IF(A45="——","4.抵押净值","5.抵押净值"),"——")</f>
        <v>4.抵押净值</v>
      </c>
      <c r="B46" s="3529"/>
      <c r="C46" s="296">
        <f ca="1">IF(A46="——","——",O79)</f>
        <v>48872</v>
      </c>
      <c r="D46" s="293">
        <f ca="1">ROUND(C46*10000/'数据-汇总表'!E3,0)</f>
        <v>8428</v>
      </c>
      <c r="E46" s="293">
        <f ca="1">ROUND(C46*10000/'数据-汇总表'!D3,0)</f>
        <v>25039</v>
      </c>
      <c r="F46" s="294">
        <f ca="1">ROUND(C46/('数据-汇总表'!D3/666.67),0)</f>
        <v>1669</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本次评估估价师知悉的法定优先受偿款为人民币341万元整。</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76" t="s">
        <v>340</v>
      </c>
      <c r="B63" s="3577"/>
      <c r="C63" s="3578"/>
      <c r="D63" s="315">
        <f ca="1">ROUND(C42*F63,0)</f>
        <v>51961</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34" t="s">
        <v>344</v>
      </c>
      <c r="B64" s="3535"/>
      <c r="C64" s="3535"/>
      <c r="D64" s="3535"/>
      <c r="E64" s="3535"/>
      <c r="F64" s="3535"/>
      <c r="G64" s="3536"/>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30" t="s">
        <v>352</v>
      </c>
      <c r="B66" s="3531"/>
      <c r="C66" s="3531"/>
      <c r="D66" s="241">
        <f ca="1">IF(H66="情况1",0,IF(H66="情况2",D70,IF(H66="情况3",D71,IF(H66="情况4",D72))))</f>
        <v>2722</v>
      </c>
      <c r="E66" s="906" t="str">
        <f>IF(H66="情况4","(销售额-原购置价)×税（费）率","销售额×税（费）率")</f>
        <v>销售额×税（费）率</v>
      </c>
      <c r="F66" s="324">
        <f>IF(H66="情况1","免征",'数据-取费表'!B41)</f>
        <v>5.5000000000000007E-2</v>
      </c>
      <c r="G66" s="325" t="s">
        <v>353</v>
      </c>
      <c r="H66" s="174" t="s">
        <v>4108</v>
      </c>
      <c r="I66" s="1093"/>
      <c r="J66" s="1648"/>
      <c r="K66" s="1096">
        <v>1</v>
      </c>
      <c r="L66" s="3591" t="s">
        <v>351</v>
      </c>
      <c r="M66" s="3592"/>
      <c r="N66" s="1973"/>
      <c r="O66" s="1974"/>
      <c r="P66" s="1975"/>
      <c r="Q66" s="1636"/>
      <c r="R66" s="1636"/>
      <c r="S66" s="1636"/>
      <c r="T66" s="1636"/>
      <c r="U66" s="1636"/>
      <c r="V66" s="1636"/>
    </row>
    <row r="67" spans="1:22" ht="25.5" customHeight="1">
      <c r="A67" s="326" t="s">
        <v>355</v>
      </c>
      <c r="B67" s="3521" t="s">
        <v>356</v>
      </c>
      <c r="C67" s="3521"/>
      <c r="D67" s="327">
        <v>0</v>
      </c>
      <c r="E67" s="37" t="s">
        <v>357</v>
      </c>
      <c r="F67" s="58" t="s">
        <v>15</v>
      </c>
      <c r="G67" s="3579"/>
      <c r="H67" s="2541" t="s">
        <v>2250</v>
      </c>
      <c r="I67" s="2543"/>
      <c r="J67" s="1649"/>
      <c r="K67" s="1632">
        <v>2</v>
      </c>
      <c r="L67" s="3585" t="s">
        <v>354</v>
      </c>
      <c r="M67" s="3585"/>
      <c r="N67" s="1128">
        <f>'数据-取费表'!B2</f>
        <v>45617</v>
      </c>
      <c r="O67" s="1128"/>
      <c r="P67" s="1128"/>
      <c r="Q67" s="1636"/>
      <c r="R67" s="1636"/>
      <c r="S67" s="1636"/>
      <c r="T67" s="1636"/>
      <c r="U67" s="1636"/>
      <c r="V67" s="1636"/>
    </row>
    <row r="68" spans="1:22" ht="25.5" customHeight="1">
      <c r="A68" s="328"/>
      <c r="B68" s="3521" t="s">
        <v>359</v>
      </c>
      <c r="C68" s="3521"/>
      <c r="D68" s="329"/>
      <c r="E68" s="73"/>
      <c r="F68" s="330"/>
      <c r="G68" s="3580"/>
      <c r="H68" s="2542" t="s">
        <v>2251</v>
      </c>
      <c r="I68" s="2543"/>
      <c r="J68" s="1649"/>
      <c r="K68" s="1632">
        <v>3</v>
      </c>
      <c r="L68" s="3585" t="s">
        <v>358</v>
      </c>
      <c r="M68" s="3585"/>
      <c r="N68" s="1098">
        <f ca="1">C42</f>
        <v>51961</v>
      </c>
      <c r="O68" s="1098"/>
      <c r="P68" s="1098"/>
      <c r="Q68" s="1636"/>
      <c r="R68" s="1636"/>
      <c r="S68" s="1636"/>
      <c r="T68" s="1636"/>
      <c r="U68" s="1636"/>
      <c r="V68" s="1636"/>
    </row>
    <row r="69" spans="1:22" ht="23.45" customHeight="1">
      <c r="A69" s="331"/>
      <c r="B69" s="3521" t="s">
        <v>360</v>
      </c>
      <c r="C69" s="3521"/>
      <c r="D69" s="332"/>
      <c r="E69" s="69"/>
      <c r="F69" s="330"/>
      <c r="G69" s="3581"/>
      <c r="H69" s="2542" t="s">
        <v>2252</v>
      </c>
      <c r="I69" s="2543"/>
      <c r="J69" s="1649"/>
      <c r="K69" s="1099">
        <v>4</v>
      </c>
      <c r="L69" s="3595" t="s">
        <v>2155</v>
      </c>
      <c r="M69" s="3596"/>
      <c r="N69" s="1100">
        <f ca="1">C44</f>
        <v>51620</v>
      </c>
      <c r="O69" s="1100"/>
      <c r="P69" s="1100"/>
      <c r="Q69" s="1636"/>
      <c r="R69" s="1636"/>
      <c r="S69" s="1636"/>
      <c r="T69" s="1636"/>
      <c r="U69" s="1636"/>
      <c r="V69" s="1636"/>
    </row>
    <row r="70" spans="1:22" ht="24" customHeight="1">
      <c r="A70" s="333" t="s">
        <v>361</v>
      </c>
      <c r="B70" s="3521" t="s">
        <v>362</v>
      </c>
      <c r="C70" s="3521"/>
      <c r="D70" s="332">
        <f ca="1">ROUND(D63*'数据-取费表'!B41/(1+'数据-取费表'!C42),0)</f>
        <v>2722</v>
      </c>
      <c r="E70" s="14" t="s">
        <v>363</v>
      </c>
      <c r="F70" s="334">
        <f>'数据-取费表'!B41</f>
        <v>5.5000000000000007E-2</v>
      </c>
      <c r="G70" s="335"/>
      <c r="H70" s="287"/>
      <c r="I70" s="1097"/>
      <c r="J70" s="1649"/>
      <c r="K70" s="2332"/>
      <c r="L70" s="2333"/>
      <c r="M70" s="2333"/>
      <c r="N70" s="2334" t="s">
        <v>2159</v>
      </c>
      <c r="O70" s="2333"/>
      <c r="P70" s="2335"/>
      <c r="Q70" s="1636"/>
      <c r="R70" s="1636"/>
      <c r="S70" s="1636"/>
      <c r="T70" s="1636"/>
      <c r="U70" s="1636"/>
      <c r="V70" s="1636"/>
    </row>
    <row r="71" spans="1:22" ht="12" customHeight="1">
      <c r="A71" s="333" t="s">
        <v>369</v>
      </c>
      <c r="B71" s="3522" t="s">
        <v>2277</v>
      </c>
      <c r="C71" s="3523"/>
      <c r="D71" s="332">
        <f ca="1">ROUND(D63*'数据-取费表'!B41/(1+'数据-取费表'!C42),0)</f>
        <v>2722</v>
      </c>
      <c r="E71" s="14" t="s">
        <v>363</v>
      </c>
      <c r="F71" s="334">
        <f>'数据-取费表'!B41</f>
        <v>5.5000000000000007E-2</v>
      </c>
      <c r="G71" s="335"/>
      <c r="H71" s="287"/>
      <c r="I71" s="1097"/>
      <c r="J71" s="1649"/>
      <c r="K71" s="2331" t="s">
        <v>364</v>
      </c>
      <c r="L71" s="3597" t="s">
        <v>365</v>
      </c>
      <c r="M71" s="3597"/>
      <c r="N71" s="2331" t="s">
        <v>366</v>
      </c>
      <c r="O71" s="2331" t="s">
        <v>367</v>
      </c>
      <c r="P71" s="2331" t="s">
        <v>368</v>
      </c>
      <c r="Q71" s="1636"/>
      <c r="R71" s="1636"/>
      <c r="S71" s="1636"/>
      <c r="T71" s="1636"/>
      <c r="U71" s="1636"/>
      <c r="V71" s="1636"/>
    </row>
    <row r="72" spans="1:22" ht="12" customHeight="1">
      <c r="A72" s="333" t="s">
        <v>371</v>
      </c>
      <c r="B72" s="3522" t="s">
        <v>2278</v>
      </c>
      <c r="C72" s="3523"/>
      <c r="D72" s="332">
        <f ca="1">C86</f>
        <v>2722</v>
      </c>
      <c r="E72" s="69" t="s">
        <v>372</v>
      </c>
      <c r="F72" s="334">
        <f>'数据-取费表'!B41</f>
        <v>5.5000000000000007E-2</v>
      </c>
      <c r="G72" s="335"/>
      <c r="H72" s="1103"/>
      <c r="I72" s="1097"/>
      <c r="J72" s="1649"/>
      <c r="K72" s="1632">
        <v>1</v>
      </c>
      <c r="L72" s="3572" t="s">
        <v>370</v>
      </c>
      <c r="M72" s="3572"/>
      <c r="N72" s="1101">
        <f ca="1">D66</f>
        <v>2722</v>
      </c>
      <c r="O72" s="1539" t="str">
        <f>E66</f>
        <v>销售额×税（费）率</v>
      </c>
      <c r="P72" s="1102">
        <f>F66</f>
        <v>5.5000000000000007E-2</v>
      </c>
      <c r="Q72" s="1636">
        <f ca="1">N68*P72/1.05</f>
        <v>2721.7666666666669</v>
      </c>
      <c r="R72" s="1636"/>
      <c r="S72" s="1636"/>
      <c r="T72" s="1636"/>
      <c r="U72" s="1636"/>
      <c r="V72" s="1636"/>
    </row>
    <row r="73" spans="1:22" ht="24" customHeight="1">
      <c r="A73" s="3567" t="s">
        <v>374</v>
      </c>
      <c r="B73" s="3531"/>
      <c r="C73" s="3531"/>
      <c r="D73" s="336">
        <f ca="1">IF(H73="个人住宅",0,ROUND(D63*I73,0))</f>
        <v>26</v>
      </c>
      <c r="E73" s="14" t="s">
        <v>375</v>
      </c>
      <c r="F73" s="334">
        <f>IF(H73="正常",I73,"免征")</f>
        <v>5.0000000000000001E-4</v>
      </c>
      <c r="G73" s="335"/>
      <c r="H73" s="174" t="s">
        <v>4098</v>
      </c>
      <c r="I73" s="334">
        <f>'数据-取费表'!B49</f>
        <v>5.0000000000000001E-4</v>
      </c>
      <c r="J73" s="1649"/>
      <c r="K73" s="1632">
        <v>2</v>
      </c>
      <c r="L73" s="3572" t="s">
        <v>373</v>
      </c>
      <c r="M73" s="3572"/>
      <c r="N73" s="1101">
        <f t="shared" ref="N73:P74" ca="1" si="0">D73</f>
        <v>26</v>
      </c>
      <c r="O73" s="1539" t="str">
        <f t="shared" si="0"/>
        <v>销售额×税（费）率</v>
      </c>
      <c r="P73" s="1102">
        <f t="shared" si="0"/>
        <v>5.0000000000000001E-4</v>
      </c>
      <c r="Q73" s="1636"/>
      <c r="R73" s="1636"/>
      <c r="S73" s="1636"/>
      <c r="T73" s="1636"/>
      <c r="U73" s="1636"/>
      <c r="V73" s="1636"/>
    </row>
    <row r="74" spans="1:22" ht="24.75">
      <c r="A74" s="3567" t="s">
        <v>377</v>
      </c>
      <c r="B74" s="3531"/>
      <c r="C74" s="3531"/>
      <c r="D74" s="336">
        <f ca="1">IF(H74="个人住宅",D75,D76)</f>
        <v>0</v>
      </c>
      <c r="E74" s="14" t="s">
        <v>378</v>
      </c>
      <c r="F74" s="334" t="str">
        <f>IF(H74="正常",F76,"免征")</f>
        <v>——</v>
      </c>
      <c r="G74" s="897" t="s">
        <v>379</v>
      </c>
      <c r="H74" s="337" t="s">
        <v>4098</v>
      </c>
      <c r="I74" s="38"/>
      <c r="J74" s="1649"/>
      <c r="K74" s="1632">
        <v>3</v>
      </c>
      <c r="L74" s="3572" t="s">
        <v>376</v>
      </c>
      <c r="M74" s="3572"/>
      <c r="N74" s="1101">
        <f t="shared" ca="1" si="0"/>
        <v>0</v>
      </c>
      <c r="O74" s="1539" t="str">
        <f t="shared" si="0"/>
        <v>增值额×税（费）率</v>
      </c>
      <c r="P74" s="1104" t="str">
        <f t="shared" si="0"/>
        <v>——</v>
      </c>
      <c r="Q74" s="1636"/>
      <c r="R74" s="1636"/>
      <c r="S74" s="1636"/>
      <c r="T74" s="1636"/>
      <c r="U74" s="1636"/>
      <c r="V74" s="1636"/>
    </row>
    <row r="75" spans="1:22" ht="12.75">
      <c r="A75" s="333" t="s">
        <v>380</v>
      </c>
      <c r="B75" s="3519" t="s">
        <v>381</v>
      </c>
      <c r="C75" s="3555"/>
      <c r="D75" s="338">
        <v>0</v>
      </c>
      <c r="E75" s="37" t="s">
        <v>382</v>
      </c>
      <c r="F75" s="339"/>
      <c r="G75" s="335"/>
      <c r="H75" s="38"/>
      <c r="I75" s="38"/>
      <c r="J75" s="1649"/>
      <c r="K75" s="1632" t="str">
        <f>IF(H77="非个人房产","",4)</f>
        <v/>
      </c>
      <c r="L75" s="3572" t="str">
        <f>IF(H77="非个人房产","——","个人所得税")</f>
        <v>——</v>
      </c>
      <c r="M75" s="3572"/>
      <c r="N75" s="1105" t="str">
        <f>D77</f>
        <v>——</v>
      </c>
      <c r="O75" s="1540" t="str">
        <f>E77</f>
        <v>——</v>
      </c>
      <c r="P75" s="1106" t="str">
        <f>F77</f>
        <v>——</v>
      </c>
      <c r="Q75" s="1636"/>
      <c r="R75" s="1636"/>
      <c r="S75" s="1636"/>
      <c r="T75" s="1636"/>
      <c r="U75" s="1636"/>
      <c r="V75" s="1636"/>
    </row>
    <row r="76" spans="1:22" ht="24.75">
      <c r="A76" s="333" t="s">
        <v>361</v>
      </c>
      <c r="B76" s="3519" t="s">
        <v>384</v>
      </c>
      <c r="C76" s="3520"/>
      <c r="D76" s="336">
        <f ca="1">IF(H76="转让取得",C99,C115)</f>
        <v>0</v>
      </c>
      <c r="E76" s="14" t="s">
        <v>385</v>
      </c>
      <c r="F76" s="49" t="s">
        <v>15</v>
      </c>
      <c r="G76" s="335"/>
      <c r="H76" s="337" t="s">
        <v>4109</v>
      </c>
      <c r="I76" s="38"/>
      <c r="J76" s="1649"/>
      <c r="K76" s="1632" t="str">
        <f>IF(项目基本情况!K6="上海银行",IF(K75="",4,K75+1),"")</f>
        <v/>
      </c>
      <c r="L76" s="3587" t="str">
        <f>IF(项目基本情况!K6="上海银行","其他处置费用","")</f>
        <v/>
      </c>
      <c r="M76" s="3588"/>
      <c r="N76" s="1101" t="str">
        <f>IF(项目基本情况!K6="上海银行",N89,"")</f>
        <v/>
      </c>
      <c r="O76" s="3589" t="str">
        <f>IF(项目基本情况!K6="上海银行","包含处置中涉及的律师、诉讼、拍卖、评估等费用","")</f>
        <v/>
      </c>
      <c r="P76" s="3590"/>
      <c r="Q76" s="1636"/>
      <c r="R76" s="1636"/>
      <c r="S76" s="1636"/>
      <c r="T76" s="1636"/>
      <c r="U76" s="1636"/>
      <c r="V76" s="1636"/>
    </row>
    <row r="77" spans="1:22" ht="24.75" thickBot="1">
      <c r="A77" s="3574" t="s">
        <v>387</v>
      </c>
      <c r="B77" s="3575"/>
      <c r="C77" s="3575"/>
      <c r="D77" s="2546" t="str">
        <f>IF(H77="非个人房产","——",IF(H77="个人住宅（满五唯一有凭证）",0,IF(H77="个人其他（无凭证）",ROUND(D63*F77,0),ROUND(C84*F77,0))))</f>
        <v>——</v>
      </c>
      <c r="E77" s="2547" t="str">
        <f>IF(H77="非个人房产","——",IF(H77="个人其他（无凭证）","销售额×税（费）率",IF(H77="个人住宅（满五唯一有凭证）","免征","差额计税")))</f>
        <v>——</v>
      </c>
      <c r="F77" s="2548" t="str">
        <f>IF(OR(H77="非个人房产",H77="个人住宅（满五唯一有凭证）"),"——",IF(H77="个人其他（有凭证）",20%,1%))</f>
        <v>——</v>
      </c>
      <c r="G77" s="898" t="s">
        <v>379</v>
      </c>
      <c r="H77" s="2545" t="s">
        <v>4110</v>
      </c>
      <c r="I77" s="2544" t="s">
        <v>2253</v>
      </c>
      <c r="J77" s="1649"/>
      <c r="K77" s="3573">
        <f>IF(AND(K75="",K76=""),4,IF(项目基本情况!K6="上海银行",K76+1,K75+1))</f>
        <v>4</v>
      </c>
      <c r="L77" s="3572" t="s">
        <v>2156</v>
      </c>
      <c r="M77" s="2330" t="s">
        <v>383</v>
      </c>
      <c r="N77" s="1107"/>
      <c r="O77" s="1108">
        <f ca="1">SUMIF(N72:N76,"&lt;9e307")</f>
        <v>2748</v>
      </c>
      <c r="P77" s="1109"/>
      <c r="Q77" s="2328">
        <f ca="1">O77/N69</f>
        <v>5.3235180162727623E-2</v>
      </c>
      <c r="R77" s="1636"/>
      <c r="S77" s="1636"/>
      <c r="T77" s="1636"/>
      <c r="U77" s="1636"/>
      <c r="V77" s="1636"/>
    </row>
    <row r="78" spans="1:22" ht="12" customHeight="1">
      <c r="A78" s="1110"/>
      <c r="B78" s="287"/>
      <c r="C78" s="287"/>
      <c r="D78" s="287"/>
      <c r="E78" s="38"/>
      <c r="F78" s="38"/>
      <c r="G78" s="38"/>
      <c r="H78" s="866"/>
      <c r="I78" s="287"/>
      <c r="J78" s="1649"/>
      <c r="K78" s="3573"/>
      <c r="L78" s="3572"/>
      <c r="M78" s="2330" t="s">
        <v>386</v>
      </c>
      <c r="N78" s="1107"/>
      <c r="O78" s="1108" t="str">
        <f ca="1">NUMBERSTRING(INT(O77*10000),2)&amp;"元整"</f>
        <v>贰仟柒佰肆拾捌万元整</v>
      </c>
      <c r="P78" s="1109"/>
      <c r="Q78" s="1636"/>
      <c r="R78" s="1636"/>
      <c r="S78" s="1636"/>
      <c r="T78" s="1636"/>
      <c r="U78" s="1636"/>
      <c r="V78" s="1636"/>
    </row>
    <row r="79" spans="1:22" ht="13.5" thickBot="1">
      <c r="A79" s="3539" t="s">
        <v>388</v>
      </c>
      <c r="B79" s="3539"/>
      <c r="C79" s="3539"/>
      <c r="D79" s="3539"/>
      <c r="E79" s="3539"/>
      <c r="F79" s="38"/>
      <c r="G79" s="38"/>
      <c r="H79" s="866"/>
      <c r="I79" s="287"/>
      <c r="J79" s="1649"/>
      <c r="K79" s="3593">
        <f>K77+1</f>
        <v>5</v>
      </c>
      <c r="L79" s="3572" t="s">
        <v>2157</v>
      </c>
      <c r="M79" s="2330" t="s">
        <v>383</v>
      </c>
      <c r="N79" s="1107"/>
      <c r="O79" s="1108">
        <f ca="1">N69-O77</f>
        <v>48872</v>
      </c>
      <c r="P79" s="1109"/>
      <c r="Q79" s="1636"/>
      <c r="R79" s="1636"/>
      <c r="S79" s="1636"/>
      <c r="T79" s="1636"/>
      <c r="U79" s="1636"/>
      <c r="V79" s="1636"/>
    </row>
    <row r="80" spans="1:22" ht="25.5">
      <c r="A80" s="3540" t="s">
        <v>389</v>
      </c>
      <c r="B80" s="3541"/>
      <c r="C80" s="907"/>
      <c r="D80" s="907" t="s">
        <v>390</v>
      </c>
      <c r="E80" s="340" t="s">
        <v>391</v>
      </c>
      <c r="F80" s="38"/>
      <c r="G80" s="38"/>
      <c r="H80" s="866"/>
      <c r="I80" s="287"/>
      <c r="J80" s="1636"/>
      <c r="K80" s="3594"/>
      <c r="L80" s="3572"/>
      <c r="M80" s="2330" t="s">
        <v>386</v>
      </c>
      <c r="N80" s="1107"/>
      <c r="O80" s="1108" t="str">
        <f ca="1">NUMBERSTRING(INT(O79*10000),2)&amp;"元整"</f>
        <v>肆亿捌仟捌佰柒拾贰万元整</v>
      </c>
      <c r="P80" s="1109"/>
      <c r="Q80" s="1636"/>
      <c r="R80" s="1636"/>
      <c r="S80" s="1636"/>
      <c r="T80" s="1636"/>
      <c r="U80" s="1636"/>
      <c r="V80" s="1636"/>
    </row>
    <row r="81" spans="1:26" ht="13.5" thickBot="1">
      <c r="A81" s="351" t="s">
        <v>1352</v>
      </c>
      <c r="B81" s="341" t="s">
        <v>392</v>
      </c>
      <c r="C81" s="342">
        <f ca="1">ROUND((C82+C83)/(1+'数据-取费表'!C42),0)</f>
        <v>49487</v>
      </c>
      <c r="D81" s="343"/>
      <c r="E81" s="344"/>
      <c r="F81" s="38"/>
      <c r="G81" s="38"/>
      <c r="H81" s="866"/>
      <c r="I81" s="287"/>
      <c r="J81" s="1636"/>
      <c r="K81" s="1632">
        <f>K79+1</f>
        <v>6</v>
      </c>
      <c r="L81" s="3570" t="s">
        <v>2158</v>
      </c>
      <c r="M81" s="3571"/>
      <c r="N81" s="1111"/>
      <c r="O81" s="1112">
        <f ca="1">ROUND(O79*10000/'数据-汇总表'!E3,0)</f>
        <v>8428</v>
      </c>
      <c r="P81" s="1113"/>
      <c r="Q81" s="1636"/>
      <c r="R81" s="1636"/>
      <c r="S81" s="1636"/>
      <c r="T81" s="1636"/>
      <c r="U81" s="1636"/>
      <c r="V81" s="1636"/>
    </row>
    <row r="82" spans="1:26" ht="13.5" thickTop="1">
      <c r="A82" s="345" t="s">
        <v>1353</v>
      </c>
      <c r="B82" s="346" t="s">
        <v>393</v>
      </c>
      <c r="C82" s="347">
        <f ca="1">D63</f>
        <v>51961</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86" t="s">
        <v>2146</v>
      </c>
      <c r="L83" s="2336" t="s">
        <v>2147</v>
      </c>
      <c r="M83" s="2326">
        <f ca="1">IF(N69&gt;10000,N69*0.5%,IF(AND(N69&gt;1000,N69&lt;=10000),N69*1%,IF(AND(N69&gt;100,N69&lt;=1000),N69*3%,IF(AND(N69&gt;10,N69&lt;=100),N69*5%,N69*8%))))</f>
        <v>258.10000000000002</v>
      </c>
      <c r="N83" s="49">
        <f ca="1">ROUND(M83,1)</f>
        <v>258.10000000000002</v>
      </c>
      <c r="O83" s="2329"/>
      <c r="P83" s="1636"/>
      <c r="Q83" s="1636"/>
      <c r="R83" s="1636"/>
      <c r="S83" s="1636"/>
      <c r="T83" s="1636"/>
      <c r="U83" s="1636"/>
      <c r="V83" s="1636"/>
    </row>
    <row r="84" spans="1:26" ht="12.75">
      <c r="A84" s="351" t="s">
        <v>1355</v>
      </c>
      <c r="B84" s="352" t="s">
        <v>395</v>
      </c>
      <c r="C84" s="353"/>
      <c r="D84" s="354" t="s">
        <v>13</v>
      </c>
      <c r="E84" s="2351" t="s">
        <v>2196</v>
      </c>
      <c r="F84" s="38"/>
      <c r="G84" s="38"/>
      <c r="H84" s="866"/>
      <c r="I84" s="287"/>
      <c r="J84" s="1636"/>
      <c r="K84" s="3586"/>
      <c r="L84" s="2336" t="s">
        <v>2148</v>
      </c>
      <c r="M84" s="2326">
        <f ca="1">IF(N69&gt;2000,N69*0.5%,IF(AND(N69&gt;1000,N69&lt;=2000),N69*0.6%,IF(AND(N69&gt;500,N69&lt;=1000),N69*0.7%,IF(AND(N69&gt;200,N69&lt;=500),N69*0.8%,IF(AND(N69&gt;100,N69&lt;=200),N69*0.9%,IF(AND(N69&gt;50,N69&lt;=100),N69*1%,IF(AND(N69&gt;20,N69&lt;=50),N69*1.5%,IF(AND(N69&gt;10,N69&lt;=20),N69*2%,IF(AND(N69&gt;1,N69&lt;=10),N69*2.5%)))))))))</f>
        <v>258.10000000000002</v>
      </c>
      <c r="N84" s="49">
        <f ca="1">ROUND(M84,1)</f>
        <v>258.10000000000002</v>
      </c>
      <c r="O84" s="1636" t="s">
        <v>2149</v>
      </c>
      <c r="P84" s="1636"/>
      <c r="Q84" s="1636"/>
      <c r="R84" s="1636"/>
      <c r="S84" s="1636"/>
      <c r="T84" s="1636"/>
      <c r="U84" s="1636"/>
      <c r="V84" s="1636"/>
    </row>
    <row r="85" spans="1:26" ht="12.75">
      <c r="A85" s="351" t="s">
        <v>1356</v>
      </c>
      <c r="B85" s="352" t="s">
        <v>396</v>
      </c>
      <c r="C85" s="355">
        <f ca="1">C81-C84</f>
        <v>49487</v>
      </c>
      <c r="D85" s="348" t="s">
        <v>13</v>
      </c>
      <c r="E85" s="349"/>
      <c r="F85" s="38"/>
      <c r="G85" s="38"/>
      <c r="H85" s="866"/>
      <c r="I85" s="287"/>
      <c r="J85" s="1636"/>
      <c r="K85" s="3586"/>
      <c r="L85" s="2336" t="s">
        <v>2150</v>
      </c>
      <c r="M85" s="2326">
        <f ca="1">IF(N69&gt;1000,N69*0.1%,IF(AND(N69&gt;500,N69&lt;=1000),N69*0.5%,IF(AND(N69&gt;50,N69&lt;=500),N69*1%,IF(AND(N69&gt;1,N69&lt;=50),N69*1.5%))))</f>
        <v>51.620000000000005</v>
      </c>
      <c r="N85" s="49">
        <f ca="1">ROUND(M85,1)</f>
        <v>51.6</v>
      </c>
      <c r="O85" s="1636" t="s">
        <v>2149</v>
      </c>
      <c r="P85" s="1636"/>
      <c r="Q85" s="1636"/>
      <c r="R85" s="1636"/>
      <c r="S85" s="1636"/>
      <c r="T85" s="1636"/>
      <c r="U85" s="1636"/>
      <c r="V85" s="1636"/>
    </row>
    <row r="86" spans="1:26" ht="13.5" thickBot="1">
      <c r="A86" s="356" t="s">
        <v>1357</v>
      </c>
      <c r="B86" s="357" t="s">
        <v>397</v>
      </c>
      <c r="C86" s="358">
        <f ca="1">IF(C85&lt;=0,0,ROUND(C85*D86,0))</f>
        <v>2722</v>
      </c>
      <c r="D86" s="359">
        <f>'数据-取费表'!B41</f>
        <v>5.5000000000000007E-2</v>
      </c>
      <c r="E86" s="360"/>
      <c r="F86" s="38"/>
      <c r="G86" s="38"/>
      <c r="H86" s="866"/>
      <c r="I86" s="287"/>
      <c r="J86" s="1636"/>
      <c r="K86" s="3586"/>
      <c r="L86" s="2336" t="s">
        <v>2151</v>
      </c>
      <c r="M86" s="2326">
        <f ca="1">N69*0.5%</f>
        <v>258.10000000000002</v>
      </c>
      <c r="N86" s="49">
        <f ca="1">IF(M86&gt;0.5,0.5,ROUND(M86,0))</f>
        <v>0.5</v>
      </c>
      <c r="O86" s="1636" t="s">
        <v>2152</v>
      </c>
      <c r="P86" s="1636"/>
      <c r="Q86" s="1636"/>
      <c r="R86" s="1636"/>
      <c r="S86" s="1636"/>
      <c r="T86" s="1636"/>
      <c r="U86" s="1636"/>
      <c r="V86" s="1636"/>
    </row>
    <row r="87" spans="1:26" ht="14.25" customHeight="1">
      <c r="A87" s="1114"/>
      <c r="B87" s="1115"/>
      <c r="C87" s="1116"/>
      <c r="D87" s="1117"/>
      <c r="E87" s="1118"/>
      <c r="F87" s="38"/>
      <c r="G87" s="38"/>
      <c r="H87" s="866"/>
      <c r="I87" s="287"/>
      <c r="J87" s="1636"/>
      <c r="K87" s="3586"/>
      <c r="L87" s="2336" t="s">
        <v>2153</v>
      </c>
      <c r="M87" s="2326">
        <f ca="1">IF(N69&gt;=10000,(8.25+(N69-10000)*0.01%),IF(AND(N69&gt;=8000,N69&lt;10000),(7.85+(N69-8000)*0.02%),IF(AND(N69&gt;=5000,N69&lt;8000),(6.65+(N69-5000)*0.04%),IF(AND(N69&gt;=2000,N69&lt;5000),(4.25+(PN69-2000)*0.08%),IF(AND(N69&gt;=1000,N69&lt;2000),(2.75+(N69-1000)*0.15%),IF(AND(N69&gt;=100,N69&lt;1000),(0.5+(N69-100)*0.25%),IF(AND(N69&gt;0,N69&lt;100),N69*0.5%)))))))</f>
        <v>12.411999999999999</v>
      </c>
      <c r="N87" s="49">
        <f ca="1">ROUND(M87*0.9,1)</f>
        <v>11.2</v>
      </c>
      <c r="O87" s="2329"/>
      <c r="P87" s="1636"/>
      <c r="Q87" s="1636"/>
      <c r="R87" s="1636"/>
      <c r="S87" s="1636"/>
      <c r="T87" s="1636"/>
      <c r="U87" s="1636"/>
      <c r="V87" s="1636"/>
    </row>
    <row r="88" spans="1:26" s="1007" customFormat="1" ht="15" thickBot="1">
      <c r="A88" s="3565" t="s">
        <v>398</v>
      </c>
      <c r="B88" s="3566"/>
      <c r="C88" s="3566"/>
      <c r="D88" s="3566"/>
      <c r="E88" s="3566"/>
      <c r="F88" s="3566"/>
      <c r="G88" s="3566"/>
      <c r="H88" s="3566"/>
      <c r="I88" s="1119"/>
      <c r="J88" s="1650"/>
      <c r="K88" s="3586"/>
      <c r="L88" s="2336" t="s">
        <v>2154</v>
      </c>
      <c r="M88" s="2326">
        <f ca="1">IF(N69&gt;10000,N69*0.5%,IF(AND(N69&gt;5000,N69&lt;=10000),N69*1%,IF(AND(N69&gt;1000,N69&lt;=5000),N69*2%,IF(AND(N69&gt;200,N69&lt;=1000),N69*3%,N69*5%))))</f>
        <v>258.10000000000002</v>
      </c>
      <c r="N88" s="49">
        <f ca="1">ROUND(M88,1)</f>
        <v>258.10000000000002</v>
      </c>
      <c r="O88" s="2329"/>
      <c r="P88" s="1647"/>
      <c r="Q88" s="1647"/>
      <c r="R88" s="1647"/>
      <c r="S88" s="1647"/>
      <c r="T88" s="1647"/>
      <c r="U88" s="1647"/>
      <c r="V88" s="1647"/>
      <c r="W88" s="1651"/>
      <c r="X88" s="1651"/>
      <c r="Y88" s="1651"/>
      <c r="Z88" s="1651"/>
    </row>
    <row r="89" spans="1:26" s="1007" customFormat="1" ht="14.25">
      <c r="A89" s="3540" t="s">
        <v>389</v>
      </c>
      <c r="B89" s="3541"/>
      <c r="C89" s="907"/>
      <c r="D89" s="907" t="s">
        <v>390</v>
      </c>
      <c r="E89" s="361" t="s">
        <v>399</v>
      </c>
      <c r="F89" s="362"/>
      <c r="G89" s="362"/>
      <c r="H89" s="363"/>
      <c r="I89" s="1120"/>
      <c r="J89" s="1652"/>
      <c r="K89" s="3586"/>
      <c r="L89" s="2336" t="s">
        <v>16</v>
      </c>
      <c r="M89" s="2327"/>
      <c r="N89" s="49">
        <f ca="1">ROUND(SUM(N83:N88),0)</f>
        <v>838</v>
      </c>
      <c r="O89" s="2337">
        <f ca="1">N89/N69</f>
        <v>1.62340178225494E-2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49487</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247</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22" t="s">
        <v>407</v>
      </c>
      <c r="F94" s="3521"/>
      <c r="G94" s="3521"/>
      <c r="H94" s="3564"/>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247</v>
      </c>
      <c r="D96" s="376">
        <f>'数据-取费表'!B43</f>
        <v>5.000000000000001E-3</v>
      </c>
      <c r="E96" s="3556" t="s">
        <v>1778</v>
      </c>
      <c r="F96" s="3557"/>
      <c r="G96" s="3557"/>
      <c r="H96" s="3558"/>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49240</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199.35222672064776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29458</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65" t="s">
        <v>414</v>
      </c>
      <c r="B101" s="3566"/>
      <c r="C101" s="3566"/>
      <c r="D101" s="3566"/>
      <c r="E101" s="3566"/>
      <c r="F101" s="3566"/>
      <c r="G101" s="3566"/>
      <c r="H101" s="3566"/>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40" t="s">
        <v>389</v>
      </c>
      <c r="B102" s="3541"/>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49487</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51772</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51525</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v>50000</v>
      </c>
      <c r="D106" s="376"/>
      <c r="E106" s="387" t="s">
        <v>417</v>
      </c>
      <c r="F106" s="900"/>
      <c r="G106" s="388" t="s">
        <v>418</v>
      </c>
      <c r="H106" s="389" t="s">
        <v>4123</v>
      </c>
      <c r="I106" s="9"/>
      <c r="J106" s="1647"/>
      <c r="K106" s="2742" t="s">
        <v>2271</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1525</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16" t="s">
        <v>2245</v>
      </c>
      <c r="H108" s="3517"/>
      <c r="I108" s="2416"/>
      <c r="J108" s="1647"/>
      <c r="K108" s="2742" t="s">
        <v>2272</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59" t="s">
        <v>422</v>
      </c>
      <c r="F109" s="3557"/>
      <c r="G109" s="3557"/>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2">
        <v>0</v>
      </c>
      <c r="E110" s="3559" t="s">
        <v>424</v>
      </c>
      <c r="F110" s="3557"/>
      <c r="G110" s="3557"/>
      <c r="H110" s="3558"/>
      <c r="I110" s="9"/>
      <c r="J110" s="1647"/>
      <c r="K110" s="2743" t="s">
        <v>2273</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247</v>
      </c>
      <c r="D111" s="376">
        <f>'数据-取费表'!B43</f>
        <v>5.000000000000001E-3</v>
      </c>
      <c r="E111" s="3556" t="s">
        <v>1778</v>
      </c>
      <c r="F111" s="3557"/>
      <c r="G111" s="3557"/>
      <c r="H111" s="3558"/>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59" t="s">
        <v>1797</v>
      </c>
      <c r="F112" s="3557"/>
      <c r="G112" s="3557"/>
      <c r="H112" s="3558"/>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-2285</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0</v>
      </c>
      <c r="D114" s="348"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63" priority="3" stopIfTrue="1">
      <formula>$H$106&lt;&gt;"仅含出让金"</formula>
    </cfRule>
  </conditionalFormatting>
  <conditionalFormatting sqref="C109">
    <cfRule type="expression" dxfId="162" priority="2" stopIfTrue="1">
      <formula>$H$109="由企业提供"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I33">
    <cfRule type="expression" dxfId="158"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FFC000"/>
    <pageSetUpPr fitToPage="1"/>
  </sheetPr>
  <dimension ref="A1:AC258"/>
  <sheetViews>
    <sheetView view="pageBreakPreview" topLeftCell="C54" zoomScale="80" zoomScaleNormal="95" zoomScaleSheetLayoutView="80" workbookViewId="0">
      <selection activeCell="F67" sqref="F6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459">
        <f>F67</f>
        <v>55115</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9504</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0" customFormat="1" ht="28.5" customHeight="1">
      <c r="A4" s="462" t="s">
        <v>469</v>
      </c>
      <c r="B4" s="397">
        <f>IF(B48="单位面积地价",C50,ROUND(B2*10000/'数据-汇总表'!D3,0))</f>
        <v>28237</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1883</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5" t="s">
        <v>471</v>
      </c>
      <c r="D6" s="3606"/>
      <c r="E6" s="3605" t="s">
        <v>472</v>
      </c>
      <c r="F6" s="3606"/>
      <c r="G6" s="3605" t="s">
        <v>473</v>
      </c>
      <c r="H6" s="3606"/>
      <c r="I6" s="3605" t="s">
        <v>474</v>
      </c>
      <c r="J6" s="3606"/>
      <c r="K6" s="465" t="s">
        <v>475</v>
      </c>
      <c r="L6" s="1741"/>
      <c r="M6" s="1740"/>
      <c r="N6" s="1740"/>
      <c r="O6" s="1742"/>
      <c r="P6" s="3607" t="s">
        <v>476</v>
      </c>
      <c r="Q6" s="3608"/>
      <c r="R6" s="3613" t="s">
        <v>472</v>
      </c>
      <c r="S6" s="3614"/>
      <c r="T6" s="3613" t="s">
        <v>473</v>
      </c>
      <c r="U6" s="3614"/>
      <c r="V6" s="3600" t="s">
        <v>474</v>
      </c>
      <c r="W6" s="3600"/>
      <c r="X6" s="1302"/>
      <c r="Y6" s="3613" t="s">
        <v>476</v>
      </c>
      <c r="Z6" s="3614"/>
      <c r="AA6" s="3602" t="s">
        <v>472</v>
      </c>
      <c r="AB6" s="3603" t="s">
        <v>473</v>
      </c>
      <c r="AC6" s="3602" t="s">
        <v>474</v>
      </c>
    </row>
    <row r="7" spans="1:29" ht="47.25" customHeight="1">
      <c r="A7" s="466"/>
      <c r="B7" s="467"/>
      <c r="C7" s="3623" t="str">
        <f>项目基本情况!F10</f>
        <v>北京大兴国际机场临空经济区0105街区DX16-0105-6018地块F1住宅混合公建用地出让国有建设用地</v>
      </c>
      <c r="D7" s="3622"/>
      <c r="E7" s="3621" t="str">
        <f>土地案例!A2</f>
        <v>北京大兴国际机场临空经济区0105街区DX16-0105-6037地块F1住宅混合公建用地</v>
      </c>
      <c r="F7" s="3622"/>
      <c r="G7" s="3621" t="str">
        <f>土地案例!A3</f>
        <v>北京市房山区阎村镇FS07-0104-0077地块R2二类居住用地</v>
      </c>
      <c r="H7" s="3622"/>
      <c r="I7" s="3621" t="str">
        <f>土地案例!A4</f>
        <v>北京市房山区城关中心区FS00-0230-0018地块R2二类居住用地</v>
      </c>
      <c r="J7" s="3622"/>
      <c r="K7" s="465"/>
      <c r="L7" s="1741"/>
      <c r="M7" s="1740"/>
      <c r="N7" s="1740"/>
      <c r="O7" s="1742"/>
      <c r="P7" s="3609"/>
      <c r="Q7" s="3610"/>
      <c r="R7" s="3615"/>
      <c r="S7" s="3616"/>
      <c r="T7" s="3615"/>
      <c r="U7" s="3616"/>
      <c r="V7" s="3600"/>
      <c r="W7" s="3600"/>
      <c r="X7" s="1302"/>
      <c r="Y7" s="3615"/>
      <c r="Z7" s="3616"/>
      <c r="AA7" s="3603"/>
      <c r="AB7" s="3603"/>
      <c r="AC7" s="3603"/>
    </row>
    <row r="8" spans="1:29" ht="21" thickBot="1">
      <c r="A8" s="466"/>
      <c r="B8" s="467"/>
      <c r="C8" s="3624" t="s">
        <v>2189</v>
      </c>
      <c r="D8" s="3625"/>
      <c r="E8" s="3624" t="s">
        <v>2189</v>
      </c>
      <c r="F8" s="3625"/>
      <c r="G8" s="3619" t="s">
        <v>2189</v>
      </c>
      <c r="H8" s="3620"/>
      <c r="I8" s="3619" t="s">
        <v>2189</v>
      </c>
      <c r="J8" s="3620"/>
      <c r="K8" s="465" t="s">
        <v>477</v>
      </c>
      <c r="L8" s="1741"/>
      <c r="M8" s="1740"/>
      <c r="N8" s="1740"/>
      <c r="O8" s="1742"/>
      <c r="P8" s="3611"/>
      <c r="Q8" s="3612"/>
      <c r="R8" s="3615"/>
      <c r="S8" s="3616"/>
      <c r="T8" s="3617"/>
      <c r="U8" s="3618"/>
      <c r="V8" s="3600"/>
      <c r="W8" s="3600"/>
      <c r="X8" s="1302"/>
      <c r="Y8" s="3617"/>
      <c r="Z8" s="3618"/>
      <c r="AA8" s="3604"/>
      <c r="AB8" s="3604"/>
      <c r="AC8" s="3604"/>
    </row>
    <row r="9" spans="1:29" s="1059" customFormat="1" ht="21" thickBot="1">
      <c r="A9" s="2208"/>
      <c r="B9" s="2215" t="s">
        <v>478</v>
      </c>
      <c r="C9" s="2207">
        <f>'数据-取费表'!B2</f>
        <v>45617</v>
      </c>
      <c r="D9" s="471">
        <v>100</v>
      </c>
      <c r="E9" s="472" t="str">
        <f>土地案例!AG2</f>
        <v>2023-12-26</v>
      </c>
      <c r="F9" s="473">
        <f>SUMIF(71:71,YEAR(E9)&amp;"-"&amp;INT((MONTH(E9)+2)/3),72:72)</f>
        <v>100</v>
      </c>
      <c r="G9" s="474" t="str">
        <f>土地案例!AG3</f>
        <v>2023-09-26</v>
      </c>
      <c r="H9" s="471">
        <f>SUMIF(71:71,YEAR(G9)&amp;"-"&amp;INT((MONTH(G9)+2)/3),72:72)</f>
        <v>100</v>
      </c>
      <c r="I9" s="474" t="str">
        <f>土地案例!AG4</f>
        <v>2023-06-30</v>
      </c>
      <c r="J9" s="471">
        <f>SUMIF(71:71,YEAR(I9)&amp;"-"&amp;INT((MONTH(I9)+2)/3),72:72)</f>
        <v>100</v>
      </c>
      <c r="K9" s="88"/>
      <c r="L9" s="1743"/>
      <c r="M9" s="1740"/>
      <c r="N9" s="1740"/>
      <c r="O9" s="1640"/>
      <c r="P9" s="3630" t="s">
        <v>479</v>
      </c>
      <c r="Q9" s="3632"/>
      <c r="R9" s="1303" t="s">
        <v>5</v>
      </c>
      <c r="S9" s="1304">
        <f t="shared" ref="S9:S17" si="0">F9</f>
        <v>100</v>
      </c>
      <c r="T9" s="1303" t="s">
        <v>5</v>
      </c>
      <c r="U9" s="1304">
        <f t="shared" ref="U9:U17" si="1">H9</f>
        <v>100</v>
      </c>
      <c r="V9" s="1303" t="s">
        <v>5</v>
      </c>
      <c r="W9" s="1304">
        <f t="shared" ref="W9:W17" si="2">J9</f>
        <v>100</v>
      </c>
      <c r="X9" s="1305"/>
      <c r="Y9" s="3630" t="s">
        <v>479</v>
      </c>
      <c r="Z9" s="3631"/>
      <c r="AA9" s="996">
        <f>D9/F9</f>
        <v>1</v>
      </c>
      <c r="AB9" s="996">
        <f>D9/H9</f>
        <v>1</v>
      </c>
      <c r="AC9" s="996">
        <f>D9/J9</f>
        <v>1</v>
      </c>
    </row>
    <row r="10" spans="1:29" s="1059"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630" t="s">
        <v>482</v>
      </c>
      <c r="Q10" s="3631"/>
      <c r="R10" s="1303" t="s">
        <v>5</v>
      </c>
      <c r="S10" s="1304">
        <f t="shared" si="0"/>
        <v>100</v>
      </c>
      <c r="T10" s="1303" t="s">
        <v>5</v>
      </c>
      <c r="U10" s="1304">
        <f t="shared" si="1"/>
        <v>100</v>
      </c>
      <c r="V10" s="1303" t="s">
        <v>5</v>
      </c>
      <c r="W10" s="1304">
        <f t="shared" si="2"/>
        <v>100</v>
      </c>
      <c r="X10" s="1305"/>
      <c r="Y10" s="3630" t="s">
        <v>482</v>
      </c>
      <c r="Z10" s="3631"/>
      <c r="AA10" s="996">
        <f t="shared" ref="AA10:AA47" si="3">D10/F10</f>
        <v>1</v>
      </c>
      <c r="AB10" s="996">
        <f t="shared" ref="AB10:AB47" si="4">D10/H10</f>
        <v>1</v>
      </c>
      <c r="AC10" s="996">
        <f t="shared" ref="AC10:AC47" si="5">D10/J10</f>
        <v>1</v>
      </c>
    </row>
    <row r="11" spans="1:29" s="1059" customFormat="1" ht="20.25">
      <c r="A11" s="2210"/>
      <c r="B11" s="2217" t="s">
        <v>2036</v>
      </c>
      <c r="C11" s="3422" t="s">
        <v>4014</v>
      </c>
      <c r="D11" s="154">
        <v>100</v>
      </c>
      <c r="E11" s="3423" t="s">
        <v>4016</v>
      </c>
      <c r="F11" s="154">
        <f>SUMIF(76:76,E11,77:77)-SUMIF(76:76,C11,77:77)+100</f>
        <v>99</v>
      </c>
      <c r="G11" s="3423" t="s">
        <v>851</v>
      </c>
      <c r="H11" s="154">
        <f>SUMIF(76:76,G11,77:77)-SUMIF(76:76,C11,77:77)+100</f>
        <v>103</v>
      </c>
      <c r="I11" s="3423" t="s">
        <v>851</v>
      </c>
      <c r="J11" s="154">
        <f>SUMIF(76:76,I11,77:77)-SUMIF(76:76,C11,77:77)+100</f>
        <v>103</v>
      </c>
      <c r="K11" s="88"/>
      <c r="L11" s="1743"/>
      <c r="M11" s="1740"/>
      <c r="N11" s="1740"/>
      <c r="O11" s="1744"/>
      <c r="P11" s="3599" t="s">
        <v>484</v>
      </c>
      <c r="Q11" s="817" t="str">
        <f t="shared" ref="Q11:Q17" si="6">B11</f>
        <v>用途</v>
      </c>
      <c r="R11" s="1303" t="s">
        <v>5</v>
      </c>
      <c r="S11" s="1304">
        <f t="shared" si="0"/>
        <v>99</v>
      </c>
      <c r="T11" s="1303" t="s">
        <v>5</v>
      </c>
      <c r="U11" s="1304">
        <f t="shared" si="1"/>
        <v>103</v>
      </c>
      <c r="V11" s="1303" t="s">
        <v>5</v>
      </c>
      <c r="W11" s="1304">
        <f t="shared" si="2"/>
        <v>103</v>
      </c>
      <c r="X11" s="1305"/>
      <c r="Y11" s="3547" t="s">
        <v>485</v>
      </c>
      <c r="Z11" s="996" t="str">
        <f t="shared" ref="Z11:Z17" si="7">Q11</f>
        <v>用途</v>
      </c>
      <c r="AA11" s="996">
        <f t="shared" si="3"/>
        <v>1.0101010101010102</v>
      </c>
      <c r="AB11" s="996">
        <f t="shared" si="4"/>
        <v>0.970873786407767</v>
      </c>
      <c r="AC11" s="996">
        <f t="shared" si="5"/>
        <v>0.970873786407767</v>
      </c>
    </row>
    <row r="12" spans="1:29" s="1132" customFormat="1" ht="27">
      <c r="A12" s="2211"/>
      <c r="B12" s="2216" t="s">
        <v>2037</v>
      </c>
      <c r="C12" s="832"/>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599"/>
      <c r="Q12" s="817" t="str">
        <f t="shared" si="6"/>
        <v>土地使用年限（年）</v>
      </c>
      <c r="R12" s="1303" t="s">
        <v>5</v>
      </c>
      <c r="S12" s="1304">
        <f t="shared" si="0"/>
        <v>100</v>
      </c>
      <c r="T12" s="1303" t="s">
        <v>5</v>
      </c>
      <c r="U12" s="1304">
        <f t="shared" si="1"/>
        <v>100</v>
      </c>
      <c r="V12" s="1303" t="s">
        <v>5</v>
      </c>
      <c r="W12" s="1304">
        <f t="shared" si="2"/>
        <v>100</v>
      </c>
      <c r="X12" s="1305"/>
      <c r="Y12" s="3547"/>
      <c r="Z12" s="996" t="str">
        <f t="shared" si="7"/>
        <v>土地使用年限（年）</v>
      </c>
      <c r="AA12" s="996">
        <f t="shared" si="3"/>
        <v>1</v>
      </c>
      <c r="AB12" s="996">
        <f t="shared" si="4"/>
        <v>1</v>
      </c>
      <c r="AC12" s="996">
        <f t="shared" si="5"/>
        <v>1</v>
      </c>
    </row>
    <row r="13" spans="1:29" ht="20.25">
      <c r="A13" s="2212"/>
      <c r="B13" s="2216" t="s">
        <v>2038</v>
      </c>
      <c r="C13" s="484">
        <f>'数据-汇总表'!I7</f>
        <v>2</v>
      </c>
      <c r="D13" s="235">
        <v>100</v>
      </c>
      <c r="E13" s="483">
        <f>土地案例!T2</f>
        <v>2</v>
      </c>
      <c r="F13" s="235">
        <f>LOOKUP(E13,81:81,82:82)-LOOKUP(C13,81:81,82:82)+100</f>
        <v>100</v>
      </c>
      <c r="G13" s="484">
        <f>土地案例!T3</f>
        <v>1.5</v>
      </c>
      <c r="H13" s="235">
        <f>LOOKUP(G13,81:81,82:82)-LOOKUP(C13,81:81,82:82)+100</f>
        <v>101</v>
      </c>
      <c r="I13" s="483">
        <f>土地案例!T4</f>
        <v>2.8</v>
      </c>
      <c r="J13" s="235">
        <f>LOOKUP(I13,81:81,82:82)-LOOKUP(C13,81:81,82:82)+100</f>
        <v>100</v>
      </c>
      <c r="K13" s="485">
        <v>1</v>
      </c>
      <c r="L13" s="1747"/>
      <c r="M13" s="1740"/>
      <c r="N13" s="1740"/>
      <c r="O13" s="1748"/>
      <c r="P13" s="3599"/>
      <c r="Q13" s="817" t="str">
        <f t="shared" si="6"/>
        <v>容积率</v>
      </c>
      <c r="R13" s="1303" t="s">
        <v>5</v>
      </c>
      <c r="S13" s="1304">
        <f t="shared" si="0"/>
        <v>100</v>
      </c>
      <c r="T13" s="1303" t="s">
        <v>5</v>
      </c>
      <c r="U13" s="1304">
        <f t="shared" si="1"/>
        <v>101</v>
      </c>
      <c r="V13" s="1303" t="s">
        <v>5</v>
      </c>
      <c r="W13" s="1304">
        <f t="shared" si="2"/>
        <v>100</v>
      </c>
      <c r="X13" s="1305"/>
      <c r="Y13" s="3547"/>
      <c r="Z13" s="996" t="str">
        <f t="shared" si="7"/>
        <v>容积率</v>
      </c>
      <c r="AA13" s="996">
        <f t="shared" si="3"/>
        <v>1</v>
      </c>
      <c r="AB13" s="996">
        <f t="shared" si="4"/>
        <v>0.99009900990099009</v>
      </c>
      <c r="AC13" s="996">
        <f t="shared" si="5"/>
        <v>1</v>
      </c>
    </row>
    <row r="14" spans="1:29" s="1059" customFormat="1" ht="20.25" hidden="1">
      <c r="A14" s="2209"/>
      <c r="B14" s="2218" t="s">
        <v>2039</v>
      </c>
      <c r="C14" s="2205"/>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599"/>
      <c r="Q14" s="817" t="str">
        <f t="shared" si="6"/>
        <v>配建</v>
      </c>
      <c r="R14" s="1303" t="s">
        <v>5</v>
      </c>
      <c r="S14" s="1304">
        <f t="shared" si="0"/>
        <v>100</v>
      </c>
      <c r="T14" s="1303" t="s">
        <v>5</v>
      </c>
      <c r="U14" s="1304">
        <f t="shared" si="1"/>
        <v>100</v>
      </c>
      <c r="V14" s="1303" t="s">
        <v>5</v>
      </c>
      <c r="W14" s="1304">
        <f t="shared" si="2"/>
        <v>100</v>
      </c>
      <c r="X14" s="1305"/>
      <c r="Y14" s="3547"/>
      <c r="Z14" s="996" t="str">
        <f t="shared" si="7"/>
        <v>配建</v>
      </c>
      <c r="AA14" s="996">
        <f>D14/F14</f>
        <v>1</v>
      </c>
      <c r="AB14" s="996">
        <f>D14/H14</f>
        <v>1</v>
      </c>
      <c r="AC14" s="996">
        <f>D14/J14</f>
        <v>1</v>
      </c>
    </row>
    <row r="15" spans="1:29" ht="21" thickBot="1">
      <c r="A15" s="2213"/>
      <c r="B15" s="3413" t="s">
        <v>4114</v>
      </c>
      <c r="C15" s="3420">
        <f>土地案例!BC31</f>
        <v>30000</v>
      </c>
      <c r="D15" s="490">
        <v>100</v>
      </c>
      <c r="E15" s="3419">
        <f>土地案例!BC2</f>
        <v>30000</v>
      </c>
      <c r="F15" s="235">
        <f>SUMIF(85:85,E15,86:86)-SUMIF(85:85,C15,86:86)+100</f>
        <v>100</v>
      </c>
      <c r="G15" s="3421">
        <f>土地案例!BC3</f>
        <v>37000</v>
      </c>
      <c r="H15" s="490">
        <f>SUMIF(85:85,G15,86:86)-SUMIF(85:85,C15,86:86)+100</f>
        <v>102</v>
      </c>
      <c r="I15" s="3421">
        <f>土地案例!BC4</f>
        <v>27000</v>
      </c>
      <c r="J15" s="490">
        <f>SUMIF(85:85,I15,86:86)-SUMIF(85:85,C15,86:86)+100</f>
        <v>98</v>
      </c>
      <c r="K15" s="481"/>
      <c r="L15" s="1749"/>
      <c r="M15" s="1740"/>
      <c r="N15" s="1740"/>
      <c r="O15" s="1748"/>
      <c r="P15" s="3599"/>
      <c r="Q15" s="817" t="str">
        <f t="shared" si="6"/>
        <v>限价</v>
      </c>
      <c r="R15" s="1303" t="s">
        <v>5</v>
      </c>
      <c r="S15" s="1304">
        <f t="shared" si="0"/>
        <v>100</v>
      </c>
      <c r="T15" s="1303" t="s">
        <v>5</v>
      </c>
      <c r="U15" s="1304">
        <f t="shared" si="1"/>
        <v>102</v>
      </c>
      <c r="V15" s="1303" t="s">
        <v>5</v>
      </c>
      <c r="W15" s="1304">
        <f t="shared" si="2"/>
        <v>98</v>
      </c>
      <c r="X15" s="1305"/>
      <c r="Y15" s="3547"/>
      <c r="Z15" s="996" t="str">
        <f t="shared" si="7"/>
        <v>限价</v>
      </c>
      <c r="AA15" s="996">
        <f>D15/F15</f>
        <v>1</v>
      </c>
      <c r="AB15" s="996">
        <f>D15/H15</f>
        <v>0.98039215686274506</v>
      </c>
      <c r="AC15" s="996">
        <f>D15/J15</f>
        <v>1.0204081632653061</v>
      </c>
    </row>
    <row r="16" spans="1:29" ht="21" hidden="1" thickBot="1">
      <c r="A16" s="2214"/>
      <c r="B16" s="2220">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9"/>
      <c r="Q16" s="817">
        <f t="shared" si="6"/>
        <v>111</v>
      </c>
      <c r="R16" s="1303" t="s">
        <v>5</v>
      </c>
      <c r="S16" s="1304">
        <f t="shared" si="0"/>
        <v>100</v>
      </c>
      <c r="T16" s="1303" t="s">
        <v>5</v>
      </c>
      <c r="U16" s="1304">
        <f t="shared" si="1"/>
        <v>100</v>
      </c>
      <c r="V16" s="1303" t="s">
        <v>5</v>
      </c>
      <c r="W16" s="1304">
        <f t="shared" si="2"/>
        <v>100</v>
      </c>
      <c r="X16" s="1305"/>
      <c r="Y16" s="3547"/>
      <c r="Z16" s="996">
        <f t="shared" si="7"/>
        <v>111</v>
      </c>
      <c r="AA16" s="996">
        <f>D16/F16</f>
        <v>1</v>
      </c>
      <c r="AB16" s="996">
        <f>D16/H16</f>
        <v>1</v>
      </c>
      <c r="AC16" s="996">
        <f>D16/J16</f>
        <v>1</v>
      </c>
    </row>
    <row r="17" spans="1:29" ht="20.25">
      <c r="A17" s="2206" t="s">
        <v>2034</v>
      </c>
      <c r="B17" s="528" t="s">
        <v>261</v>
      </c>
      <c r="C17" s="498" t="str">
        <f>估价对象房地状况!C15</f>
        <v>较差</v>
      </c>
      <c r="D17" s="501">
        <v>100</v>
      </c>
      <c r="E17" s="502" t="s">
        <v>3344</v>
      </c>
      <c r="F17" s="499">
        <f>SUMIF(89:89,E18,90:90)-SUMIF(89:89,C18,90:90)+100</f>
        <v>100</v>
      </c>
      <c r="G17" s="3403" t="s">
        <v>4031</v>
      </c>
      <c r="H17" s="499">
        <f>SUMIF(89:89,G18,90:90)-SUMIF(89:89,C18,90:90)+100</f>
        <v>102</v>
      </c>
      <c r="I17" s="502" t="s">
        <v>3343</v>
      </c>
      <c r="J17" s="499">
        <f>SUMIF(89:89,I18,90:90)-SUMIF(89:89,C18,90:90)+100</f>
        <v>101</v>
      </c>
      <c r="K17" s="485">
        <v>1</v>
      </c>
      <c r="L17" s="1749"/>
      <c r="M17" s="1740"/>
      <c r="N17" s="1740"/>
      <c r="O17" s="1748"/>
      <c r="P17" s="3633" t="s">
        <v>489</v>
      </c>
      <c r="Q17" s="1306" t="str">
        <f t="shared" si="6"/>
        <v>居住社区成熟度</v>
      </c>
      <c r="R17" s="1307" t="s">
        <v>5</v>
      </c>
      <c r="S17" s="1308">
        <f t="shared" si="0"/>
        <v>100</v>
      </c>
      <c r="T17" s="1307" t="s">
        <v>5</v>
      </c>
      <c r="U17" s="1308">
        <f t="shared" si="1"/>
        <v>102</v>
      </c>
      <c r="V17" s="1307" t="s">
        <v>5</v>
      </c>
      <c r="W17" s="1308">
        <f t="shared" si="2"/>
        <v>101</v>
      </c>
      <c r="X17" s="1302"/>
      <c r="Y17" s="3633" t="s">
        <v>489</v>
      </c>
      <c r="Z17" s="1309" t="str">
        <f t="shared" si="7"/>
        <v>居住社区成熟度</v>
      </c>
      <c r="AA17" s="1309">
        <f t="shared" si="3"/>
        <v>1</v>
      </c>
      <c r="AB17" s="1309">
        <f t="shared" si="4"/>
        <v>0.98039215686274506</v>
      </c>
      <c r="AC17" s="1309">
        <f t="shared" si="5"/>
        <v>0.99009900990099009</v>
      </c>
    </row>
    <row r="18" spans="1:29" ht="21" thickBot="1">
      <c r="A18" s="482"/>
      <c r="B18" s="503"/>
      <c r="C18" s="504" t="s">
        <v>3344</v>
      </c>
      <c r="D18" s="507"/>
      <c r="E18" s="508" t="s">
        <v>3344</v>
      </c>
      <c r="F18" s="505"/>
      <c r="G18" s="508" t="s">
        <v>3348</v>
      </c>
      <c r="H18" s="509"/>
      <c r="I18" s="508" t="s">
        <v>3343</v>
      </c>
      <c r="J18" s="505"/>
      <c r="K18" s="481"/>
      <c r="L18" s="1749"/>
      <c r="M18" s="1740"/>
      <c r="N18" s="1740"/>
      <c r="O18" s="1748"/>
      <c r="P18" s="3634"/>
      <c r="Q18" s="1306"/>
      <c r="R18" s="1307"/>
      <c r="S18" s="1308"/>
      <c r="T18" s="1307"/>
      <c r="U18" s="1308"/>
      <c r="V18" s="1307"/>
      <c r="W18" s="1308"/>
      <c r="X18" s="1302"/>
      <c r="Y18" s="3634"/>
      <c r="Z18" s="1309"/>
      <c r="AA18" s="1309">
        <v>1</v>
      </c>
      <c r="AB18" s="1309">
        <v>1</v>
      </c>
      <c r="AC18" s="1309">
        <v>1</v>
      </c>
    </row>
    <row r="19" spans="1:29" ht="20.25">
      <c r="A19" s="482"/>
      <c r="B19" s="510" t="s">
        <v>490</v>
      </c>
      <c r="C19" s="511" t="str">
        <f>估价对象房地状况!C16</f>
        <v>较差</v>
      </c>
      <c r="D19" s="513">
        <v>100</v>
      </c>
      <c r="E19" s="514" t="s">
        <v>3344</v>
      </c>
      <c r="F19" s="509">
        <f>SUMIF(91:91,E20,92:92)-SUMIF(91:91,C20,92:92)+100</f>
        <v>100</v>
      </c>
      <c r="G19" s="502" t="s">
        <v>3343</v>
      </c>
      <c r="H19" s="515">
        <f>SUMIF(91:91,G20,92:92)-SUMIF(91:91,C20,92:92)+100</f>
        <v>101</v>
      </c>
      <c r="I19" s="502" t="s">
        <v>3343</v>
      </c>
      <c r="J19" s="515">
        <f>SUMIF(91:91,I20,92:92)-SUMIF(91:91,C20,92:92)+100</f>
        <v>101</v>
      </c>
      <c r="K19" s="485">
        <v>1</v>
      </c>
      <c r="L19" s="1749"/>
      <c r="M19" s="1740"/>
      <c r="N19" s="1740"/>
      <c r="O19" s="1748"/>
      <c r="P19" s="3634"/>
      <c r="Q19" s="1306" t="str">
        <f>B19</f>
        <v>商业繁华度</v>
      </c>
      <c r="R19" s="1307" t="s">
        <v>5</v>
      </c>
      <c r="S19" s="1308">
        <f>F19</f>
        <v>100</v>
      </c>
      <c r="T19" s="1307" t="s">
        <v>5</v>
      </c>
      <c r="U19" s="1308">
        <f>H19</f>
        <v>101</v>
      </c>
      <c r="V19" s="1307" t="s">
        <v>5</v>
      </c>
      <c r="W19" s="1308">
        <f>J19</f>
        <v>101</v>
      </c>
      <c r="X19" s="1302"/>
      <c r="Y19" s="3634"/>
      <c r="Z19" s="1309" t="str">
        <f>Q19</f>
        <v>商业繁华度</v>
      </c>
      <c r="AA19" s="1309">
        <f t="shared" si="3"/>
        <v>1</v>
      </c>
      <c r="AB19" s="1309">
        <f t="shared" si="4"/>
        <v>0.99009900990099009</v>
      </c>
      <c r="AC19" s="1309">
        <f t="shared" si="5"/>
        <v>0.99009900990099009</v>
      </c>
    </row>
    <row r="20" spans="1:29" ht="21" thickBot="1">
      <c r="A20" s="482"/>
      <c r="B20" s="516"/>
      <c r="C20" s="517" t="s">
        <v>3344</v>
      </c>
      <c r="D20" s="513"/>
      <c r="E20" s="519" t="s">
        <v>3344</v>
      </c>
      <c r="F20" s="509"/>
      <c r="G20" s="508" t="s">
        <v>3343</v>
      </c>
      <c r="H20" s="505"/>
      <c r="I20" s="508" t="s">
        <v>3343</v>
      </c>
      <c r="J20" s="505"/>
      <c r="K20" s="481"/>
      <c r="L20" s="1749"/>
      <c r="M20" s="1740"/>
      <c r="N20" s="1740"/>
      <c r="O20" s="1748"/>
      <c r="P20" s="3634"/>
      <c r="Q20" s="1306"/>
      <c r="R20" s="1307"/>
      <c r="S20" s="1308"/>
      <c r="T20" s="1307"/>
      <c r="U20" s="1308"/>
      <c r="V20" s="1307"/>
      <c r="W20" s="1308"/>
      <c r="X20" s="1302"/>
      <c r="Y20" s="3634"/>
      <c r="Z20" s="1309"/>
      <c r="AA20" s="1309">
        <v>1</v>
      </c>
      <c r="AB20" s="1309">
        <v>1</v>
      </c>
      <c r="AC20" s="1309">
        <v>1</v>
      </c>
    </row>
    <row r="21" spans="1:29" ht="20.25" hidden="1">
      <c r="A21" s="482"/>
      <c r="B21" s="510" t="s">
        <v>491</v>
      </c>
      <c r="C21" s="511" t="str">
        <f>估价对象房地状况!C17</f>
        <v>较差</v>
      </c>
      <c r="D21" s="521">
        <v>100</v>
      </c>
      <c r="E21" s="522" t="s">
        <v>3344</v>
      </c>
      <c r="F21" s="515">
        <f>SUMIF(93:93,E22,94:94)-SUMIF(93:93,C22,94:94)+100</f>
        <v>100</v>
      </c>
      <c r="G21" s="522" t="s">
        <v>3344</v>
      </c>
      <c r="H21" s="509">
        <f>SUMIF(93:93,G22,94:94)-SUMIF(93:93,C22,94:94)+100</f>
        <v>100</v>
      </c>
      <c r="I21" s="522" t="s">
        <v>3344</v>
      </c>
      <c r="J21" s="509">
        <f>SUMIF(93:93,I22,94:94)-SUMIF(93:93,C22,94:94)+100</f>
        <v>100</v>
      </c>
      <c r="K21" s="485"/>
      <c r="L21" s="1749"/>
      <c r="M21" s="1740"/>
      <c r="N21" s="1740"/>
      <c r="O21" s="1748"/>
      <c r="P21" s="3634"/>
      <c r="Q21" s="1306" t="str">
        <f>B21</f>
        <v>办公集聚程度</v>
      </c>
      <c r="R21" s="1307" t="s">
        <v>5</v>
      </c>
      <c r="S21" s="1308">
        <f>F21</f>
        <v>100</v>
      </c>
      <c r="T21" s="1307" t="s">
        <v>5</v>
      </c>
      <c r="U21" s="1308">
        <f>H21</f>
        <v>100</v>
      </c>
      <c r="V21" s="1307" t="s">
        <v>5</v>
      </c>
      <c r="W21" s="1308">
        <f>J21</f>
        <v>100</v>
      </c>
      <c r="X21" s="1302"/>
      <c r="Y21" s="3634"/>
      <c r="Z21" s="1309" t="str">
        <f>Q21</f>
        <v>办公集聚程度</v>
      </c>
      <c r="AA21" s="1309">
        <f t="shared" si="3"/>
        <v>1</v>
      </c>
      <c r="AB21" s="1309">
        <f t="shared" si="4"/>
        <v>1</v>
      </c>
      <c r="AC21" s="1309">
        <f t="shared" si="5"/>
        <v>1</v>
      </c>
    </row>
    <row r="22" spans="1:29" ht="20.25" hidden="1">
      <c r="A22" s="482"/>
      <c r="B22" s="516"/>
      <c r="C22" s="504"/>
      <c r="D22" s="507"/>
      <c r="E22" s="508"/>
      <c r="F22" s="505"/>
      <c r="G22" s="508"/>
      <c r="H22" s="505"/>
      <c r="I22" s="508"/>
      <c r="J22" s="505"/>
      <c r="K22" s="481"/>
      <c r="L22" s="1749"/>
      <c r="M22" s="1740"/>
      <c r="N22" s="1740"/>
      <c r="O22" s="1748"/>
      <c r="P22" s="3634"/>
      <c r="Q22" s="1306"/>
      <c r="R22" s="1307"/>
      <c r="S22" s="1308"/>
      <c r="T22" s="1307"/>
      <c r="U22" s="1308"/>
      <c r="V22" s="1307"/>
      <c r="W22" s="1308"/>
      <c r="X22" s="1302"/>
      <c r="Y22" s="3634"/>
      <c r="Z22" s="1309"/>
      <c r="AA22" s="1309">
        <v>1</v>
      </c>
      <c r="AB22" s="1309">
        <v>1</v>
      </c>
      <c r="AC22" s="1309">
        <v>1</v>
      </c>
    </row>
    <row r="23" spans="1:29" ht="20.25">
      <c r="A23" s="482"/>
      <c r="B23" s="510" t="s">
        <v>492</v>
      </c>
      <c r="C23" s="523" t="str">
        <f>估价对象房地状况!C18</f>
        <v>较差</v>
      </c>
      <c r="D23" s="513">
        <v>100</v>
      </c>
      <c r="E23" s="514" t="s">
        <v>3344</v>
      </c>
      <c r="F23" s="515">
        <f>SUMIF(95:95,E24,96:96)-SUMIF(95:95,C24,96:96)+100</f>
        <v>100</v>
      </c>
      <c r="G23" s="3403" t="s">
        <v>4031</v>
      </c>
      <c r="H23" s="509">
        <f>SUMIF(95:95,G24,96:96)-SUMIF(95:95,C24,96:96)+100</f>
        <v>102</v>
      </c>
      <c r="I23" s="514" t="s">
        <v>3343</v>
      </c>
      <c r="J23" s="509">
        <f>SUMIF(95:95,I24,96:96)-SUMIF(95:95,C24,96:96)+100</f>
        <v>101</v>
      </c>
      <c r="K23" s="485">
        <v>1</v>
      </c>
      <c r="L23" s="1749"/>
      <c r="M23" s="1740"/>
      <c r="N23" s="1740"/>
      <c r="O23" s="1748"/>
      <c r="P23" s="3634"/>
      <c r="Q23" s="1306" t="str">
        <f>B23</f>
        <v>交通便捷度</v>
      </c>
      <c r="R23" s="1307" t="s">
        <v>5</v>
      </c>
      <c r="S23" s="1308">
        <f>F23</f>
        <v>100</v>
      </c>
      <c r="T23" s="1307" t="s">
        <v>5</v>
      </c>
      <c r="U23" s="1308">
        <f>H23</f>
        <v>102</v>
      </c>
      <c r="V23" s="1307" t="s">
        <v>5</v>
      </c>
      <c r="W23" s="1308">
        <f>J23</f>
        <v>101</v>
      </c>
      <c r="X23" s="1302"/>
      <c r="Y23" s="3634"/>
      <c r="Z23" s="1309" t="str">
        <f>Q23</f>
        <v>交通便捷度</v>
      </c>
      <c r="AA23" s="1309">
        <f t="shared" si="3"/>
        <v>1</v>
      </c>
      <c r="AB23" s="1309">
        <f t="shared" si="4"/>
        <v>0.98039215686274506</v>
      </c>
      <c r="AC23" s="1309">
        <f t="shared" si="5"/>
        <v>0.99009900990099009</v>
      </c>
    </row>
    <row r="24" spans="1:29" ht="20.25">
      <c r="A24" s="482"/>
      <c r="B24" s="528"/>
      <c r="C24" s="504" t="s">
        <v>3344</v>
      </c>
      <c r="D24" s="507"/>
      <c r="E24" s="508" t="s">
        <v>3344</v>
      </c>
      <c r="F24" s="505"/>
      <c r="G24" s="508" t="s">
        <v>3348</v>
      </c>
      <c r="H24" s="505"/>
      <c r="I24" s="508" t="s">
        <v>3343</v>
      </c>
      <c r="J24" s="505"/>
      <c r="K24" s="481"/>
      <c r="L24" s="1749"/>
      <c r="M24" s="1740"/>
      <c r="N24" s="1740"/>
      <c r="O24" s="1748"/>
      <c r="P24" s="3634"/>
      <c r="Q24" s="1306"/>
      <c r="R24" s="1307"/>
      <c r="S24" s="1308"/>
      <c r="T24" s="1307"/>
      <c r="U24" s="1308"/>
      <c r="V24" s="1307"/>
      <c r="W24" s="1308"/>
      <c r="X24" s="1302"/>
      <c r="Y24" s="3634"/>
      <c r="Z24" s="1309"/>
      <c r="AA24" s="1309">
        <v>1</v>
      </c>
      <c r="AB24" s="1309">
        <v>1</v>
      </c>
      <c r="AC24" s="1309">
        <v>1</v>
      </c>
    </row>
    <row r="25" spans="1:29" ht="27">
      <c r="A25" s="466"/>
      <c r="B25" s="239" t="s">
        <v>493</v>
      </c>
      <c r="C25" s="523">
        <f>估价对象房地状况!C19</f>
        <v>0</v>
      </c>
      <c r="D25" s="513">
        <v>100</v>
      </c>
      <c r="E25" s="514">
        <v>0</v>
      </c>
      <c r="F25" s="515">
        <f>SUMIF(97:97,E26,98:98)-SUMIF(97:97,C26,98:98)+100</f>
        <v>100</v>
      </c>
      <c r="G25" s="514">
        <v>0</v>
      </c>
      <c r="H25" s="509">
        <f>SUMIF(97:97,G26,98:98)-SUMIF(97:97,C26,98:98)+100</f>
        <v>100</v>
      </c>
      <c r="I25" s="514">
        <v>0</v>
      </c>
      <c r="J25" s="509">
        <f>SUMIF(97:97,I26,98:98)-SUMIF(97:97,C26,98:98)+100</f>
        <v>100</v>
      </c>
      <c r="K25" s="485">
        <v>1</v>
      </c>
      <c r="L25" s="1749"/>
      <c r="M25" s="1740"/>
      <c r="N25" s="1740"/>
      <c r="O25" s="1748"/>
      <c r="P25" s="3634"/>
      <c r="Q25" s="1306" t="str">
        <f t="shared" ref="Q25:Q39" si="8">B25</f>
        <v>区域土地利用方向</v>
      </c>
      <c r="R25" s="1307" t="s">
        <v>5</v>
      </c>
      <c r="S25" s="1308">
        <f>F25</f>
        <v>100</v>
      </c>
      <c r="T25" s="1307" t="s">
        <v>5</v>
      </c>
      <c r="U25" s="1308">
        <f>H25</f>
        <v>100</v>
      </c>
      <c r="V25" s="1307" t="s">
        <v>5</v>
      </c>
      <c r="W25" s="1308">
        <f>J25</f>
        <v>100</v>
      </c>
      <c r="X25" s="1302"/>
      <c r="Y25" s="3634"/>
      <c r="Z25" s="1309" t="str">
        <f>Q25</f>
        <v>区域土地利用方向</v>
      </c>
      <c r="AA25" s="1309">
        <f t="shared" si="3"/>
        <v>1</v>
      </c>
      <c r="AB25" s="1309">
        <f t="shared" si="4"/>
        <v>1</v>
      </c>
      <c r="AC25" s="1309">
        <f t="shared" si="5"/>
        <v>1</v>
      </c>
    </row>
    <row r="26" spans="1:29" ht="20.25">
      <c r="A26" s="466"/>
      <c r="B26" s="918"/>
      <c r="C26" s="504" t="s">
        <v>3348</v>
      </c>
      <c r="D26" s="507"/>
      <c r="E26" s="508" t="s">
        <v>3348</v>
      </c>
      <c r="F26" s="505"/>
      <c r="G26" s="508" t="s">
        <v>3348</v>
      </c>
      <c r="H26" s="505"/>
      <c r="I26" s="508" t="s">
        <v>3348</v>
      </c>
      <c r="J26" s="505"/>
      <c r="K26" s="481"/>
      <c r="L26" s="1749"/>
      <c r="M26" s="1740"/>
      <c r="N26" s="1740"/>
      <c r="O26" s="1748"/>
      <c r="P26" s="3634"/>
      <c r="Q26" s="1306"/>
      <c r="R26" s="1307"/>
      <c r="S26" s="1308"/>
      <c r="T26" s="1307"/>
      <c r="U26" s="1308"/>
      <c r="V26" s="1307"/>
      <c r="W26" s="1308"/>
      <c r="X26" s="1302"/>
      <c r="Y26" s="3634"/>
      <c r="Z26" s="1309"/>
      <c r="AA26" s="1309"/>
      <c r="AB26" s="1309"/>
      <c r="AC26" s="1309"/>
    </row>
    <row r="27" spans="1:29" ht="27">
      <c r="A27" s="466"/>
      <c r="B27" s="528" t="s">
        <v>494</v>
      </c>
      <c r="C27" s="511" t="str">
        <f>估价对象房地状况!C20</f>
        <v>较差</v>
      </c>
      <c r="D27" s="513">
        <v>100</v>
      </c>
      <c r="E27" s="514" t="s">
        <v>3344</v>
      </c>
      <c r="F27" s="509">
        <f>SUMIF(99:99,E28,100:100)-SUMIF(99:99,C28,100:100)+100</f>
        <v>100</v>
      </c>
      <c r="G27" s="514" t="s">
        <v>3343</v>
      </c>
      <c r="H27" s="509">
        <f>SUMIF(99:99,G28,100:100)-SUMIF(99:99,C28,100:100)+100</f>
        <v>101</v>
      </c>
      <c r="I27" s="514" t="s">
        <v>3343</v>
      </c>
      <c r="J27" s="509">
        <f>SUMIF(99:99,I28,100:100)-SUMIF(99:99,C28,100:100)+100</f>
        <v>101</v>
      </c>
      <c r="K27" s="485">
        <v>1</v>
      </c>
      <c r="L27" s="1749"/>
      <c r="M27" s="1740"/>
      <c r="N27" s="1740"/>
      <c r="O27" s="1748"/>
      <c r="P27" s="3634"/>
      <c r="Q27" s="1306" t="str">
        <f t="shared" si="8"/>
        <v>自然及人文环境状况</v>
      </c>
      <c r="R27" s="1307" t="s">
        <v>5</v>
      </c>
      <c r="S27" s="1308">
        <f>F27</f>
        <v>100</v>
      </c>
      <c r="T27" s="1307" t="s">
        <v>5</v>
      </c>
      <c r="U27" s="1308">
        <f>H27</f>
        <v>101</v>
      </c>
      <c r="V27" s="1307" t="s">
        <v>5</v>
      </c>
      <c r="W27" s="1308">
        <f>J27</f>
        <v>101</v>
      </c>
      <c r="X27" s="1302"/>
      <c r="Y27" s="3634"/>
      <c r="Z27" s="1309" t="str">
        <f>Q27</f>
        <v>自然及人文环境状况</v>
      </c>
      <c r="AA27" s="1309">
        <f t="shared" si="3"/>
        <v>1</v>
      </c>
      <c r="AB27" s="1309">
        <f t="shared" si="4"/>
        <v>0.99009900990099009</v>
      </c>
      <c r="AC27" s="1309">
        <f t="shared" si="5"/>
        <v>0.99009900990099009</v>
      </c>
    </row>
    <row r="28" spans="1:29" ht="20.25">
      <c r="A28" s="466"/>
      <c r="B28" s="516"/>
      <c r="C28" s="504" t="s">
        <v>3344</v>
      </c>
      <c r="D28" s="507"/>
      <c r="E28" s="526" t="s">
        <v>3344</v>
      </c>
      <c r="F28" s="505"/>
      <c r="G28" s="526" t="s">
        <v>3343</v>
      </c>
      <c r="H28" s="505"/>
      <c r="I28" s="526" t="s">
        <v>3343</v>
      </c>
      <c r="J28" s="505"/>
      <c r="K28" s="481"/>
      <c r="L28" s="1749"/>
      <c r="M28" s="1740"/>
      <c r="N28" s="1740"/>
      <c r="O28" s="1748"/>
      <c r="P28" s="3634"/>
      <c r="Q28" s="1306"/>
      <c r="R28" s="1307"/>
      <c r="S28" s="1308"/>
      <c r="T28" s="1307"/>
      <c r="U28" s="1308"/>
      <c r="V28" s="1307"/>
      <c r="W28" s="1308"/>
      <c r="X28" s="1302"/>
      <c r="Y28" s="3634"/>
      <c r="Z28" s="1309"/>
      <c r="AA28" s="1309">
        <v>1</v>
      </c>
      <c r="AB28" s="1309">
        <v>1</v>
      </c>
      <c r="AC28" s="1309">
        <v>1</v>
      </c>
    </row>
    <row r="29" spans="1:29" s="1059" customFormat="1" ht="20.25">
      <c r="A29" s="527"/>
      <c r="B29" s="2050" t="s">
        <v>1829</v>
      </c>
      <c r="C29" s="523" t="str">
        <f>估价对象房地状况!C21</f>
        <v>较差</v>
      </c>
      <c r="D29" s="513">
        <v>100</v>
      </c>
      <c r="E29" s="514" t="s">
        <v>3344</v>
      </c>
      <c r="F29" s="509">
        <f>SUMIF(101:101,E30,102:102)-SUMIF(101:101,C30,102:102)+100</f>
        <v>100</v>
      </c>
      <c r="G29" s="514" t="s">
        <v>3343</v>
      </c>
      <c r="H29" s="509">
        <f>SUMIF(101:101,G30,102:102)-SUMIF(101:101,C30,102:102)+100</f>
        <v>101</v>
      </c>
      <c r="I29" s="514" t="s">
        <v>3343</v>
      </c>
      <c r="J29" s="509">
        <f>SUMIF(101:101,I30,102:102)-SUMIF(101:101,C30,102:102)+100</f>
        <v>101</v>
      </c>
      <c r="K29" s="485">
        <v>1</v>
      </c>
      <c r="L29" s="1743"/>
      <c r="M29" s="1740"/>
      <c r="N29" s="1740"/>
      <c r="O29" s="1744"/>
      <c r="P29" s="3634"/>
      <c r="Q29" s="817" t="str">
        <f t="shared" si="8"/>
        <v>公共配套设施</v>
      </c>
      <c r="R29" s="1303" t="s">
        <v>5</v>
      </c>
      <c r="S29" s="1304">
        <f>F29</f>
        <v>100</v>
      </c>
      <c r="T29" s="1303" t="s">
        <v>5</v>
      </c>
      <c r="U29" s="1304">
        <f>H29</f>
        <v>101</v>
      </c>
      <c r="V29" s="1303" t="s">
        <v>5</v>
      </c>
      <c r="W29" s="1304">
        <f>J29</f>
        <v>101</v>
      </c>
      <c r="X29" s="1305"/>
      <c r="Y29" s="3634"/>
      <c r="Z29" s="996" t="str">
        <f>Q29</f>
        <v>公共配套设施</v>
      </c>
      <c r="AA29" s="1309">
        <f>D29/F29</f>
        <v>1</v>
      </c>
      <c r="AB29" s="1309">
        <f>D29/H29</f>
        <v>0.99009900990099009</v>
      </c>
      <c r="AC29" s="1309">
        <f>D29/J29</f>
        <v>0.99009900990099009</v>
      </c>
    </row>
    <row r="30" spans="1:29" s="1059" customFormat="1" ht="20.25">
      <c r="A30" s="527"/>
      <c r="B30" s="516"/>
      <c r="C30" s="529" t="s">
        <v>3344</v>
      </c>
      <c r="D30" s="507"/>
      <c r="E30" s="526" t="s">
        <v>3344</v>
      </c>
      <c r="F30" s="505"/>
      <c r="G30" s="526" t="s">
        <v>3343</v>
      </c>
      <c r="H30" s="505"/>
      <c r="I30" s="526" t="s">
        <v>3343</v>
      </c>
      <c r="J30" s="505"/>
      <c r="K30" s="481"/>
      <c r="L30" s="1743"/>
      <c r="M30" s="1740"/>
      <c r="N30" s="1740"/>
      <c r="O30" s="1744"/>
      <c r="P30" s="3634"/>
      <c r="Q30" s="817"/>
      <c r="R30" s="1303"/>
      <c r="S30" s="1304"/>
      <c r="T30" s="1303"/>
      <c r="U30" s="1304"/>
      <c r="V30" s="1303"/>
      <c r="W30" s="1304"/>
      <c r="X30" s="1305"/>
      <c r="Y30" s="3634"/>
      <c r="Z30" s="996"/>
      <c r="AA30" s="1309">
        <v>1</v>
      </c>
      <c r="AB30" s="1309">
        <v>1</v>
      </c>
      <c r="AC30" s="1309">
        <v>1</v>
      </c>
    </row>
    <row r="31" spans="1:29" s="1059" customFormat="1" ht="20.25">
      <c r="A31" s="527"/>
      <c r="B31" s="2050" t="s">
        <v>1830</v>
      </c>
      <c r="C31" s="523" t="str">
        <f>估价对象房地状况!C22</f>
        <v>七通</v>
      </c>
      <c r="D31" s="513">
        <v>100</v>
      </c>
      <c r="E31" s="514" t="s">
        <v>3346</v>
      </c>
      <c r="F31" s="509">
        <f>SUMIF(103:103,E32,104:104)-SUMIF(103:103,C32,104:104)+100</f>
        <v>100</v>
      </c>
      <c r="G31" s="514" t="s">
        <v>3346</v>
      </c>
      <c r="H31" s="509">
        <f>SUMIF(103:103,G32,104:104)-SUMIF(103:103,C32,104:104)+100</f>
        <v>100</v>
      </c>
      <c r="I31" s="514" t="s">
        <v>3346</v>
      </c>
      <c r="J31" s="509">
        <f>SUMIF(103:103,I32,104:104)-SUMIF(103:103,C32,104:104)+100</f>
        <v>100</v>
      </c>
      <c r="K31" s="485">
        <v>1</v>
      </c>
      <c r="L31" s="1743"/>
      <c r="M31" s="1740"/>
      <c r="N31" s="1740"/>
      <c r="O31" s="1744"/>
      <c r="P31" s="3634"/>
      <c r="Q31" s="817" t="str">
        <f>B31</f>
        <v>基础设施水平</v>
      </c>
      <c r="R31" s="1303" t="s">
        <v>5</v>
      </c>
      <c r="S31" s="1304">
        <f>F31</f>
        <v>100</v>
      </c>
      <c r="T31" s="1303" t="s">
        <v>5</v>
      </c>
      <c r="U31" s="1304">
        <f>H31</f>
        <v>100</v>
      </c>
      <c r="V31" s="1303" t="s">
        <v>5</v>
      </c>
      <c r="W31" s="1304">
        <f>J31</f>
        <v>100</v>
      </c>
      <c r="X31" s="1305"/>
      <c r="Y31" s="3634"/>
      <c r="Z31" s="996" t="str">
        <f>Q31</f>
        <v>基础设施水平</v>
      </c>
      <c r="AA31" s="1309">
        <f>D31/F31</f>
        <v>1</v>
      </c>
      <c r="AB31" s="1309">
        <f>D31/H31</f>
        <v>1</v>
      </c>
      <c r="AC31" s="1309">
        <f>D31/J31</f>
        <v>1</v>
      </c>
    </row>
    <row r="32" spans="1:29" s="1059" customFormat="1" ht="20.25">
      <c r="A32" s="527"/>
      <c r="B32" s="516"/>
      <c r="C32" s="529" t="s">
        <v>3346</v>
      </c>
      <c r="D32" s="507"/>
      <c r="E32" s="2051" t="s">
        <v>3346</v>
      </c>
      <c r="F32" s="505"/>
      <c r="G32" s="2051" t="s">
        <v>3346</v>
      </c>
      <c r="H32" s="505"/>
      <c r="I32" s="2051" t="s">
        <v>3346</v>
      </c>
      <c r="J32" s="505"/>
      <c r="K32" s="481"/>
      <c r="L32" s="1743"/>
      <c r="M32" s="1740"/>
      <c r="N32" s="1740"/>
      <c r="O32" s="1744"/>
      <c r="P32" s="3634"/>
      <c r="Q32" s="817"/>
      <c r="R32" s="1303"/>
      <c r="S32" s="1304"/>
      <c r="T32" s="1303"/>
      <c r="U32" s="1304"/>
      <c r="V32" s="1303"/>
      <c r="W32" s="1304"/>
      <c r="X32" s="1305"/>
      <c r="Y32" s="3634"/>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34"/>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4"/>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34"/>
      <c r="Q34" s="1306" t="str">
        <f t="shared" si="8"/>
        <v>毗邻道路的类型与等级</v>
      </c>
      <c r="R34" s="1307" t="s">
        <v>5</v>
      </c>
      <c r="S34" s="1308">
        <f t="shared" si="9"/>
        <v>100</v>
      </c>
      <c r="T34" s="1307" t="s">
        <v>5</v>
      </c>
      <c r="U34" s="1308">
        <f t="shared" si="10"/>
        <v>100</v>
      </c>
      <c r="V34" s="1307" t="s">
        <v>5</v>
      </c>
      <c r="W34" s="1308">
        <f t="shared" si="11"/>
        <v>100</v>
      </c>
      <c r="X34" s="1302"/>
      <c r="Y34" s="3634"/>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34"/>
      <c r="Q35" s="1306"/>
      <c r="R35" s="1307"/>
      <c r="S35" s="1308"/>
      <c r="T35" s="1307"/>
      <c r="U35" s="1308"/>
      <c r="V35" s="1307"/>
      <c r="W35" s="1308"/>
      <c r="X35" s="1302"/>
      <c r="Y35" s="3634"/>
      <c r="Z35" s="1309"/>
      <c r="AA35" s="1309">
        <v>1</v>
      </c>
      <c r="AB35" s="1309">
        <v>1</v>
      </c>
      <c r="AC35" s="1309">
        <v>1</v>
      </c>
    </row>
    <row r="36" spans="1:29" ht="20.25">
      <c r="A36" s="482"/>
      <c r="B36" s="235" t="s">
        <v>498</v>
      </c>
      <c r="C36" s="530" t="s">
        <v>1156</v>
      </c>
      <c r="D36" s="525">
        <v>100</v>
      </c>
      <c r="E36" s="530" t="s">
        <v>1156</v>
      </c>
      <c r="F36" s="490">
        <f>SUMIF(109:109,E36,110:110)-SUMIF(109:109,C36,110:110)+100</f>
        <v>100</v>
      </c>
      <c r="G36" s="530" t="s">
        <v>1156</v>
      </c>
      <c r="H36" s="490">
        <f>SUMIF(109:109,G36,110:110)-SUMIF(109:109,C36,110:110)+100</f>
        <v>100</v>
      </c>
      <c r="I36" s="532" t="s">
        <v>1157</v>
      </c>
      <c r="J36" s="490">
        <f>SUMIF(109:109,I36,110:110)-SUMIF(109:109,C36,110:110)+100</f>
        <v>90</v>
      </c>
      <c r="K36" s="533">
        <v>10</v>
      </c>
      <c r="L36" s="1749"/>
      <c r="M36" s="1740"/>
      <c r="N36" s="1740"/>
      <c r="O36" s="1748"/>
      <c r="P36" s="3634"/>
      <c r="Q36" s="1306" t="str">
        <f t="shared" si="8"/>
        <v>土地级别</v>
      </c>
      <c r="R36" s="1307" t="s">
        <v>5</v>
      </c>
      <c r="S36" s="1308">
        <f t="shared" si="9"/>
        <v>100</v>
      </c>
      <c r="T36" s="1307" t="s">
        <v>5</v>
      </c>
      <c r="U36" s="1308">
        <f t="shared" si="10"/>
        <v>100</v>
      </c>
      <c r="V36" s="1307" t="s">
        <v>5</v>
      </c>
      <c r="W36" s="1308">
        <f t="shared" si="11"/>
        <v>90</v>
      </c>
      <c r="X36" s="1302"/>
      <c r="Y36" s="3634"/>
      <c r="Z36" s="1309" t="str">
        <f t="shared" si="12"/>
        <v>土地级别</v>
      </c>
      <c r="AA36" s="1309">
        <f t="shared" si="3"/>
        <v>1</v>
      </c>
      <c r="AB36" s="1309">
        <f t="shared" si="4"/>
        <v>1</v>
      </c>
      <c r="AC36" s="1309">
        <f t="shared" si="5"/>
        <v>1.1111111111111112</v>
      </c>
    </row>
    <row r="37" spans="1:29" ht="21" thickBot="1">
      <c r="A37" s="466"/>
      <c r="B37" s="3414" t="s">
        <v>4113</v>
      </c>
      <c r="C37" s="3415" t="s">
        <v>4115</v>
      </c>
      <c r="D37" s="525">
        <v>100</v>
      </c>
      <c r="E37" s="3415" t="s">
        <v>4115</v>
      </c>
      <c r="F37" s="490">
        <f>SUMIF(111:111,E37,112:112)-SUMIF(111:111,C37,112:112)+100</f>
        <v>100</v>
      </c>
      <c r="G37" s="3415" t="s">
        <v>4116</v>
      </c>
      <c r="H37" s="490">
        <f>SUMIF(111:111,G37,112:112)-SUMIF(111:111,C37,112:112)+100</f>
        <v>95</v>
      </c>
      <c r="I37" s="3415" t="s">
        <v>4116</v>
      </c>
      <c r="J37" s="490">
        <f>SUMIF(111:111,I37,112:112)-SUMIF(111:111,C37,112:112)+100</f>
        <v>95</v>
      </c>
      <c r="K37" s="531"/>
      <c r="L37" s="1749"/>
      <c r="M37" s="1740"/>
      <c r="N37" s="1740"/>
      <c r="O37" s="1748"/>
      <c r="P37" s="3634"/>
      <c r="Q37" s="1306" t="str">
        <f t="shared" si="8"/>
        <v>远景规划</v>
      </c>
      <c r="R37" s="1307" t="s">
        <v>5</v>
      </c>
      <c r="S37" s="1308">
        <f t="shared" si="9"/>
        <v>100</v>
      </c>
      <c r="T37" s="1307" t="s">
        <v>5</v>
      </c>
      <c r="U37" s="1308">
        <f t="shared" si="10"/>
        <v>95</v>
      </c>
      <c r="V37" s="1307" t="s">
        <v>5</v>
      </c>
      <c r="W37" s="1308">
        <f t="shared" si="11"/>
        <v>95</v>
      </c>
      <c r="X37" s="1302"/>
      <c r="Y37" s="3634"/>
      <c r="Z37" s="1309" t="str">
        <f t="shared" si="12"/>
        <v>远景规划</v>
      </c>
      <c r="AA37" s="1309">
        <f t="shared" si="3"/>
        <v>1</v>
      </c>
      <c r="AB37" s="1309">
        <f t="shared" si="4"/>
        <v>1.0526315789473684</v>
      </c>
      <c r="AC37" s="1309">
        <f t="shared" si="5"/>
        <v>1.0526315789473684</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35" t="s">
        <v>499</v>
      </c>
      <c r="Q38" s="1306">
        <f t="shared" si="8"/>
        <v>111</v>
      </c>
      <c r="R38" s="1307" t="s">
        <v>5</v>
      </c>
      <c r="S38" s="1308">
        <f t="shared" si="9"/>
        <v>100</v>
      </c>
      <c r="T38" s="1307" t="s">
        <v>5</v>
      </c>
      <c r="U38" s="1308">
        <f t="shared" si="10"/>
        <v>100</v>
      </c>
      <c r="V38" s="1307" t="s">
        <v>5</v>
      </c>
      <c r="W38" s="1308">
        <f t="shared" si="11"/>
        <v>100</v>
      </c>
      <c r="X38" s="1302"/>
      <c r="Y38" s="3636"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36"/>
      <c r="Q39" s="1306">
        <f t="shared" si="8"/>
        <v>111</v>
      </c>
      <c r="R39" s="1310" t="s">
        <v>5</v>
      </c>
      <c r="S39" s="1311">
        <f t="shared" si="9"/>
        <v>100</v>
      </c>
      <c r="T39" s="1310" t="s">
        <v>5</v>
      </c>
      <c r="U39" s="1311">
        <f t="shared" si="10"/>
        <v>100</v>
      </c>
      <c r="V39" s="1310" t="s">
        <v>5</v>
      </c>
      <c r="W39" s="1311">
        <f t="shared" si="11"/>
        <v>100</v>
      </c>
      <c r="X39" s="1312"/>
      <c r="Y39" s="3636"/>
      <c r="Z39" s="1313">
        <f t="shared" si="12"/>
        <v>111</v>
      </c>
      <c r="AA39" s="1309">
        <f t="shared" si="3"/>
        <v>1</v>
      </c>
      <c r="AB39" s="1309">
        <f t="shared" si="4"/>
        <v>1</v>
      </c>
      <c r="AC39" s="1309">
        <f t="shared" si="5"/>
        <v>1</v>
      </c>
    </row>
    <row r="40" spans="1:29" ht="20.25">
      <c r="A40" s="2204" t="s">
        <v>2035</v>
      </c>
      <c r="B40" s="544" t="s">
        <v>501</v>
      </c>
      <c r="C40" s="545">
        <f>'数据-基础表'!A3</f>
        <v>21672.98</v>
      </c>
      <c r="D40" s="546">
        <v>100</v>
      </c>
      <c r="E40" s="545">
        <f>土地案例!I2</f>
        <v>19113.12</v>
      </c>
      <c r="F40" s="546">
        <f>LOOKUP(E40,118:118,119:119)-LOOKUP(C40,118:118,119:119)+100</f>
        <v>98</v>
      </c>
      <c r="G40" s="545">
        <f>土地案例!I3</f>
        <v>69837.09</v>
      </c>
      <c r="H40" s="546">
        <f>LOOKUP(G40,118:118,119:119)-LOOKUP(C40,118:118,119:119)+100</f>
        <v>102</v>
      </c>
      <c r="I40" s="547">
        <f>土地案例!I4</f>
        <v>31558.240000000002</v>
      </c>
      <c r="J40" s="546">
        <f>LOOKUP(I40,118:118,119:119)-LOOKUP(C40,118:118,119:119)+100</f>
        <v>100</v>
      </c>
      <c r="K40" s="531"/>
      <c r="L40" s="1749"/>
      <c r="M40" s="1740"/>
      <c r="N40" s="1740"/>
      <c r="O40" s="1748"/>
      <c r="P40" s="3636"/>
      <c r="Q40" s="1306" t="str">
        <f>B40</f>
        <v>宗地面积</v>
      </c>
      <c r="R40" s="1307" t="s">
        <v>5</v>
      </c>
      <c r="S40" s="1308">
        <f t="shared" si="9"/>
        <v>98</v>
      </c>
      <c r="T40" s="1307" t="s">
        <v>5</v>
      </c>
      <c r="U40" s="1308">
        <f t="shared" si="10"/>
        <v>102</v>
      </c>
      <c r="V40" s="1307" t="s">
        <v>5</v>
      </c>
      <c r="W40" s="1308">
        <f t="shared" si="11"/>
        <v>100</v>
      </c>
      <c r="X40" s="1302"/>
      <c r="Y40" s="3636"/>
      <c r="Z40" s="1309" t="str">
        <f t="shared" si="12"/>
        <v>宗地面积</v>
      </c>
      <c r="AA40" s="1309">
        <f t="shared" si="3"/>
        <v>1.0204081632653061</v>
      </c>
      <c r="AB40" s="1309">
        <f t="shared" si="4"/>
        <v>0.98039215686274506</v>
      </c>
      <c r="AC40" s="1309">
        <f t="shared" si="5"/>
        <v>1</v>
      </c>
    </row>
    <row r="41" spans="1:29" ht="20.25">
      <c r="A41" s="543"/>
      <c r="B41" s="477" t="s">
        <v>502</v>
      </c>
      <c r="C41" s="548" t="s">
        <v>4022</v>
      </c>
      <c r="D41" s="490">
        <v>100</v>
      </c>
      <c r="E41" s="548" t="s">
        <v>4022</v>
      </c>
      <c r="F41" s="490">
        <f>SUMIF(120:120,E41,121:121)-SUMIF(120:120,C41,121:121)+100</f>
        <v>100</v>
      </c>
      <c r="G41" s="548" t="s">
        <v>4022</v>
      </c>
      <c r="H41" s="490">
        <f>SUMIF(120:120,G41,121:121)-SUMIF(120:120,C41,121:121)+100</f>
        <v>100</v>
      </c>
      <c r="I41" s="548" t="s">
        <v>4022</v>
      </c>
      <c r="J41" s="490">
        <f>SUMIF(120:120,I41,121:121)-SUMIF(120:120,C41,121:121)+100</f>
        <v>100</v>
      </c>
      <c r="K41" s="533">
        <v>1</v>
      </c>
      <c r="L41" s="1749"/>
      <c r="M41" s="1740"/>
      <c r="N41" s="1740"/>
      <c r="O41" s="1748"/>
      <c r="P41" s="3636"/>
      <c r="Q41" s="1306" t="str">
        <f t="shared" ref="Q41:Q47" si="13">B41</f>
        <v>宗地形状</v>
      </c>
      <c r="R41" s="1307" t="s">
        <v>5</v>
      </c>
      <c r="S41" s="1308">
        <f t="shared" si="9"/>
        <v>100</v>
      </c>
      <c r="T41" s="1307" t="s">
        <v>5</v>
      </c>
      <c r="U41" s="1308">
        <f t="shared" si="10"/>
        <v>100</v>
      </c>
      <c r="V41" s="1307" t="s">
        <v>5</v>
      </c>
      <c r="W41" s="1308">
        <f t="shared" si="11"/>
        <v>100</v>
      </c>
      <c r="X41" s="1302"/>
      <c r="Y41" s="3636"/>
      <c r="Z41" s="1309" t="str">
        <f t="shared" si="12"/>
        <v>宗地形状</v>
      </c>
      <c r="AA41" s="1309">
        <f t="shared" si="3"/>
        <v>1</v>
      </c>
      <c r="AB41" s="1309">
        <f t="shared" si="4"/>
        <v>1</v>
      </c>
      <c r="AC41" s="1309">
        <f t="shared" si="5"/>
        <v>1</v>
      </c>
    </row>
    <row r="42" spans="1:29" ht="20.25">
      <c r="A42" s="543"/>
      <c r="B42" s="477" t="s">
        <v>503</v>
      </c>
      <c r="C42" s="548" t="s">
        <v>4026</v>
      </c>
      <c r="D42" s="490">
        <v>100</v>
      </c>
      <c r="E42" s="548" t="s">
        <v>4026</v>
      </c>
      <c r="F42" s="490">
        <f>SUMIF(122:122,E42,123:123)-SUMIF(122:122,C42,123:123)+100</f>
        <v>100</v>
      </c>
      <c r="G42" s="548" t="s">
        <v>4026</v>
      </c>
      <c r="H42" s="490">
        <f>SUMIF(122:122,G42,123:123)-SUMIF(122:122,C42,123:123)+100</f>
        <v>100</v>
      </c>
      <c r="I42" s="548" t="s">
        <v>4026</v>
      </c>
      <c r="J42" s="490">
        <f>SUMIF(122:122,I42,123:123)-SUMIF(122:122,C42,123:123)+100</f>
        <v>100</v>
      </c>
      <c r="K42" s="533">
        <v>1</v>
      </c>
      <c r="L42" s="1749"/>
      <c r="M42" s="1740"/>
      <c r="N42" s="1740"/>
      <c r="O42" s="1748"/>
      <c r="P42" s="3636"/>
      <c r="Q42" s="1306" t="str">
        <f t="shared" si="13"/>
        <v>临街宽度及深度</v>
      </c>
      <c r="R42" s="1307" t="s">
        <v>5</v>
      </c>
      <c r="S42" s="1308">
        <f t="shared" si="9"/>
        <v>100</v>
      </c>
      <c r="T42" s="1307" t="s">
        <v>5</v>
      </c>
      <c r="U42" s="1308">
        <f t="shared" si="10"/>
        <v>100</v>
      </c>
      <c r="V42" s="1307" t="s">
        <v>5</v>
      </c>
      <c r="W42" s="1308">
        <f t="shared" si="11"/>
        <v>100</v>
      </c>
      <c r="X42" s="1302"/>
      <c r="Y42" s="3636"/>
      <c r="Z42" s="1309" t="str">
        <f t="shared" si="12"/>
        <v>临街宽度及深度</v>
      </c>
      <c r="AA42" s="1309">
        <f t="shared" si="3"/>
        <v>1</v>
      </c>
      <c r="AB42" s="1309">
        <f t="shared" si="4"/>
        <v>1</v>
      </c>
      <c r="AC42" s="1309">
        <f t="shared" si="5"/>
        <v>1</v>
      </c>
    </row>
    <row r="43" spans="1:29" s="1059" customFormat="1" ht="20.25">
      <c r="A43" s="549"/>
      <c r="B43" s="1554" t="s">
        <v>1774</v>
      </c>
      <c r="C43" s="550" t="s">
        <v>4028</v>
      </c>
      <c r="D43" s="235">
        <v>100</v>
      </c>
      <c r="E43" s="550" t="s">
        <v>4028</v>
      </c>
      <c r="F43" s="490">
        <f>SUMIF(124:124,E43,125:125)-SUMIF(124:124,C43,125:125)+100</f>
        <v>100</v>
      </c>
      <c r="G43" s="550" t="s">
        <v>4030</v>
      </c>
      <c r="H43" s="490">
        <f>SUMIF(124:124,G43,125:125)-SUMIF(124:124,C43,125:125)+100</f>
        <v>101.5</v>
      </c>
      <c r="I43" s="550" t="s">
        <v>3346</v>
      </c>
      <c r="J43" s="490">
        <f>SUMIF(124:124,I43,125:125)-SUMIF(124:124,C43,125:125)+100</f>
        <v>102</v>
      </c>
      <c r="K43" s="533">
        <v>0.5</v>
      </c>
      <c r="L43" s="1743"/>
      <c r="M43" s="1740"/>
      <c r="N43" s="1740"/>
      <c r="O43" s="1744"/>
      <c r="P43" s="3636"/>
      <c r="Q43" s="1306" t="str">
        <f t="shared" si="13"/>
        <v>宗地开发程度</v>
      </c>
      <c r="R43" s="1303" t="s">
        <v>5</v>
      </c>
      <c r="S43" s="1304">
        <f t="shared" si="9"/>
        <v>100</v>
      </c>
      <c r="T43" s="1303" t="s">
        <v>5</v>
      </c>
      <c r="U43" s="1304">
        <f t="shared" si="10"/>
        <v>101.5</v>
      </c>
      <c r="V43" s="1303" t="s">
        <v>5</v>
      </c>
      <c r="W43" s="1304">
        <f t="shared" si="11"/>
        <v>102</v>
      </c>
      <c r="X43" s="1305"/>
      <c r="Y43" s="3636"/>
      <c r="Z43" s="996" t="str">
        <f t="shared" si="12"/>
        <v>宗地开发程度</v>
      </c>
      <c r="AA43" s="996">
        <f t="shared" si="3"/>
        <v>1</v>
      </c>
      <c r="AB43" s="996">
        <f t="shared" si="4"/>
        <v>0.98522167487684731</v>
      </c>
      <c r="AC43" s="996">
        <f t="shared" si="5"/>
        <v>0.98039215686274506</v>
      </c>
    </row>
    <row r="44" spans="1:29" ht="21" thickBot="1">
      <c r="A44" s="543"/>
      <c r="B44" s="477" t="s">
        <v>504</v>
      </c>
      <c r="C44" s="548" t="s">
        <v>3348</v>
      </c>
      <c r="D44" s="490">
        <v>100</v>
      </c>
      <c r="E44" s="548" t="s">
        <v>3348</v>
      </c>
      <c r="F44" s="490">
        <f>SUMIF(126:126,E44,127:127)-SUMIF(126:126,C44,127:127)+100</f>
        <v>100</v>
      </c>
      <c r="G44" s="548" t="s">
        <v>3348</v>
      </c>
      <c r="H44" s="490">
        <f>SUMIF(126:126,G44,127:127)-SUMIF(126:126,C44,127:127)+100</f>
        <v>100</v>
      </c>
      <c r="I44" s="548" t="s">
        <v>3348</v>
      </c>
      <c r="J44" s="490">
        <f>SUMIF(126:126,I44,127:127)-SUMIF(126:126,C44,127:127)+100</f>
        <v>100</v>
      </c>
      <c r="K44" s="533">
        <v>1</v>
      </c>
      <c r="L44" s="1749"/>
      <c r="M44" s="1740">
        <v>5500</v>
      </c>
      <c r="N44" s="1740">
        <f>'数据-汇总表'!E19</f>
        <v>34475.879999999997</v>
      </c>
      <c r="O44" s="1748">
        <f>N44*M44</f>
        <v>189617340</v>
      </c>
      <c r="P44" s="3636" t="s">
        <v>499</v>
      </c>
      <c r="Q44" s="1306" t="str">
        <f t="shared" si="13"/>
        <v>工程地质条件</v>
      </c>
      <c r="R44" s="1307" t="s">
        <v>5</v>
      </c>
      <c r="S44" s="1308">
        <f t="shared" si="9"/>
        <v>100</v>
      </c>
      <c r="T44" s="1307" t="s">
        <v>5</v>
      </c>
      <c r="U44" s="1308">
        <f t="shared" si="10"/>
        <v>100</v>
      </c>
      <c r="V44" s="1307" t="s">
        <v>5</v>
      </c>
      <c r="W44" s="1308">
        <f t="shared" si="11"/>
        <v>100</v>
      </c>
      <c r="X44" s="1302"/>
      <c r="Y44" s="3636" t="s">
        <v>499</v>
      </c>
      <c r="Z44" s="1309" t="str">
        <f t="shared" si="12"/>
        <v>工程地质条件</v>
      </c>
      <c r="AA44" s="1309">
        <f t="shared" si="3"/>
        <v>1</v>
      </c>
      <c r="AB44" s="1309">
        <f t="shared" si="4"/>
        <v>1</v>
      </c>
      <c r="AC44" s="1309">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36"/>
      <c r="Q45" s="1306">
        <f t="shared" si="13"/>
        <v>111</v>
      </c>
      <c r="R45" s="1307" t="s">
        <v>5</v>
      </c>
      <c r="S45" s="1308">
        <f t="shared" si="9"/>
        <v>100</v>
      </c>
      <c r="T45" s="1307" t="s">
        <v>5</v>
      </c>
      <c r="U45" s="1308">
        <f t="shared" si="10"/>
        <v>100</v>
      </c>
      <c r="V45" s="1307" t="s">
        <v>5</v>
      </c>
      <c r="W45" s="1308">
        <f t="shared" si="11"/>
        <v>100</v>
      </c>
      <c r="X45" s="1302"/>
      <c r="Y45" s="3636"/>
      <c r="Z45" s="1309">
        <f t="shared" si="12"/>
        <v>111</v>
      </c>
      <c r="AA45" s="1309">
        <f t="shared" si="3"/>
        <v>1</v>
      </c>
      <c r="AB45" s="1309">
        <f t="shared" si="4"/>
        <v>1</v>
      </c>
      <c r="AC45" s="1309">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36"/>
      <c r="Q46" s="1306">
        <f t="shared" si="13"/>
        <v>111</v>
      </c>
      <c r="R46" s="1307" t="s">
        <v>5</v>
      </c>
      <c r="S46" s="1308">
        <f t="shared" si="9"/>
        <v>100</v>
      </c>
      <c r="T46" s="1307" t="s">
        <v>5</v>
      </c>
      <c r="U46" s="1308">
        <f t="shared" si="10"/>
        <v>100</v>
      </c>
      <c r="V46" s="1307" t="s">
        <v>5</v>
      </c>
      <c r="W46" s="1308">
        <f t="shared" si="11"/>
        <v>100</v>
      </c>
      <c r="X46" s="1302"/>
      <c r="Y46" s="3636"/>
      <c r="Z46" s="1309">
        <f t="shared" si="12"/>
        <v>111</v>
      </c>
      <c r="AA46" s="1309">
        <f t="shared" si="3"/>
        <v>1</v>
      </c>
      <c r="AB46" s="1309">
        <f t="shared" si="4"/>
        <v>1</v>
      </c>
      <c r="AC46" s="1309">
        <f t="shared" si="5"/>
        <v>1</v>
      </c>
    </row>
    <row r="47" spans="1:29" s="1133"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36"/>
      <c r="Q47" s="1306">
        <f t="shared" si="13"/>
        <v>111</v>
      </c>
      <c r="R47" s="1310" t="s">
        <v>5</v>
      </c>
      <c r="S47" s="1311">
        <f t="shared" si="9"/>
        <v>100</v>
      </c>
      <c r="T47" s="1310" t="s">
        <v>5</v>
      </c>
      <c r="U47" s="1311">
        <f t="shared" si="10"/>
        <v>100</v>
      </c>
      <c r="V47" s="1310" t="s">
        <v>5</v>
      </c>
      <c r="W47" s="1311">
        <f t="shared" si="11"/>
        <v>100</v>
      </c>
      <c r="X47" s="1312"/>
      <c r="Y47" s="3636"/>
      <c r="Z47" s="1313">
        <f t="shared" si="12"/>
        <v>111</v>
      </c>
      <c r="AA47" s="1309">
        <f t="shared" si="3"/>
        <v>1</v>
      </c>
      <c r="AB47" s="1309">
        <f t="shared" si="4"/>
        <v>1</v>
      </c>
      <c r="AC47" s="1309">
        <f t="shared" si="5"/>
        <v>1</v>
      </c>
    </row>
    <row r="48" spans="1:29" ht="20.25">
      <c r="A48" s="556" t="s">
        <v>505</v>
      </c>
      <c r="B48" s="557" t="s">
        <v>4029</v>
      </c>
      <c r="C48" s="558" t="s">
        <v>0</v>
      </c>
      <c r="D48" s="559"/>
      <c r="E48" s="3417">
        <v>14715</v>
      </c>
      <c r="F48" s="561"/>
      <c r="G48" s="3418">
        <f>土地案例!AW3</f>
        <v>11455</v>
      </c>
      <c r="H48" s="563"/>
      <c r="I48" s="3417">
        <f>土地案例!AW4</f>
        <v>9970</v>
      </c>
      <c r="J48" s="563"/>
      <c r="K48" s="1134"/>
      <c r="L48" s="1751"/>
      <c r="M48" s="1740">
        <v>4800</v>
      </c>
      <c r="N48" s="1740">
        <f>'数据-汇总表'!F20+'数据-汇总表'!F21</f>
        <v>8069.2</v>
      </c>
      <c r="O48" s="1748">
        <f>N48*M48</f>
        <v>38732160</v>
      </c>
      <c r="P48" s="3599" t="str">
        <f>A48</f>
        <v>成交单价</v>
      </c>
      <c r="Q48" s="3599"/>
      <c r="R48" s="3600">
        <f>E48</f>
        <v>14715</v>
      </c>
      <c r="S48" s="3600"/>
      <c r="T48" s="3600">
        <f>G48</f>
        <v>11455</v>
      </c>
      <c r="U48" s="3600"/>
      <c r="V48" s="3600">
        <f>I48</f>
        <v>9970</v>
      </c>
      <c r="W48" s="3600"/>
      <c r="X48" s="799"/>
      <c r="Y48" s="1314"/>
      <c r="Z48" s="799"/>
      <c r="AA48" s="799"/>
      <c r="AB48" s="799"/>
      <c r="AC48" s="799"/>
    </row>
    <row r="49" spans="1:29" ht="21" thickBot="1">
      <c r="A49" s="564" t="s">
        <v>1973</v>
      </c>
      <c r="B49" s="565"/>
      <c r="C49" s="566">
        <f>R50</f>
        <v>12838</v>
      </c>
      <c r="D49" s="2549" t="s">
        <v>2255</v>
      </c>
      <c r="E49" s="566">
        <f>R49</f>
        <v>15167</v>
      </c>
      <c r="F49" s="2550">
        <v>0.5</v>
      </c>
      <c r="G49" s="567">
        <f>T49</f>
        <v>10240</v>
      </c>
      <c r="H49" s="2550">
        <v>0.25</v>
      </c>
      <c r="I49" s="566">
        <f>V49</f>
        <v>10776</v>
      </c>
      <c r="J49" s="2550">
        <v>0.25</v>
      </c>
      <c r="K49" s="2551">
        <f>F49+H49+J49</f>
        <v>1</v>
      </c>
      <c r="L49" s="1751"/>
      <c r="M49" s="1740"/>
      <c r="N49" s="1740"/>
      <c r="O49" s="1742">
        <f>O48+O44</f>
        <v>228349500</v>
      </c>
      <c r="P49" s="3599" t="str">
        <f>A49</f>
        <v>比较价格（元/平方米）</v>
      </c>
      <c r="Q49" s="3599"/>
      <c r="R49" s="3601">
        <f>ROUND(PRODUCT(R48,AA9:AA47),0)</f>
        <v>15167</v>
      </c>
      <c r="S49" s="3601"/>
      <c r="T49" s="3601">
        <f>ROUND(PRODUCT(T48,AB9:AB47),0)</f>
        <v>10240</v>
      </c>
      <c r="U49" s="3601"/>
      <c r="V49" s="3601">
        <f>ROUND(PRODUCT(V48,AC9:AC47),0)</f>
        <v>10776</v>
      </c>
      <c r="W49" s="3601"/>
      <c r="X49" s="799"/>
      <c r="Y49" s="799"/>
      <c r="Z49" s="799"/>
      <c r="AA49" s="799"/>
      <c r="AB49" s="799"/>
      <c r="AC49" s="799"/>
    </row>
    <row r="50" spans="1:29" ht="21" thickBot="1">
      <c r="A50" s="568" t="s">
        <v>2191</v>
      </c>
      <c r="B50" s="569"/>
      <c r="C50" s="570">
        <f>R50</f>
        <v>12838</v>
      </c>
      <c r="D50" s="570"/>
      <c r="E50" s="570"/>
      <c r="F50" s="570"/>
      <c r="G50" s="570"/>
      <c r="H50" s="570"/>
      <c r="I50" s="570"/>
      <c r="J50" s="570"/>
      <c r="K50" s="1135"/>
      <c r="L50" s="1751"/>
      <c r="M50" s="1740">
        <v>5500</v>
      </c>
      <c r="N50" s="1740">
        <f>'数据-汇总表'!F27</f>
        <v>42545.079999999994</v>
      </c>
      <c r="O50" s="1748">
        <f>N50*M50</f>
        <v>233997939.99999997</v>
      </c>
      <c r="P50" s="3637" t="str">
        <f>A50</f>
        <v>估价对象XX用房的比较价格（楼面单价，元/平方米）</v>
      </c>
      <c r="Q50" s="3638"/>
      <c r="R50" s="3598">
        <f>ROUND(IF(D49="简单平均",AVERAGE(R49:W49),R49*F49+T49*H49+V49*J49),0)</f>
        <v>12838</v>
      </c>
      <c r="S50" s="3598"/>
      <c r="T50" s="3598"/>
      <c r="U50" s="3598"/>
      <c r="V50" s="3598"/>
      <c r="W50" s="3598"/>
      <c r="X50" s="799"/>
      <c r="Y50" s="799"/>
      <c r="Z50" s="799"/>
      <c r="AA50" s="799"/>
      <c r="AB50" s="799"/>
      <c r="AC50" s="799"/>
    </row>
    <row r="51" spans="1:29" ht="20.25">
      <c r="A51" s="2718"/>
      <c r="B51" s="2718"/>
      <c r="C51" s="2718">
        <f>('数据-汇总表'!F20+'数据-汇总表'!F21)/'数据-汇总表'!E8</f>
        <v>0.18966235343781235</v>
      </c>
      <c r="D51" s="2718"/>
      <c r="E51" s="2720">
        <v>0.16</v>
      </c>
      <c r="F51" s="2718"/>
      <c r="G51" s="2720"/>
      <c r="H51" s="2718"/>
      <c r="I51" s="2718"/>
      <c r="J51" s="2718"/>
      <c r="K51" s="2721"/>
      <c r="L51" s="1755"/>
      <c r="M51" s="1740"/>
      <c r="N51" s="1740"/>
      <c r="O51" s="1742">
        <f>O50-O49</f>
        <v>5648439.9999999702</v>
      </c>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f>O51/O49</f>
        <v>2.4735942053737671E-2</v>
      </c>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3.0716955487597675E-2</v>
      </c>
      <c r="F53" s="574" t="str">
        <f>IF(OR(E53&gt;=0.3,E53&lt;=-0.3),"超过30%","")</f>
        <v/>
      </c>
      <c r="G53" s="573">
        <f>IF(G48&lt;G49,G49/G48-1,G48/G49-1)</f>
        <v>0.11865234375</v>
      </c>
      <c r="H53" s="574" t="str">
        <f>IF(OR(G53&gt;=0.3,G53&lt;=-0.3),"超过30%","")</f>
        <v/>
      </c>
      <c r="I53" s="573">
        <f>IF(I48&lt;I49,I49/I48-1,I48/I49-1)</f>
        <v>8.0842527582748236E-2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0.48115234375000004</v>
      </c>
      <c r="F54" s="574" t="str">
        <f>IF(OR(E54&gt;=0.2,E54&lt;=-0.2),"超过20%","")</f>
        <v>超过20%</v>
      </c>
      <c r="G54" s="573">
        <f>IF(G49&lt;I49,I49/G49-1,G49/I49-1)</f>
        <v>5.2343749999999911E-2</v>
      </c>
      <c r="H54" s="574" t="str">
        <f>IF(OR(G54&gt;=0.2,G54&lt;=-0.2),"超过20%","")</f>
        <v/>
      </c>
      <c r="I54" s="573">
        <f>IF(I49&lt;E49,E49/I49-1,I49/E49-1)</f>
        <v>0.40747958426132147</v>
      </c>
      <c r="J54" s="574" t="str">
        <f>IF(OR(I54&gt;=0.2,I54&lt;=-0.2),"超过20%","")</f>
        <v>超过20%</v>
      </c>
      <c r="K54" s="2721"/>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19"/>
      <c r="B55" s="2719"/>
      <c r="C55" s="571" t="s">
        <v>508</v>
      </c>
      <c r="D55" s="575"/>
      <c r="E55" s="573">
        <f>IF(E48&lt;G48,G48/E48-1,E48/G48-1)</f>
        <v>0.2845918812745527</v>
      </c>
      <c r="F55" s="574" t="str">
        <f>IF(OR(E55&gt;=0.3,E55&lt;=-0.3),"超过30%","")</f>
        <v/>
      </c>
      <c r="G55" s="573">
        <f>IF(G48&lt;I48,I48/G48-1,G48/I48-1)</f>
        <v>0.14894684052156459</v>
      </c>
      <c r="H55" s="574" t="str">
        <f>IF(OR(G55&gt;=0.3,G55&lt;=-0.3),"超过30%","")</f>
        <v/>
      </c>
      <c r="I55" s="573">
        <f>IF(I48&lt;E48,E48/I48-1,I48/E48-1)</f>
        <v>0.47592778335005015</v>
      </c>
      <c r="J55" s="574" t="str">
        <f>IF(OR(I55&gt;=0.3,I55&lt;=-0.3),"超过30%","")</f>
        <v>超过30%</v>
      </c>
      <c r="K55" s="2722"/>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1648</v>
      </c>
      <c r="E57" s="578" t="s">
        <v>511</v>
      </c>
      <c r="F57" s="579" t="s">
        <v>512</v>
      </c>
      <c r="G57" s="3626" t="s">
        <v>1637</v>
      </c>
      <c r="H57" s="3627"/>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12838</v>
      </c>
      <c r="C58" s="582">
        <v>1</v>
      </c>
      <c r="D58" s="1822">
        <v>1</v>
      </c>
      <c r="E58" s="582">
        <f>'数据-汇总表'!E8+'数据-汇总表'!E9</f>
        <v>42645.099999999991</v>
      </c>
      <c r="F58" s="583">
        <f t="shared" ref="F58:F66" si="14">ROUND(B58*E58/10000,0)</f>
        <v>54748</v>
      </c>
      <c r="G58" s="3628"/>
      <c r="H58" s="3629"/>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1605</v>
      </c>
      <c r="C59" s="348">
        <f t="shared" ref="C59:C66" si="15">IF($C$57="北京市系数",I59,J59)</f>
        <v>0.5</v>
      </c>
      <c r="D59" s="1823">
        <v>0.25</v>
      </c>
      <c r="E59" s="586">
        <v>0</v>
      </c>
      <c r="F59" s="583">
        <f t="shared" si="14"/>
        <v>0</v>
      </c>
      <c r="G59" s="3025" t="s">
        <v>1638</v>
      </c>
      <c r="H59" s="1607" t="str">
        <f>项目基本情况!B43</f>
        <v>九级</v>
      </c>
      <c r="I59" s="1298">
        <f>SUMIF(修正!$A$57:$A$68,H59,修正!B57:B68)</f>
        <v>0.5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642</v>
      </c>
      <c r="C60" s="348">
        <f t="shared" si="15"/>
        <v>0.2</v>
      </c>
      <c r="D60" s="1823">
        <v>0.25</v>
      </c>
      <c r="E60" s="586">
        <v>0</v>
      </c>
      <c r="F60" s="583">
        <f t="shared" si="14"/>
        <v>0</v>
      </c>
      <c r="G60" s="3026"/>
      <c r="H60" s="1607" t="str">
        <f>项目基本情况!B43</f>
        <v>九级</v>
      </c>
      <c r="I60" s="1298">
        <f>SUMIF(修正!$A$57:$A$68,H60,修正!C57:C68)</f>
        <v>0.2</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642</v>
      </c>
      <c r="C61" s="348">
        <f t="shared" si="15"/>
        <v>0.2</v>
      </c>
      <c r="D61" s="1823">
        <v>0.25</v>
      </c>
      <c r="E61" s="586">
        <v>0</v>
      </c>
      <c r="F61" s="583">
        <f t="shared" si="14"/>
        <v>0</v>
      </c>
      <c r="G61" s="3026"/>
      <c r="H61" s="1607" t="str">
        <f>项目基本情况!B43</f>
        <v>九级</v>
      </c>
      <c r="I61" s="1298">
        <f>SUMIF(修正!$A$57:$A$68,H61,修正!D57:D68)</f>
        <v>0.2</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1683</v>
      </c>
      <c r="B62" s="585">
        <f t="shared" si="16"/>
        <v>642</v>
      </c>
      <c r="C62" s="348">
        <f t="shared" si="15"/>
        <v>0.2</v>
      </c>
      <c r="D62" s="1823">
        <v>0.25</v>
      </c>
      <c r="E62" s="588">
        <f>'数据-汇总表'!E11</f>
        <v>50.08</v>
      </c>
      <c r="F62" s="583">
        <f t="shared" si="14"/>
        <v>3</v>
      </c>
      <c r="G62" s="1604" t="s">
        <v>1639</v>
      </c>
      <c r="H62" s="1607" t="str">
        <f>项目基本情况!C43</f>
        <v>九级</v>
      </c>
      <c r="I62" s="1298">
        <f>SUMIF(修正!$A$57:$A$68,H62,修正!E57:E68)</f>
        <v>0.2</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642</v>
      </c>
      <c r="C63" s="348">
        <f t="shared" si="15"/>
        <v>0.2</v>
      </c>
      <c r="D63" s="1823">
        <v>0.25</v>
      </c>
      <c r="E63" s="588">
        <f>'数据-汇总表'!E12</f>
        <v>0</v>
      </c>
      <c r="F63" s="583">
        <f t="shared" si="14"/>
        <v>0</v>
      </c>
      <c r="G63" s="1605" t="s">
        <v>1212</v>
      </c>
      <c r="H63" s="1603" t="str">
        <f>IF(G63="商业",项目基本情况!B43,IF(G63="办公",项目基本情况!C43,IF(G63="住宅",项目基本情况!D43,项目基本情况!E43)))</f>
        <v>九级</v>
      </c>
      <c r="I63" s="1298">
        <f>SUMIF(修正!$A$57:$A$68,H63,修正!F57:F68)</f>
        <v>0.2</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321</v>
      </c>
      <c r="C64" s="348">
        <f t="shared" si="15"/>
        <v>0.1</v>
      </c>
      <c r="D64" s="1823">
        <v>0.25</v>
      </c>
      <c r="E64" s="588">
        <f>'数据-汇总表'!E13</f>
        <v>11328.62</v>
      </c>
      <c r="F64" s="583">
        <f t="shared" si="14"/>
        <v>364</v>
      </c>
      <c r="G64" s="1605" t="s">
        <v>851</v>
      </c>
      <c r="H64" s="1603" t="str">
        <f>IF(G64="商业",项目基本情况!B43,IF(G64="办公",项目基本情况!C43,IF(G64="住宅",项目基本情况!D43,项目基本情况!E43)))</f>
        <v>九级</v>
      </c>
      <c r="I64" s="1298">
        <f>SUMIF(修正!$A$57:$A$68,H64,修正!G57:G68)</f>
        <v>0.1</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321</v>
      </c>
      <c r="C65" s="348">
        <f t="shared" si="15"/>
        <v>0.1</v>
      </c>
      <c r="D65" s="1823">
        <v>0.25</v>
      </c>
      <c r="E65" s="588">
        <f>'数据-汇总表'!E14</f>
        <v>0</v>
      </c>
      <c r="F65" s="583">
        <f t="shared" si="14"/>
        <v>0</v>
      </c>
      <c r="G65" s="1604" t="s">
        <v>1638</v>
      </c>
      <c r="H65" s="1607" t="str">
        <f>项目基本情况!B43</f>
        <v>九级</v>
      </c>
      <c r="I65" s="1298">
        <f>SUMIF(修正!$A$57:$A$68,H65,修正!G57:G68)</f>
        <v>0.1</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321</v>
      </c>
      <c r="C66" s="348">
        <f t="shared" si="15"/>
        <v>0.1</v>
      </c>
      <c r="D66" s="1823">
        <v>0.25</v>
      </c>
      <c r="E66" s="588">
        <f>'数据-汇总表'!E15</f>
        <v>0</v>
      </c>
      <c r="F66" s="583">
        <f t="shared" si="14"/>
        <v>0</v>
      </c>
      <c r="G66" s="1606" t="s">
        <v>1639</v>
      </c>
      <c r="H66" s="1608" t="str">
        <f>项目基本情况!C43</f>
        <v>九级</v>
      </c>
      <c r="I66" s="1298">
        <f>SUMIF(修正!$A$57:$A$68,H66,修正!G57:G68)</f>
        <v>0.1</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1649</v>
      </c>
      <c r="E67" s="590">
        <f>IF(B48="楼面地价",SUM(E58:E66),'数据-汇总表'!D3)</f>
        <v>54023.799999999996</v>
      </c>
      <c r="F67" s="591">
        <f>IF(B48="楼面地价",SUM(F58:F66),ROUND(C50*E67/10000,0))</f>
        <v>55115</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2024-11-1</v>
      </c>
      <c r="D69" s="2111">
        <f>EDATE(C69,-3)</f>
        <v>45505</v>
      </c>
      <c r="E69" s="2111">
        <f t="shared" ref="E69:N69" si="17">EDATE(D69,-3)</f>
        <v>45413</v>
      </c>
      <c r="F69" s="2111">
        <f t="shared" si="17"/>
        <v>45323</v>
      </c>
      <c r="G69" s="2111">
        <f t="shared" si="17"/>
        <v>45231</v>
      </c>
      <c r="H69" s="2111">
        <f t="shared" si="17"/>
        <v>45139</v>
      </c>
      <c r="I69" s="2111">
        <f t="shared" si="17"/>
        <v>45047</v>
      </c>
      <c r="J69" s="2111">
        <f t="shared" si="17"/>
        <v>44958</v>
      </c>
      <c r="K69" s="2111">
        <f t="shared" si="17"/>
        <v>44866</v>
      </c>
      <c r="L69" s="2111">
        <f t="shared" si="17"/>
        <v>44774</v>
      </c>
      <c r="M69" s="2111">
        <f t="shared" si="17"/>
        <v>44682</v>
      </c>
      <c r="N69" s="2111">
        <f t="shared" si="17"/>
        <v>44593</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1813</v>
      </c>
      <c r="B71" s="2043"/>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1927</v>
      </c>
      <c r="B72" s="448" t="str">
        <f>"北京市平均增长率"&amp;TEXT(SUMIF(基准地价!N25:N29,A72,基准地价!P25:P29),"0.00%")</f>
        <v>北京市平均增长率0.00%</v>
      </c>
      <c r="C72" s="817">
        <v>100</v>
      </c>
      <c r="D72" s="79">
        <v>100</v>
      </c>
      <c r="E72" s="79">
        <v>100</v>
      </c>
      <c r="F72" s="79">
        <v>100</v>
      </c>
      <c r="G72" s="79">
        <v>100</v>
      </c>
      <c r="H72" s="79">
        <v>100</v>
      </c>
      <c r="I72" s="79">
        <v>100</v>
      </c>
      <c r="J72" s="79">
        <v>100</v>
      </c>
      <c r="K72" s="79">
        <v>100</v>
      </c>
      <c r="L72" s="79">
        <v>100</v>
      </c>
      <c r="M72" s="91">
        <v>100</v>
      </c>
      <c r="N72" s="534">
        <v>100</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1926</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0" t="s">
        <v>4015</v>
      </c>
      <c r="D76" s="3400" t="s">
        <v>4017</v>
      </c>
      <c r="E76" s="3400" t="s">
        <v>4018</v>
      </c>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v>99</v>
      </c>
      <c r="E77" s="613">
        <v>103</v>
      </c>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2</v>
      </c>
      <c r="F81" s="491">
        <v>3</v>
      </c>
      <c r="G81" s="491">
        <v>4</v>
      </c>
      <c r="H81" s="491">
        <v>5</v>
      </c>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t="str">
        <f>B15</f>
        <v>限价</v>
      </c>
      <c r="C85" s="630">
        <v>27000</v>
      </c>
      <c r="D85" s="630">
        <v>30000</v>
      </c>
      <c r="E85" s="630">
        <v>37000</v>
      </c>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v>98</v>
      </c>
      <c r="D86" s="634">
        <v>100</v>
      </c>
      <c r="E86" s="634">
        <v>102</v>
      </c>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99</v>
      </c>
      <c r="E90" s="621">
        <f>D90-$K17</f>
        <v>98</v>
      </c>
      <c r="F90" s="621">
        <f>E90-$K17</f>
        <v>97</v>
      </c>
      <c r="G90" s="621">
        <f>F90-$K17</f>
        <v>96</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99</v>
      </c>
      <c r="E92" s="621">
        <f>D92-$K19</f>
        <v>98</v>
      </c>
      <c r="F92" s="621">
        <f>E92-$K19</f>
        <v>97</v>
      </c>
      <c r="G92" s="621">
        <f>F92-$K19</f>
        <v>96</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99</v>
      </c>
      <c r="E96" s="621">
        <f>D96-$K23</f>
        <v>98</v>
      </c>
      <c r="F96" s="621">
        <f>E96-$K23</f>
        <v>97</v>
      </c>
      <c r="G96" s="621">
        <f>F96-$K23</f>
        <v>96</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99</v>
      </c>
      <c r="E98" s="621">
        <f>D98-$K25</f>
        <v>98</v>
      </c>
      <c r="F98" s="621">
        <f>E98-$K25</f>
        <v>97</v>
      </c>
      <c r="G98" s="621">
        <f>F98-$K25</f>
        <v>96</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99</v>
      </c>
      <c r="E100" s="621">
        <f>D100-$K27</f>
        <v>98</v>
      </c>
      <c r="F100" s="621">
        <f>E100-$K27</f>
        <v>97</v>
      </c>
      <c r="G100" s="621">
        <f>F100-$K27</f>
        <v>96</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1829</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99</v>
      </c>
      <c r="E102" s="621">
        <f>D102-$K29</f>
        <v>98</v>
      </c>
      <c r="F102" s="621">
        <f>E102-$K29</f>
        <v>97</v>
      </c>
      <c r="G102" s="621">
        <f>F102-$K29</f>
        <v>96</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1831</v>
      </c>
      <c r="C103" s="2057" t="s">
        <v>1832</v>
      </c>
      <c r="D103" s="2057" t="s">
        <v>1833</v>
      </c>
      <c r="E103" s="2057" t="s">
        <v>1834</v>
      </c>
      <c r="F103" s="2057" t="s">
        <v>1835</v>
      </c>
      <c r="G103" s="2057" t="s">
        <v>1836</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3401" t="s">
        <v>4019</v>
      </c>
      <c r="D109" s="3401" t="s">
        <v>4020</v>
      </c>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90</v>
      </c>
      <c r="E110" s="621">
        <f t="shared" si="23"/>
        <v>80</v>
      </c>
      <c r="F110" s="621">
        <f t="shared" si="23"/>
        <v>70</v>
      </c>
      <c r="G110" s="621">
        <f t="shared" si="23"/>
        <v>60</v>
      </c>
      <c r="H110" s="621">
        <f t="shared" si="23"/>
        <v>50</v>
      </c>
      <c r="I110" s="621">
        <f t="shared" si="23"/>
        <v>40</v>
      </c>
      <c r="J110" s="621">
        <f t="shared" si="23"/>
        <v>30</v>
      </c>
      <c r="K110" s="621">
        <f t="shared" si="23"/>
        <v>20</v>
      </c>
      <c r="L110" s="621">
        <f t="shared" si="23"/>
        <v>10</v>
      </c>
      <c r="M110" s="621">
        <f t="shared" si="23"/>
        <v>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t="str">
        <f>B37</f>
        <v>远景规划</v>
      </c>
      <c r="C111" s="3402" t="s">
        <v>4115</v>
      </c>
      <c r="D111" s="3402" t="s">
        <v>4116</v>
      </c>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v>100</v>
      </c>
      <c r="D112" s="634">
        <v>95</v>
      </c>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0(含)-5000</v>
      </c>
      <c r="D117" s="645" t="str">
        <f t="shared" si="24"/>
        <v>5000(含)-10000</v>
      </c>
      <c r="E117" s="645" t="str">
        <f t="shared" si="24"/>
        <v>10000(含)-20000</v>
      </c>
      <c r="F117" s="645" t="str">
        <f t="shared" si="24"/>
        <v>20000(含)-50000</v>
      </c>
      <c r="G117" s="645" t="str">
        <f t="shared" si="24"/>
        <v>50000(含)-100000</v>
      </c>
      <c r="H117" s="645" t="str">
        <f t="shared" si="24"/>
        <v>100000(含)-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5000</v>
      </c>
      <c r="E118" s="79">
        <v>10000</v>
      </c>
      <c r="F118" s="79">
        <v>20000</v>
      </c>
      <c r="G118" s="79">
        <v>50000</v>
      </c>
      <c r="H118" s="79">
        <v>100000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C119+2</f>
        <v>102</v>
      </c>
      <c r="E119" s="666">
        <f>D119+2</f>
        <v>104</v>
      </c>
      <c r="F119" s="666">
        <f>E119+2</f>
        <v>106</v>
      </c>
      <c r="G119" s="666">
        <f>F119+2</f>
        <v>108</v>
      </c>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1" t="s">
        <v>4021</v>
      </c>
      <c r="D120" s="3401" t="s">
        <v>4023</v>
      </c>
      <c r="E120" s="3401" t="s">
        <v>4024</v>
      </c>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99</v>
      </c>
      <c r="E121" s="621">
        <f t="shared" si="25"/>
        <v>98</v>
      </c>
      <c r="F121" s="621">
        <f t="shared" si="25"/>
        <v>97</v>
      </c>
      <c r="G121" s="621">
        <f t="shared" si="25"/>
        <v>96</v>
      </c>
      <c r="H121" s="621">
        <f t="shared" si="25"/>
        <v>95</v>
      </c>
      <c r="I121" s="621">
        <f t="shared" si="25"/>
        <v>94</v>
      </c>
      <c r="J121" s="621">
        <f t="shared" si="25"/>
        <v>93</v>
      </c>
      <c r="K121" s="621">
        <f t="shared" si="25"/>
        <v>92</v>
      </c>
      <c r="L121" s="621">
        <f t="shared" si="25"/>
        <v>91</v>
      </c>
      <c r="M121" s="622">
        <f t="shared" si="25"/>
        <v>90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3402" t="s">
        <v>4025</v>
      </c>
      <c r="D122" s="3402" t="s">
        <v>4027</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99</v>
      </c>
      <c r="E123" s="621">
        <f t="shared" si="26"/>
        <v>98</v>
      </c>
      <c r="F123" s="621">
        <f t="shared" si="26"/>
        <v>97</v>
      </c>
      <c r="G123" s="621">
        <f t="shared" si="26"/>
        <v>96</v>
      </c>
      <c r="H123" s="621">
        <f t="shared" si="26"/>
        <v>95</v>
      </c>
      <c r="I123" s="621">
        <f t="shared" si="26"/>
        <v>94</v>
      </c>
      <c r="J123" s="621">
        <f t="shared" si="26"/>
        <v>93</v>
      </c>
      <c r="K123" s="621">
        <f t="shared" si="26"/>
        <v>92</v>
      </c>
      <c r="L123" s="621">
        <f t="shared" si="26"/>
        <v>91</v>
      </c>
      <c r="M123" s="622">
        <f t="shared" si="26"/>
        <v>90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1775</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7">C125-$K43</f>
        <v>99.5</v>
      </c>
      <c r="E125" s="621">
        <f t="shared" si="27"/>
        <v>99</v>
      </c>
      <c r="F125" s="621">
        <f t="shared" si="27"/>
        <v>98.5</v>
      </c>
      <c r="G125" s="621">
        <f t="shared" si="27"/>
        <v>98</v>
      </c>
      <c r="H125" s="621">
        <f t="shared" si="27"/>
        <v>97.5</v>
      </c>
      <c r="I125" s="621">
        <f t="shared" si="27"/>
        <v>97</v>
      </c>
      <c r="J125" s="621">
        <f t="shared" si="27"/>
        <v>96.5</v>
      </c>
      <c r="K125" s="621">
        <f t="shared" si="27"/>
        <v>96</v>
      </c>
      <c r="L125" s="621">
        <f t="shared" si="27"/>
        <v>95.5</v>
      </c>
      <c r="M125" s="622">
        <f t="shared" si="27"/>
        <v>95</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99</v>
      </c>
      <c r="E127" s="621">
        <f t="shared" si="28"/>
        <v>98</v>
      </c>
      <c r="F127" s="621">
        <f t="shared" si="28"/>
        <v>97</v>
      </c>
      <c r="G127" s="621">
        <f t="shared" si="28"/>
        <v>96</v>
      </c>
      <c r="H127" s="621">
        <f t="shared" si="28"/>
        <v>95</v>
      </c>
      <c r="I127" s="621">
        <f t="shared" si="28"/>
        <v>94</v>
      </c>
      <c r="J127" s="621">
        <f t="shared" si="28"/>
        <v>93</v>
      </c>
      <c r="K127" s="621">
        <f t="shared" si="28"/>
        <v>92</v>
      </c>
      <c r="L127" s="621">
        <f t="shared" si="28"/>
        <v>91</v>
      </c>
      <c r="M127" s="622">
        <f t="shared" si="28"/>
        <v>90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57" priority="13"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F9:F47 H9:H47 J9:J47">
    <cfRule type="cellIs" dxfId="154" priority="1" operator="notEqual">
      <formula>100</formula>
    </cfRule>
  </conditionalFormatting>
  <conditionalFormatting sqref="F49">
    <cfRule type="expression" dxfId="153" priority="4">
      <formula>$D$49="简单平均"</formula>
    </cfRule>
  </conditionalFormatting>
  <conditionalFormatting sqref="F53:F55 H53:H55 J53:J55">
    <cfRule type="containsText" dxfId="152" priority="14" stopIfTrue="1" operator="containsText" text="超过">
      <formula>NOT(ISERROR(SEARCH("超过",F53)))</formula>
    </cfRule>
  </conditionalFormatting>
  <conditionalFormatting sqref="G53">
    <cfRule type="expression" dxfId="151" priority="9" stopIfTrue="1">
      <formula>$H$55+$H$53="超过30%"</formula>
    </cfRule>
  </conditionalFormatting>
  <conditionalFormatting sqref="G54">
    <cfRule type="expression" dxfId="150" priority="8" stopIfTrue="1">
      <formula>$H$54="超过20%"</formula>
    </cfRule>
  </conditionalFormatting>
  <conditionalFormatting sqref="G55">
    <cfRule type="expression" dxfId="149" priority="12" stopIfTrue="1">
      <formula>$H$55="超过30%"</formula>
    </cfRule>
  </conditionalFormatting>
  <conditionalFormatting sqref="H49">
    <cfRule type="expression" dxfId="148" priority="3">
      <formula>$D$49="简单平均"</formula>
    </cfRule>
  </conditionalFormatting>
  <conditionalFormatting sqref="I53">
    <cfRule type="expression" dxfId="147" priority="7" stopIfTrue="1">
      <formula>$J$53="超过30%"</formula>
    </cfRule>
  </conditionalFormatting>
  <conditionalFormatting sqref="I54">
    <cfRule type="expression" dxfId="146" priority="6" stopIfTrue="1">
      <formula>$J$54="超过20%"</formula>
    </cfRule>
  </conditionalFormatting>
  <conditionalFormatting sqref="I55">
    <cfRule type="expression" dxfId="145" priority="5" stopIfTrue="1">
      <formula>$J$55="超过30%"</formula>
    </cfRule>
  </conditionalFormatting>
  <conditionalFormatting sqref="J49">
    <cfRule type="expression" dxfId="144"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29" t="str">
        <f>项目基本情况!B1</f>
        <v>北京市北京大兴国际机场临空经济区0105街区DX16-0105-6018地块F1住宅混合公建用地出让国有建设用地出让国有建设用地使用权抵押价格预评估</v>
      </c>
      <c r="C37" s="3429"/>
      <c r="D37" s="3429"/>
      <c r="E37" s="3429"/>
      <c r="F37" s="3429"/>
      <c r="G37" s="3429"/>
      <c r="H37" s="3429"/>
      <c r="I37" s="3429"/>
    </row>
    <row r="38" spans="1:9">
      <c r="A38" s="1375"/>
      <c r="B38" s="1375"/>
    </row>
    <row r="39" spans="1:9">
      <c r="A39" s="1373" t="s">
        <v>1425</v>
      </c>
      <c r="B39" s="1373" t="s">
        <v>1562</v>
      </c>
    </row>
    <row r="40" spans="1:9">
      <c r="A40" s="1373"/>
      <c r="B40" s="1373" t="str">
        <f>项目基本情况!B5</f>
        <v>华夏</v>
      </c>
    </row>
    <row r="41" spans="1:9">
      <c r="A41" s="1373"/>
      <c r="B41" s="1373"/>
    </row>
    <row r="42" spans="1:9">
      <c r="A42" s="1373" t="s">
        <v>1425</v>
      </c>
      <c r="B42" s="1373" t="s">
        <v>1563</v>
      </c>
    </row>
    <row r="43" spans="1:9">
      <c r="A43" s="1373"/>
      <c r="B43" s="1373" t="s">
        <v>1427</v>
      </c>
    </row>
    <row r="44" spans="1:9">
      <c r="A44" s="1373"/>
      <c r="B44" s="1373"/>
    </row>
    <row r="45" spans="1:9">
      <c r="A45" s="1373" t="s">
        <v>1425</v>
      </c>
      <c r="B45" s="1373" t="s">
        <v>1561</v>
      </c>
    </row>
    <row r="46" spans="1:9" s="1373" customFormat="1" ht="12.75">
      <c r="B46" s="1373" t="str">
        <f>项目基本情况!K4</f>
        <v>吴薇、郑燚</v>
      </c>
    </row>
    <row r="47" spans="1:9">
      <c r="A47" s="1373"/>
      <c r="B47" s="1373"/>
    </row>
    <row r="48" spans="1:9">
      <c r="A48" s="1373" t="s">
        <v>1425</v>
      </c>
      <c r="B48" s="1373" t="s">
        <v>1564</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M56"/>
  <sheetViews>
    <sheetView topLeftCell="A13" workbookViewId="0">
      <selection activeCell="AW38" sqref="AW38"/>
    </sheetView>
  </sheetViews>
  <sheetFormatPr defaultRowHeight="14.25"/>
  <cols>
    <col min="1" max="1" width="20" style="3395" customWidth="1"/>
    <col min="2" max="3" width="20" style="3395" hidden="1" customWidth="1"/>
    <col min="4" max="4" width="9.25" style="3395" customWidth="1"/>
    <col min="5" max="5" width="14.5" style="3395" customWidth="1"/>
    <col min="6" max="7" width="20" style="3395" hidden="1" customWidth="1"/>
    <col min="8" max="8" width="14.5" style="3395" customWidth="1"/>
    <col min="9" max="9" width="12.625" style="3395" customWidth="1"/>
    <col min="10" max="10" width="11.125" style="3395" customWidth="1"/>
    <col min="11" max="14" width="20" style="3395" hidden="1" customWidth="1"/>
    <col min="15" max="15" width="13.375" style="3395" customWidth="1"/>
    <col min="16" max="16" width="11.875" style="3395" customWidth="1"/>
    <col min="17" max="17" width="20" style="3395" hidden="1" customWidth="1"/>
    <col min="18" max="18" width="11.25" style="3395" customWidth="1"/>
    <col min="19" max="19" width="20" style="3395" hidden="1" customWidth="1"/>
    <col min="20" max="20" width="11.625" style="3395" customWidth="1"/>
    <col min="21" max="32" width="20" style="3395" hidden="1" customWidth="1"/>
    <col min="33" max="33" width="12.75" style="3395" customWidth="1"/>
    <col min="34" max="36" width="20" style="3395" hidden="1" customWidth="1"/>
    <col min="37" max="37" width="14.5" style="3395" customWidth="1"/>
    <col min="38" max="42" width="20" style="3395" hidden="1" customWidth="1"/>
    <col min="43" max="43" width="11.25" style="3395" customWidth="1"/>
    <col min="44" max="44" width="20" style="3395" hidden="1" customWidth="1"/>
    <col min="45" max="45" width="12.375" style="3395" customWidth="1"/>
    <col min="46" max="46" width="20" style="3395" hidden="1" customWidth="1"/>
    <col min="47" max="47" width="10.25" style="3395" customWidth="1"/>
    <col min="48" max="48" width="20" style="3395" hidden="1" customWidth="1"/>
    <col min="49" max="49" width="7.875" style="3395" customWidth="1"/>
    <col min="50" max="52" width="20" style="3395" hidden="1" customWidth="1"/>
    <col min="53" max="53" width="12.5" style="3395" hidden="1" customWidth="1"/>
    <col min="54" max="54" width="20" style="3395" hidden="1" customWidth="1"/>
    <col min="55" max="55" width="11.375" style="3395" customWidth="1"/>
    <col min="56" max="57" width="20" style="3395" hidden="1" customWidth="1"/>
    <col min="58" max="58" width="8.5" style="3395" customWidth="1"/>
    <col min="59" max="59" width="20" style="3395" hidden="1" customWidth="1"/>
    <col min="60" max="60" width="20" style="3395" customWidth="1"/>
    <col min="61" max="65" width="20" style="3395" hidden="1" customWidth="1"/>
    <col min="66" max="66" width="20" style="3395" customWidth="1"/>
    <col min="67" max="16384" width="9" style="3395"/>
  </cols>
  <sheetData>
    <row r="1" spans="1:65">
      <c r="A1" s="3395" t="s">
        <v>3362</v>
      </c>
      <c r="B1" s="3395" t="s">
        <v>3363</v>
      </c>
      <c r="C1" s="3395" t="s">
        <v>3364</v>
      </c>
      <c r="D1" s="3395" t="s">
        <v>3365</v>
      </c>
      <c r="E1" s="3395" t="s">
        <v>3366</v>
      </c>
      <c r="F1" s="3395" t="s">
        <v>3367</v>
      </c>
      <c r="G1" s="3395" t="s">
        <v>3368</v>
      </c>
      <c r="H1" s="3395" t="s">
        <v>3369</v>
      </c>
      <c r="I1" s="3395" t="s">
        <v>3370</v>
      </c>
      <c r="J1" s="3395" t="s">
        <v>3371</v>
      </c>
      <c r="K1" s="3395" t="s">
        <v>3372</v>
      </c>
      <c r="L1" s="3395" t="s">
        <v>3373</v>
      </c>
      <c r="M1" s="3395" t="s">
        <v>3374</v>
      </c>
      <c r="N1" s="3395" t="s">
        <v>3375</v>
      </c>
      <c r="O1" s="3395" t="s">
        <v>3376</v>
      </c>
      <c r="P1" s="3395" t="s">
        <v>3377</v>
      </c>
      <c r="Q1" s="3395" t="s">
        <v>3378</v>
      </c>
      <c r="R1" s="3395" t="s">
        <v>3379</v>
      </c>
      <c r="S1" s="3395" t="s">
        <v>1548</v>
      </c>
      <c r="T1" s="3395" t="s">
        <v>3380</v>
      </c>
      <c r="U1" s="3395" t="s">
        <v>3381</v>
      </c>
      <c r="V1" s="3395" t="s">
        <v>3382</v>
      </c>
      <c r="W1" s="3395" t="s">
        <v>3383</v>
      </c>
      <c r="X1" s="3395" t="s">
        <v>3384</v>
      </c>
      <c r="Y1" s="3395" t="s">
        <v>3385</v>
      </c>
      <c r="Z1" s="3395" t="s">
        <v>3386</v>
      </c>
      <c r="AA1" s="3395" t="s">
        <v>3387</v>
      </c>
      <c r="AB1" s="3395" t="s">
        <v>3388</v>
      </c>
      <c r="AC1" s="3395" t="s">
        <v>3389</v>
      </c>
      <c r="AD1" s="3395" t="s">
        <v>3390</v>
      </c>
      <c r="AE1" s="3395" t="s">
        <v>3391</v>
      </c>
      <c r="AF1" s="3395" t="s">
        <v>3392</v>
      </c>
      <c r="AG1" s="3395" t="s">
        <v>3393</v>
      </c>
      <c r="AH1" s="3395" t="s">
        <v>3394</v>
      </c>
      <c r="AI1" s="3395" t="s">
        <v>3395</v>
      </c>
      <c r="AJ1" s="3395" t="s">
        <v>3396</v>
      </c>
      <c r="AK1" s="3395" t="s">
        <v>3397</v>
      </c>
      <c r="AL1" s="3395" t="s">
        <v>3398</v>
      </c>
      <c r="AM1" s="3395" t="s">
        <v>3399</v>
      </c>
      <c r="AN1" s="3395" t="s">
        <v>3400</v>
      </c>
      <c r="AO1" s="3395" t="s">
        <v>3401</v>
      </c>
      <c r="AP1" s="3395" t="s">
        <v>3402</v>
      </c>
      <c r="AQ1" s="3395" t="s">
        <v>3403</v>
      </c>
      <c r="AR1" s="3395" t="s">
        <v>3404</v>
      </c>
      <c r="AS1" s="3395" t="s">
        <v>3405</v>
      </c>
      <c r="AT1" s="3395" t="s">
        <v>3406</v>
      </c>
      <c r="AU1" s="3395" t="s">
        <v>3407</v>
      </c>
      <c r="AV1" s="3395" t="s">
        <v>3408</v>
      </c>
      <c r="AW1" s="3395" t="s">
        <v>3409</v>
      </c>
      <c r="AX1" s="3395" t="s">
        <v>3410</v>
      </c>
      <c r="AY1" s="3395" t="s">
        <v>3411</v>
      </c>
      <c r="AZ1" s="3395" t="s">
        <v>3412</v>
      </c>
      <c r="BA1" s="3395" t="s">
        <v>3413</v>
      </c>
      <c r="BB1" s="3395" t="s">
        <v>3414</v>
      </c>
      <c r="BC1" s="3395" t="s">
        <v>3415</v>
      </c>
      <c r="BD1" s="3395" t="s">
        <v>3416</v>
      </c>
      <c r="BE1" s="3395" t="s">
        <v>3417</v>
      </c>
      <c r="BF1" s="3395" t="s">
        <v>3418</v>
      </c>
      <c r="BG1" s="3395" t="s">
        <v>3419</v>
      </c>
      <c r="BH1" s="3395" t="s">
        <v>3359</v>
      </c>
      <c r="BI1" s="3395" t="s">
        <v>3420</v>
      </c>
      <c r="BJ1" s="3395" t="s">
        <v>3421</v>
      </c>
      <c r="BK1" s="3395" t="s">
        <v>3422</v>
      </c>
      <c r="BL1" s="3395" t="s">
        <v>3423</v>
      </c>
      <c r="BM1" s="3395" t="s">
        <v>3424</v>
      </c>
    </row>
    <row r="2" spans="1:65" s="3398" customFormat="1">
      <c r="A2" s="3398" t="s">
        <v>3733</v>
      </c>
      <c r="B2" s="3398" t="s">
        <v>3426</v>
      </c>
      <c r="C2" s="3398" t="s">
        <v>1465</v>
      </c>
      <c r="D2" s="3398" t="s">
        <v>3507</v>
      </c>
      <c r="E2" s="3398" t="s">
        <v>3734</v>
      </c>
      <c r="F2" s="3398" t="s">
        <v>3735</v>
      </c>
      <c r="G2" s="3398" t="s">
        <v>3735</v>
      </c>
      <c r="H2" s="3398" t="s">
        <v>3736</v>
      </c>
      <c r="I2" s="3398">
        <v>19113.12</v>
      </c>
      <c r="J2" s="3398">
        <v>38226.239999999998</v>
      </c>
      <c r="K2" s="3398" t="s">
        <v>3435</v>
      </c>
      <c r="L2" s="3398" t="s">
        <v>3435</v>
      </c>
      <c r="M2" s="3398">
        <v>0</v>
      </c>
      <c r="N2" s="3398">
        <v>0</v>
      </c>
      <c r="O2" s="3398" t="s">
        <v>3492</v>
      </c>
      <c r="P2" s="3398" t="s">
        <v>3604</v>
      </c>
      <c r="Q2" s="3398" t="s">
        <v>3605</v>
      </c>
      <c r="R2" s="3398" t="s">
        <v>3606</v>
      </c>
      <c r="S2" s="3398" t="s">
        <v>3633</v>
      </c>
      <c r="T2" s="3398">
        <v>2</v>
      </c>
      <c r="U2" s="3398" t="s">
        <v>3435</v>
      </c>
      <c r="V2" s="3398">
        <v>30</v>
      </c>
      <c r="W2" s="3398">
        <v>45</v>
      </c>
      <c r="X2" s="3398" t="s">
        <v>3460</v>
      </c>
      <c r="Y2" s="3398" t="s">
        <v>3435</v>
      </c>
      <c r="Z2" s="3398" t="s">
        <v>3461</v>
      </c>
      <c r="AA2" s="3398" t="s">
        <v>3435</v>
      </c>
      <c r="AB2" s="3398" t="s">
        <v>3435</v>
      </c>
      <c r="AC2" s="3398" t="s">
        <v>3435</v>
      </c>
      <c r="AD2" s="3398" t="s">
        <v>3737</v>
      </c>
      <c r="AE2" s="3398" t="s">
        <v>3738</v>
      </c>
      <c r="AF2" s="3398" t="s">
        <v>3739</v>
      </c>
      <c r="AG2" s="3398" t="s">
        <v>3739</v>
      </c>
      <c r="AH2" s="3398" t="s">
        <v>3444</v>
      </c>
      <c r="AI2" s="3398" t="s">
        <v>3445</v>
      </c>
      <c r="AJ2" s="3398" t="s">
        <v>3740</v>
      </c>
      <c r="AK2" s="3398" t="s">
        <v>3741</v>
      </c>
      <c r="AL2" s="3398" t="s">
        <v>3742</v>
      </c>
      <c r="AM2" s="3398" t="s">
        <v>3435</v>
      </c>
      <c r="AN2" s="3398">
        <v>45000</v>
      </c>
      <c r="AO2" s="3398">
        <v>9000</v>
      </c>
      <c r="AP2" s="3398" t="s">
        <v>3743</v>
      </c>
      <c r="AQ2" s="3398">
        <v>45000</v>
      </c>
      <c r="AR2" s="3398">
        <v>23544.03</v>
      </c>
      <c r="AS2" s="3398">
        <v>23544.03</v>
      </c>
      <c r="AT2" s="3398">
        <v>1569.6</v>
      </c>
      <c r="AU2" s="3398">
        <v>1569.6</v>
      </c>
      <c r="AV2" s="3398">
        <v>11772</v>
      </c>
      <c r="AW2" s="3398">
        <v>11772</v>
      </c>
      <c r="AX2" s="3398" t="s">
        <v>3435</v>
      </c>
      <c r="AY2" s="3398" t="s">
        <v>3435</v>
      </c>
      <c r="AZ2" s="3398">
        <v>0</v>
      </c>
      <c r="BA2" s="3398">
        <v>51750</v>
      </c>
      <c r="BB2" s="3398" t="s">
        <v>3450</v>
      </c>
      <c r="BC2" s="3398">
        <v>30000</v>
      </c>
      <c r="BD2" s="3398">
        <v>30000</v>
      </c>
      <c r="BE2" s="3398">
        <v>13538</v>
      </c>
      <c r="BF2" s="3398">
        <v>15</v>
      </c>
      <c r="BG2" s="3398">
        <v>15284</v>
      </c>
      <c r="BH2" s="3398" t="s">
        <v>3435</v>
      </c>
      <c r="BI2" s="3398" t="s">
        <v>3435</v>
      </c>
      <c r="BJ2" s="3398" t="s">
        <v>3325</v>
      </c>
      <c r="BK2" s="3398" t="s">
        <v>3744</v>
      </c>
      <c r="BL2" s="3398" t="s">
        <v>3435</v>
      </c>
      <c r="BM2" s="3398" t="s">
        <v>3435</v>
      </c>
    </row>
    <row r="3" spans="1:65" s="3398" customFormat="1">
      <c r="A3" s="3398" t="s">
        <v>3817</v>
      </c>
      <c r="B3" s="3398" t="s">
        <v>3426</v>
      </c>
      <c r="C3" s="3398" t="s">
        <v>1465</v>
      </c>
      <c r="D3" s="3398" t="s">
        <v>3540</v>
      </c>
      <c r="E3" s="3398" t="s">
        <v>3818</v>
      </c>
      <c r="F3" s="3398" t="s">
        <v>3819</v>
      </c>
      <c r="G3" s="3398" t="s">
        <v>3819</v>
      </c>
      <c r="H3" s="3398" t="s">
        <v>3820</v>
      </c>
      <c r="I3" s="3398">
        <v>69837.09</v>
      </c>
      <c r="J3" s="3398">
        <v>104756</v>
      </c>
      <c r="K3" s="3398" t="s">
        <v>3435</v>
      </c>
      <c r="L3" s="3398" t="s">
        <v>3435</v>
      </c>
      <c r="M3" s="3398">
        <v>0</v>
      </c>
      <c r="N3" s="3398">
        <v>0</v>
      </c>
      <c r="O3" s="3398" t="s">
        <v>3431</v>
      </c>
      <c r="P3" s="3398" t="s">
        <v>3668</v>
      </c>
      <c r="Q3" s="3398" t="s">
        <v>3545</v>
      </c>
      <c r="R3" s="3398" t="s">
        <v>3433</v>
      </c>
      <c r="S3" s="3398" t="s">
        <v>3821</v>
      </c>
      <c r="T3" s="3398">
        <v>1.5</v>
      </c>
      <c r="U3" s="3398" t="s">
        <v>3435</v>
      </c>
      <c r="V3" s="3398">
        <v>0.3</v>
      </c>
      <c r="W3" s="3398">
        <v>24</v>
      </c>
      <c r="X3" s="3398" t="s">
        <v>3460</v>
      </c>
      <c r="Y3" s="3398" t="s">
        <v>3435</v>
      </c>
      <c r="Z3" s="3398" t="s">
        <v>3461</v>
      </c>
      <c r="AA3" s="3398" t="s">
        <v>3435</v>
      </c>
      <c r="AB3" s="3398" t="s">
        <v>3435</v>
      </c>
      <c r="AC3" s="3398" t="s">
        <v>3435</v>
      </c>
      <c r="AD3" s="3398" t="s">
        <v>3822</v>
      </c>
      <c r="AE3" s="3398" t="s">
        <v>3823</v>
      </c>
      <c r="AF3" s="3398" t="s">
        <v>3824</v>
      </c>
      <c r="AG3" s="3398" t="s">
        <v>3824</v>
      </c>
      <c r="AH3" s="3398" t="s">
        <v>3444</v>
      </c>
      <c r="AI3" s="3398" t="s">
        <v>3481</v>
      </c>
      <c r="AJ3" s="3398" t="s">
        <v>3825</v>
      </c>
      <c r="AK3" s="3398" t="s">
        <v>3825</v>
      </c>
      <c r="AL3" s="3398" t="s">
        <v>3536</v>
      </c>
      <c r="AM3" s="3398" t="s">
        <v>3435</v>
      </c>
      <c r="AN3" s="3398">
        <v>120000</v>
      </c>
      <c r="AO3" s="3398">
        <v>24000</v>
      </c>
      <c r="AP3" s="3398" t="s">
        <v>3435</v>
      </c>
      <c r="AQ3" s="3398">
        <v>120000</v>
      </c>
      <c r="AR3" s="3398">
        <v>17182.84</v>
      </c>
      <c r="AS3" s="3398">
        <v>17182.84</v>
      </c>
      <c r="AT3" s="3398">
        <v>1145.52</v>
      </c>
      <c r="AU3" s="3398">
        <v>1145.52</v>
      </c>
      <c r="AV3" s="3398">
        <v>11455</v>
      </c>
      <c r="AW3" s="3398">
        <v>11455</v>
      </c>
      <c r="AX3" s="3398" t="s">
        <v>3435</v>
      </c>
      <c r="AY3" s="3398" t="s">
        <v>3435</v>
      </c>
      <c r="AZ3" s="3398">
        <v>0</v>
      </c>
      <c r="BA3" s="3398">
        <v>138000</v>
      </c>
      <c r="BB3" s="3398" t="s">
        <v>3450</v>
      </c>
      <c r="BC3" s="3398">
        <v>37000</v>
      </c>
      <c r="BD3" s="3398">
        <v>37000</v>
      </c>
      <c r="BE3" s="3398">
        <v>13173</v>
      </c>
      <c r="BF3" s="3398">
        <v>15</v>
      </c>
      <c r="BG3" s="3398">
        <v>25544</v>
      </c>
      <c r="BH3" s="3398" t="s">
        <v>3486</v>
      </c>
      <c r="BI3" s="3398" t="s">
        <v>3826</v>
      </c>
      <c r="BJ3" s="3398" t="s">
        <v>3325</v>
      </c>
      <c r="BK3" s="3398" t="s">
        <v>3820</v>
      </c>
      <c r="BL3" s="3398" t="s">
        <v>3435</v>
      </c>
      <c r="BM3" s="3398" t="s">
        <v>3435</v>
      </c>
    </row>
    <row r="4" spans="1:65" s="3398" customFormat="1">
      <c r="A4" s="3398" t="s">
        <v>3895</v>
      </c>
      <c r="B4" s="3398" t="s">
        <v>3426</v>
      </c>
      <c r="C4" s="3398" t="s">
        <v>1465</v>
      </c>
      <c r="D4" s="3398" t="s">
        <v>3540</v>
      </c>
      <c r="E4" s="3398" t="s">
        <v>3896</v>
      </c>
      <c r="F4" s="3398" t="s">
        <v>3897</v>
      </c>
      <c r="G4" s="3398" t="s">
        <v>3897</v>
      </c>
      <c r="H4" s="3398" t="s">
        <v>3898</v>
      </c>
      <c r="I4" s="3398">
        <v>31558.240000000002</v>
      </c>
      <c r="J4" s="3398">
        <v>88363.07</v>
      </c>
      <c r="K4" s="3398" t="s">
        <v>3435</v>
      </c>
      <c r="L4" s="3398" t="s">
        <v>3435</v>
      </c>
      <c r="M4" s="3398">
        <v>0</v>
      </c>
      <c r="N4" s="3398">
        <v>0</v>
      </c>
      <c r="O4" s="3398" t="s">
        <v>3431</v>
      </c>
      <c r="P4" s="3398" t="s">
        <v>3668</v>
      </c>
      <c r="Q4" s="3398" t="s">
        <v>3545</v>
      </c>
      <c r="R4" s="3398" t="s">
        <v>3433</v>
      </c>
      <c r="S4" s="3398" t="s">
        <v>3899</v>
      </c>
      <c r="T4" s="3398">
        <v>2.8</v>
      </c>
      <c r="U4" s="3398" t="s">
        <v>3435</v>
      </c>
      <c r="V4" s="3398" t="s">
        <v>3435</v>
      </c>
      <c r="W4" s="3398">
        <v>60</v>
      </c>
      <c r="X4" s="3398" t="s">
        <v>3460</v>
      </c>
      <c r="Y4" s="3398" t="s">
        <v>3435</v>
      </c>
      <c r="Z4" s="3398" t="s">
        <v>3461</v>
      </c>
      <c r="AA4" s="3398" t="s">
        <v>3477</v>
      </c>
      <c r="AB4" s="3398" t="s">
        <v>3435</v>
      </c>
      <c r="AC4" s="3398" t="s">
        <v>3435</v>
      </c>
      <c r="AD4" s="3398" t="s">
        <v>3889</v>
      </c>
      <c r="AE4" s="3398" t="s">
        <v>3890</v>
      </c>
      <c r="AF4" s="3398" t="s">
        <v>3853</v>
      </c>
      <c r="AG4" s="3398" t="s">
        <v>3853</v>
      </c>
      <c r="AH4" s="3398" t="s">
        <v>3444</v>
      </c>
      <c r="AI4" s="3398" t="s">
        <v>3481</v>
      </c>
      <c r="AJ4" s="3398" t="s">
        <v>3635</v>
      </c>
      <c r="AK4" s="3398" t="s">
        <v>3552</v>
      </c>
      <c r="AL4" s="3398" t="s">
        <v>3448</v>
      </c>
      <c r="AM4" s="3398" t="s">
        <v>3484</v>
      </c>
      <c r="AN4" s="3398">
        <v>88100</v>
      </c>
      <c r="AO4" s="3398">
        <v>18000</v>
      </c>
      <c r="AP4" s="3398" t="s">
        <v>3892</v>
      </c>
      <c r="AQ4" s="3398">
        <v>88100</v>
      </c>
      <c r="AR4" s="3398">
        <v>27916.63</v>
      </c>
      <c r="AS4" s="3398">
        <v>27916.63</v>
      </c>
      <c r="AT4" s="3398">
        <v>1861.11</v>
      </c>
      <c r="AU4" s="3398">
        <v>1861.11</v>
      </c>
      <c r="AV4" s="3398">
        <v>9970</v>
      </c>
      <c r="AW4" s="3398">
        <v>9970</v>
      </c>
      <c r="AX4" s="3398" t="s">
        <v>3435</v>
      </c>
      <c r="AY4" s="3398" t="s">
        <v>3435</v>
      </c>
      <c r="AZ4" s="3398">
        <v>0</v>
      </c>
      <c r="BA4" s="3398">
        <v>101315</v>
      </c>
      <c r="BB4" s="3398" t="s">
        <v>3450</v>
      </c>
      <c r="BC4" s="3398">
        <v>27000</v>
      </c>
      <c r="BD4" s="3398">
        <v>27000</v>
      </c>
      <c r="BE4" s="3398">
        <v>11466</v>
      </c>
      <c r="BF4" s="3398">
        <v>15</v>
      </c>
      <c r="BG4" s="3398">
        <v>17029</v>
      </c>
      <c r="BH4" s="3398" t="s">
        <v>3788</v>
      </c>
      <c r="BI4" s="3398" t="s">
        <v>3900</v>
      </c>
      <c r="BJ4" s="3398" t="s">
        <v>3325</v>
      </c>
      <c r="BK4" s="3398" t="s">
        <v>3898</v>
      </c>
      <c r="BL4" s="3399">
        <v>45136.000497685185</v>
      </c>
      <c r="BM4" s="3398">
        <v>88100</v>
      </c>
    </row>
    <row r="6" spans="1:65">
      <c r="A6" s="3395" t="s">
        <v>3362</v>
      </c>
      <c r="B6" s="3395" t="s">
        <v>3363</v>
      </c>
      <c r="C6" s="3395" t="s">
        <v>3364</v>
      </c>
      <c r="D6" s="3395" t="s">
        <v>3365</v>
      </c>
      <c r="E6" s="3395" t="s">
        <v>3366</v>
      </c>
      <c r="F6" s="3395" t="s">
        <v>3367</v>
      </c>
      <c r="G6" s="3395" t="s">
        <v>3368</v>
      </c>
      <c r="H6" s="3395" t="s">
        <v>3369</v>
      </c>
      <c r="I6" s="3395" t="s">
        <v>3370</v>
      </c>
      <c r="J6" s="3395" t="s">
        <v>3371</v>
      </c>
      <c r="K6" s="3395" t="s">
        <v>3372</v>
      </c>
      <c r="L6" s="3395" t="s">
        <v>3373</v>
      </c>
      <c r="M6" s="3395" t="s">
        <v>3374</v>
      </c>
      <c r="N6" s="3395" t="s">
        <v>3375</v>
      </c>
      <c r="O6" s="3395" t="s">
        <v>3376</v>
      </c>
      <c r="P6" s="3395" t="s">
        <v>3377</v>
      </c>
      <c r="Q6" s="3395" t="s">
        <v>3378</v>
      </c>
      <c r="R6" s="3395" t="s">
        <v>3379</v>
      </c>
      <c r="S6" s="3395" t="s">
        <v>1548</v>
      </c>
      <c r="T6" s="3395" t="s">
        <v>3380</v>
      </c>
      <c r="U6" s="3395" t="s">
        <v>3381</v>
      </c>
      <c r="V6" s="3395" t="s">
        <v>3382</v>
      </c>
      <c r="W6" s="3395" t="s">
        <v>3383</v>
      </c>
      <c r="X6" s="3395" t="s">
        <v>3384</v>
      </c>
      <c r="Y6" s="3395" t="s">
        <v>3385</v>
      </c>
      <c r="Z6" s="3395" t="s">
        <v>3386</v>
      </c>
      <c r="AA6" s="3395" t="s">
        <v>3387</v>
      </c>
      <c r="AB6" s="3395" t="s">
        <v>3388</v>
      </c>
      <c r="AC6" s="3395" t="s">
        <v>3389</v>
      </c>
      <c r="AD6" s="3395" t="s">
        <v>3390</v>
      </c>
      <c r="AE6" s="3395" t="s">
        <v>3391</v>
      </c>
      <c r="AF6" s="3395" t="s">
        <v>3392</v>
      </c>
      <c r="AG6" s="3395" t="s">
        <v>3393</v>
      </c>
      <c r="AH6" s="3395" t="s">
        <v>3394</v>
      </c>
      <c r="AI6" s="3395" t="s">
        <v>3395</v>
      </c>
      <c r="AJ6" s="3395" t="s">
        <v>3396</v>
      </c>
      <c r="AK6" s="3395" t="s">
        <v>3397</v>
      </c>
      <c r="AL6" s="3395" t="s">
        <v>3398</v>
      </c>
      <c r="AM6" s="3395" t="s">
        <v>3399</v>
      </c>
      <c r="AN6" s="3395" t="s">
        <v>3400</v>
      </c>
      <c r="AO6" s="3395" t="s">
        <v>3401</v>
      </c>
      <c r="AP6" s="3395" t="s">
        <v>3402</v>
      </c>
      <c r="AQ6" s="3395" t="s">
        <v>3403</v>
      </c>
      <c r="AR6" s="3395" t="s">
        <v>3404</v>
      </c>
      <c r="AS6" s="3395" t="s">
        <v>3405</v>
      </c>
      <c r="AT6" s="3395" t="s">
        <v>3406</v>
      </c>
      <c r="AU6" s="3395" t="s">
        <v>3407</v>
      </c>
      <c r="AV6" s="3395" t="s">
        <v>3408</v>
      </c>
      <c r="AW6" s="3395" t="s">
        <v>3409</v>
      </c>
      <c r="AX6" s="3395" t="s">
        <v>3410</v>
      </c>
      <c r="AY6" s="3395" t="s">
        <v>3411</v>
      </c>
      <c r="AZ6" s="3395" t="s">
        <v>3412</v>
      </c>
      <c r="BA6" s="3395" t="s">
        <v>3413</v>
      </c>
      <c r="BB6" s="3395" t="s">
        <v>3414</v>
      </c>
      <c r="BC6" s="3395" t="s">
        <v>3415</v>
      </c>
      <c r="BD6" s="3395" t="s">
        <v>3416</v>
      </c>
      <c r="BE6" s="3395" t="s">
        <v>3417</v>
      </c>
      <c r="BF6" s="3395" t="s">
        <v>3418</v>
      </c>
      <c r="BG6" s="3395" t="s">
        <v>3419</v>
      </c>
      <c r="BH6" s="3395" t="s">
        <v>3359</v>
      </c>
      <c r="BI6" s="3395" t="s">
        <v>3420</v>
      </c>
      <c r="BJ6" s="3395" t="s">
        <v>3421</v>
      </c>
      <c r="BK6" s="3395" t="s">
        <v>3422</v>
      </c>
      <c r="BL6" s="3395" t="s">
        <v>3423</v>
      </c>
      <c r="BM6" s="3395" t="s">
        <v>3424</v>
      </c>
    </row>
    <row r="7" spans="1:65">
      <c r="A7" s="3395" t="s">
        <v>3425</v>
      </c>
      <c r="B7" s="3395" t="s">
        <v>3426</v>
      </c>
      <c r="C7" s="3395" t="s">
        <v>1465</v>
      </c>
      <c r="D7" s="3395" t="s">
        <v>3427</v>
      </c>
      <c r="E7" s="3395" t="s">
        <v>3428</v>
      </c>
      <c r="F7" s="3395" t="s">
        <v>3429</v>
      </c>
      <c r="G7" s="3395" t="s">
        <v>3429</v>
      </c>
      <c r="H7" s="3395" t="s">
        <v>3430</v>
      </c>
      <c r="I7" s="3395">
        <v>21536.1</v>
      </c>
      <c r="J7" s="3395">
        <v>47379.41</v>
      </c>
      <c r="K7" s="3395">
        <v>0</v>
      </c>
      <c r="L7" s="3395">
        <v>0</v>
      </c>
      <c r="M7" s="3395">
        <v>0</v>
      </c>
      <c r="N7" s="3395">
        <v>0</v>
      </c>
      <c r="O7" s="3395" t="s">
        <v>3431</v>
      </c>
      <c r="P7" s="3395" t="s">
        <v>3432</v>
      </c>
      <c r="Q7" s="3395" t="s">
        <v>3432</v>
      </c>
      <c r="R7" s="3395" t="s">
        <v>3433</v>
      </c>
      <c r="S7" s="3395" t="s">
        <v>3434</v>
      </c>
      <c r="T7" s="3395">
        <v>2.2000000000000002</v>
      </c>
      <c r="U7" s="3395" t="s">
        <v>3435</v>
      </c>
      <c r="V7" s="3395" t="s">
        <v>3435</v>
      </c>
      <c r="W7" s="3395" t="s">
        <v>3436</v>
      </c>
      <c r="X7" s="3395" t="s">
        <v>3437</v>
      </c>
      <c r="Y7" s="3395" t="s">
        <v>3435</v>
      </c>
      <c r="Z7" s="3395" t="s">
        <v>3438</v>
      </c>
      <c r="AA7" s="3395" t="s">
        <v>3439</v>
      </c>
      <c r="AB7" s="3395" t="s">
        <v>3440</v>
      </c>
      <c r="AC7" s="3395" t="s">
        <v>3435</v>
      </c>
      <c r="AD7" s="3395" t="s">
        <v>3441</v>
      </c>
      <c r="AE7" s="3395" t="s">
        <v>3442</v>
      </c>
      <c r="AF7" s="3395" t="s">
        <v>3443</v>
      </c>
      <c r="AG7" s="3395" t="s">
        <v>3443</v>
      </c>
      <c r="AH7" s="3395" t="s">
        <v>3444</v>
      </c>
      <c r="AI7" s="3395" t="s">
        <v>3445</v>
      </c>
      <c r="AJ7" s="3395" t="s">
        <v>3446</v>
      </c>
      <c r="AK7" s="3395" t="s">
        <v>3447</v>
      </c>
      <c r="AL7" s="3395" t="s">
        <v>3448</v>
      </c>
      <c r="AM7" s="3395" t="s">
        <v>3435</v>
      </c>
      <c r="AN7" s="3395">
        <v>119600</v>
      </c>
      <c r="AO7" s="3395">
        <v>24000</v>
      </c>
      <c r="AP7" s="3395" t="s">
        <v>3449</v>
      </c>
      <c r="AQ7" s="3395">
        <v>119600</v>
      </c>
      <c r="AR7" s="3395">
        <v>55534.66</v>
      </c>
      <c r="AS7" s="3395">
        <v>55534.66</v>
      </c>
      <c r="AT7" s="3395">
        <v>3702.31</v>
      </c>
      <c r="AU7" s="3395">
        <v>3702.31</v>
      </c>
      <c r="AV7" s="3395">
        <v>25243</v>
      </c>
      <c r="AW7" s="3395">
        <v>25243</v>
      </c>
      <c r="AX7" s="3395" t="s">
        <v>3435</v>
      </c>
      <c r="AY7" s="3395" t="s">
        <v>3435</v>
      </c>
      <c r="AZ7" s="3395">
        <v>0</v>
      </c>
      <c r="BA7" s="3395">
        <v>137540</v>
      </c>
      <c r="BB7" s="3395" t="s">
        <v>3450</v>
      </c>
      <c r="BC7" s="3395">
        <v>62000</v>
      </c>
      <c r="BD7" s="3395">
        <v>62000</v>
      </c>
      <c r="BE7" s="3395">
        <v>29029</v>
      </c>
      <c r="BF7" s="3395">
        <v>15</v>
      </c>
      <c r="BG7" s="3395">
        <v>35988</v>
      </c>
      <c r="BH7" s="3395" t="s">
        <v>3451</v>
      </c>
      <c r="BI7" s="3395" t="s">
        <v>3435</v>
      </c>
      <c r="BJ7" s="3395" t="s">
        <v>3325</v>
      </c>
      <c r="BK7" s="3395" t="s">
        <v>3452</v>
      </c>
      <c r="BL7" s="3395" t="s">
        <v>3435</v>
      </c>
      <c r="BM7" s="3395" t="s">
        <v>3435</v>
      </c>
    </row>
    <row r="8" spans="1:65">
      <c r="A8" s="3395" t="s">
        <v>3453</v>
      </c>
      <c r="B8" s="3395" t="s">
        <v>3426</v>
      </c>
      <c r="C8" s="3395" t="s">
        <v>1465</v>
      </c>
      <c r="D8" s="3395" t="s">
        <v>3427</v>
      </c>
      <c r="E8" s="3395" t="s">
        <v>3454</v>
      </c>
      <c r="F8" s="3395" t="s">
        <v>3455</v>
      </c>
      <c r="G8" s="3395" t="s">
        <v>3456</v>
      </c>
      <c r="H8" s="3395" t="s">
        <v>3457</v>
      </c>
      <c r="I8" s="3395">
        <v>15992.79</v>
      </c>
      <c r="J8" s="3395">
        <v>34704.36</v>
      </c>
      <c r="K8" s="3395">
        <v>0</v>
      </c>
      <c r="L8" s="3395">
        <v>0</v>
      </c>
      <c r="M8" s="3395">
        <v>0</v>
      </c>
      <c r="N8" s="3395">
        <v>0</v>
      </c>
      <c r="O8" s="3395" t="s">
        <v>3431</v>
      </c>
      <c r="P8" s="3395" t="s">
        <v>3432</v>
      </c>
      <c r="Q8" s="3395" t="s">
        <v>3432</v>
      </c>
      <c r="R8" s="3395" t="s">
        <v>3433</v>
      </c>
      <c r="S8" s="3395" t="s">
        <v>3458</v>
      </c>
      <c r="T8" s="3395">
        <v>2.17</v>
      </c>
      <c r="U8" s="3395" t="s">
        <v>3435</v>
      </c>
      <c r="V8" s="3395" t="s">
        <v>3435</v>
      </c>
      <c r="W8" s="3395" t="s">
        <v>3459</v>
      </c>
      <c r="X8" s="3395" t="s">
        <v>3460</v>
      </c>
      <c r="Y8" s="3395" t="s">
        <v>3435</v>
      </c>
      <c r="Z8" s="3395" t="s">
        <v>3461</v>
      </c>
      <c r="AA8" s="3395" t="s">
        <v>3435</v>
      </c>
      <c r="AB8" s="3395" t="s">
        <v>3440</v>
      </c>
      <c r="AC8" s="3395" t="s">
        <v>3435</v>
      </c>
      <c r="AD8" s="3395" t="s">
        <v>3462</v>
      </c>
      <c r="AE8" s="3395" t="s">
        <v>3463</v>
      </c>
      <c r="AF8" s="3395" t="s">
        <v>3464</v>
      </c>
      <c r="AG8" s="3395" t="s">
        <v>3464</v>
      </c>
      <c r="AH8" s="3395" t="s">
        <v>3444</v>
      </c>
      <c r="AI8" s="3395" t="s">
        <v>3445</v>
      </c>
      <c r="AJ8" s="3395" t="s">
        <v>3465</v>
      </c>
      <c r="AK8" s="3395" t="s">
        <v>3466</v>
      </c>
      <c r="AL8" s="3395" t="s">
        <v>3467</v>
      </c>
      <c r="AM8" s="3395" t="s">
        <v>3435</v>
      </c>
      <c r="AN8" s="3395">
        <v>99200</v>
      </c>
      <c r="AO8" s="3395">
        <v>20000</v>
      </c>
      <c r="AP8" s="3395" t="s">
        <v>3468</v>
      </c>
      <c r="AQ8" s="3395">
        <v>99200</v>
      </c>
      <c r="AR8" s="3395">
        <v>62027.95</v>
      </c>
      <c r="AS8" s="3395">
        <v>62027.95</v>
      </c>
      <c r="AT8" s="3395">
        <v>4135.2</v>
      </c>
      <c r="AU8" s="3395">
        <v>4135.2</v>
      </c>
      <c r="AV8" s="3395">
        <v>28584</v>
      </c>
      <c r="AW8" s="3395">
        <v>28584</v>
      </c>
      <c r="AX8" s="3395" t="s">
        <v>3435</v>
      </c>
      <c r="AY8" s="3395" t="s">
        <v>3435</v>
      </c>
      <c r="AZ8" s="3395">
        <v>0</v>
      </c>
      <c r="BA8" s="3395">
        <v>114080</v>
      </c>
      <c r="BB8" s="3395" t="s">
        <v>3450</v>
      </c>
      <c r="BC8" s="3395" t="s">
        <v>3435</v>
      </c>
      <c r="BD8" s="3395" t="s">
        <v>3435</v>
      </c>
      <c r="BE8" s="3395">
        <v>32872</v>
      </c>
      <c r="BF8" s="3395">
        <v>15</v>
      </c>
      <c r="BG8" s="3395" t="s">
        <v>3435</v>
      </c>
      <c r="BH8" s="3395" t="s">
        <v>3451</v>
      </c>
      <c r="BI8" s="3395" t="s">
        <v>3435</v>
      </c>
      <c r="BJ8" s="3395" t="s">
        <v>3325</v>
      </c>
      <c r="BK8" s="3395" t="s">
        <v>3469</v>
      </c>
      <c r="BL8" s="3396">
        <v>45619.000497685185</v>
      </c>
      <c r="BM8" s="3395">
        <v>49600</v>
      </c>
    </row>
    <row r="9" spans="1:65">
      <c r="A9" s="3395" t="s">
        <v>3470</v>
      </c>
      <c r="B9" s="3395" t="s">
        <v>3426</v>
      </c>
      <c r="C9" s="3395" t="s">
        <v>1465</v>
      </c>
      <c r="D9" s="3395" t="s">
        <v>3471</v>
      </c>
      <c r="E9" s="3395" t="s">
        <v>3472</v>
      </c>
      <c r="F9" s="3395" t="s">
        <v>3473</v>
      </c>
      <c r="G9" s="3395" t="s">
        <v>3473</v>
      </c>
      <c r="H9" s="3395" t="s">
        <v>3474</v>
      </c>
      <c r="I9" s="3395">
        <v>12997.77</v>
      </c>
      <c r="J9" s="3395">
        <v>20796.439999999999</v>
      </c>
      <c r="K9" s="3395">
        <v>0</v>
      </c>
      <c r="L9" s="3395">
        <v>0</v>
      </c>
      <c r="M9" s="3395">
        <v>0</v>
      </c>
      <c r="N9" s="3395">
        <v>0</v>
      </c>
      <c r="O9" s="3395" t="s">
        <v>3431</v>
      </c>
      <c r="P9" s="3395" t="s">
        <v>3432</v>
      </c>
      <c r="Q9" s="3395" t="s">
        <v>3432</v>
      </c>
      <c r="R9" s="3395" t="s">
        <v>3433</v>
      </c>
      <c r="S9" s="3395" t="s">
        <v>3475</v>
      </c>
      <c r="T9" s="3395">
        <v>1.6</v>
      </c>
      <c r="U9" s="3395" t="s">
        <v>3435</v>
      </c>
      <c r="V9" s="3395" t="s">
        <v>3435</v>
      </c>
      <c r="W9" s="3395" t="s">
        <v>3476</v>
      </c>
      <c r="X9" s="3395" t="s">
        <v>3460</v>
      </c>
      <c r="Y9" s="3395" t="s">
        <v>3435</v>
      </c>
      <c r="Z9" s="3395" t="s">
        <v>3461</v>
      </c>
      <c r="AA9" s="3395" t="s">
        <v>3477</v>
      </c>
      <c r="AB9" s="3395" t="s">
        <v>3440</v>
      </c>
      <c r="AC9" s="3395" t="s">
        <v>3435</v>
      </c>
      <c r="AD9" s="3395" t="s">
        <v>3478</v>
      </c>
      <c r="AE9" s="3395" t="s">
        <v>3479</v>
      </c>
      <c r="AF9" s="3395" t="s">
        <v>3480</v>
      </c>
      <c r="AG9" s="3395" t="s">
        <v>3480</v>
      </c>
      <c r="AH9" s="3395" t="s">
        <v>3444</v>
      </c>
      <c r="AI9" s="3395" t="s">
        <v>3481</v>
      </c>
      <c r="AJ9" s="3395" t="s">
        <v>3482</v>
      </c>
      <c r="AK9" s="3395" t="s">
        <v>3483</v>
      </c>
      <c r="AL9" s="3395" t="s">
        <v>3448</v>
      </c>
      <c r="AM9" s="3395" t="s">
        <v>3484</v>
      </c>
      <c r="AN9" s="3395">
        <v>24600</v>
      </c>
      <c r="AO9" s="3395">
        <v>5000</v>
      </c>
      <c r="AP9" s="3395" t="s">
        <v>3485</v>
      </c>
      <c r="AQ9" s="3395">
        <v>24600</v>
      </c>
      <c r="AR9" s="3395">
        <v>18926.32</v>
      </c>
      <c r="AS9" s="3395">
        <v>18926.32</v>
      </c>
      <c r="AT9" s="3395">
        <v>1261.75</v>
      </c>
      <c r="AU9" s="3395">
        <v>1261.75</v>
      </c>
      <c r="AV9" s="3395">
        <v>11829</v>
      </c>
      <c r="AW9" s="3395">
        <v>11829</v>
      </c>
      <c r="AX9" s="3395" t="s">
        <v>3435</v>
      </c>
      <c r="AY9" s="3395" t="s">
        <v>3435</v>
      </c>
      <c r="AZ9" s="3395">
        <v>0</v>
      </c>
      <c r="BA9" s="3395">
        <v>28290</v>
      </c>
      <c r="BB9" s="3395" t="s">
        <v>3450</v>
      </c>
      <c r="BC9" s="3395" t="s">
        <v>3435</v>
      </c>
      <c r="BD9" s="3395" t="s">
        <v>3435</v>
      </c>
      <c r="BE9" s="3395">
        <v>13603</v>
      </c>
      <c r="BF9" s="3395">
        <v>15</v>
      </c>
      <c r="BG9" s="3395" t="s">
        <v>3435</v>
      </c>
      <c r="BH9" s="3395" t="s">
        <v>3486</v>
      </c>
      <c r="BI9" s="3395" t="s">
        <v>3435</v>
      </c>
      <c r="BJ9" s="3395" t="s">
        <v>3325</v>
      </c>
      <c r="BK9" s="3395" t="s">
        <v>3487</v>
      </c>
      <c r="BL9" s="3396">
        <v>45617.000497685185</v>
      </c>
      <c r="BM9" s="3395">
        <v>24600</v>
      </c>
    </row>
    <row r="10" spans="1:65">
      <c r="A10" s="3395" t="s">
        <v>3488</v>
      </c>
      <c r="B10" s="3395" t="s">
        <v>3426</v>
      </c>
      <c r="C10" s="3395" t="s">
        <v>1465</v>
      </c>
      <c r="D10" s="3395" t="s">
        <v>3427</v>
      </c>
      <c r="E10" s="3395" t="s">
        <v>3489</v>
      </c>
      <c r="F10" s="3395" t="s">
        <v>3490</v>
      </c>
      <c r="G10" s="3395" t="s">
        <v>3490</v>
      </c>
      <c r="H10" s="3395" t="s">
        <v>3491</v>
      </c>
      <c r="I10" s="3395">
        <v>46815.8</v>
      </c>
      <c r="J10" s="3395">
        <v>80213.66</v>
      </c>
      <c r="K10" s="3395">
        <v>0</v>
      </c>
      <c r="L10" s="3395">
        <v>0</v>
      </c>
      <c r="M10" s="3395">
        <v>0</v>
      </c>
      <c r="N10" s="3395">
        <v>0</v>
      </c>
      <c r="O10" s="3395" t="s">
        <v>3492</v>
      </c>
      <c r="P10" s="3395" t="s">
        <v>3493</v>
      </c>
      <c r="Q10" s="3395" t="s">
        <v>3494</v>
      </c>
      <c r="R10" s="3395" t="s">
        <v>3495</v>
      </c>
      <c r="S10" s="3395" t="s">
        <v>3496</v>
      </c>
      <c r="T10" s="3395">
        <v>1.8</v>
      </c>
      <c r="U10" s="3395" t="s">
        <v>3435</v>
      </c>
      <c r="V10" s="3395" t="s">
        <v>3435</v>
      </c>
      <c r="W10" s="3395" t="s">
        <v>3497</v>
      </c>
      <c r="X10" s="3395" t="s">
        <v>3437</v>
      </c>
      <c r="Y10" s="3395" t="s">
        <v>3435</v>
      </c>
      <c r="Z10" s="3395" t="s">
        <v>3461</v>
      </c>
      <c r="AA10" s="3395" t="s">
        <v>3435</v>
      </c>
      <c r="AB10" s="3395" t="s">
        <v>3440</v>
      </c>
      <c r="AC10" s="3395" t="s">
        <v>3435</v>
      </c>
      <c r="AD10" s="3395" t="s">
        <v>3498</v>
      </c>
      <c r="AE10" s="3395" t="s">
        <v>3499</v>
      </c>
      <c r="AF10" s="3395" t="s">
        <v>3500</v>
      </c>
      <c r="AG10" s="3395" t="s">
        <v>3500</v>
      </c>
      <c r="AH10" s="3395" t="s">
        <v>3444</v>
      </c>
      <c r="AI10" s="3395" t="s">
        <v>3481</v>
      </c>
      <c r="AJ10" s="3395" t="s">
        <v>3501</v>
      </c>
      <c r="AK10" s="3395" t="s">
        <v>3502</v>
      </c>
      <c r="AL10" s="3395" t="s">
        <v>3448</v>
      </c>
      <c r="AM10" s="3395" t="s">
        <v>3484</v>
      </c>
      <c r="AN10" s="3395">
        <v>159600</v>
      </c>
      <c r="AO10" s="3395">
        <v>32000</v>
      </c>
      <c r="AP10" s="3395" t="s">
        <v>3503</v>
      </c>
      <c r="AQ10" s="3395">
        <v>159600</v>
      </c>
      <c r="AR10" s="3395">
        <v>34091.050000000003</v>
      </c>
      <c r="AS10" s="3395">
        <v>34091.050000000003</v>
      </c>
      <c r="AT10" s="3395">
        <v>2272.7399999999998</v>
      </c>
      <c r="AU10" s="3395">
        <v>2272.7399999999998</v>
      </c>
      <c r="AV10" s="3395">
        <v>19897</v>
      </c>
      <c r="AW10" s="3395">
        <v>19897</v>
      </c>
      <c r="AX10" s="3395" t="s">
        <v>3435</v>
      </c>
      <c r="AY10" s="3395" t="s">
        <v>3435</v>
      </c>
      <c r="AZ10" s="3395">
        <v>0</v>
      </c>
      <c r="BA10" s="3395">
        <v>183540</v>
      </c>
      <c r="BB10" s="3395" t="s">
        <v>3450</v>
      </c>
      <c r="BC10" s="3395" t="s">
        <v>3435</v>
      </c>
      <c r="BD10" s="3395" t="s">
        <v>3435</v>
      </c>
      <c r="BE10" s="3395">
        <v>22881</v>
      </c>
      <c r="BF10" s="3395">
        <v>15</v>
      </c>
      <c r="BG10" s="3395" t="s">
        <v>3435</v>
      </c>
      <c r="BH10" s="3395" t="s">
        <v>3504</v>
      </c>
      <c r="BI10" s="3395" t="s">
        <v>3435</v>
      </c>
      <c r="BJ10" s="3395" t="s">
        <v>3325</v>
      </c>
      <c r="BK10" s="3395" t="s">
        <v>3505</v>
      </c>
      <c r="BL10" s="3395" t="s">
        <v>3435</v>
      </c>
      <c r="BM10" s="3395" t="s">
        <v>3435</v>
      </c>
    </row>
    <row r="11" spans="1:65">
      <c r="A11" s="3395" t="s">
        <v>3506</v>
      </c>
      <c r="B11" s="3395" t="s">
        <v>3426</v>
      </c>
      <c r="C11" s="3395" t="s">
        <v>1465</v>
      </c>
      <c r="D11" s="3395" t="s">
        <v>3507</v>
      </c>
      <c r="E11" s="3395" t="s">
        <v>3508</v>
      </c>
      <c r="F11" s="3395" t="s">
        <v>3509</v>
      </c>
      <c r="G11" s="3395" t="s">
        <v>3509</v>
      </c>
      <c r="H11" s="3395" t="s">
        <v>3510</v>
      </c>
      <c r="I11" s="3395">
        <v>29897.27</v>
      </c>
      <c r="J11" s="3395">
        <v>65733.16</v>
      </c>
      <c r="K11" s="3395">
        <v>0</v>
      </c>
      <c r="L11" s="3395">
        <v>0</v>
      </c>
      <c r="M11" s="3395">
        <v>0</v>
      </c>
      <c r="N11" s="3395">
        <v>0</v>
      </c>
      <c r="O11" s="3395" t="s">
        <v>3492</v>
      </c>
      <c r="P11" s="3395" t="s">
        <v>3493</v>
      </c>
      <c r="Q11" s="3395" t="s">
        <v>3511</v>
      </c>
      <c r="R11" s="3395" t="s">
        <v>3512</v>
      </c>
      <c r="S11" s="3395" t="s">
        <v>3513</v>
      </c>
      <c r="T11" s="3395">
        <v>2.5</v>
      </c>
      <c r="U11" s="3395">
        <v>0.76</v>
      </c>
      <c r="V11" s="3395">
        <v>0.3</v>
      </c>
      <c r="W11" s="3395" t="s">
        <v>3514</v>
      </c>
      <c r="X11" s="3395" t="s">
        <v>3460</v>
      </c>
      <c r="Y11" s="3395" t="s">
        <v>3435</v>
      </c>
      <c r="Z11" s="3395" t="s">
        <v>3461</v>
      </c>
      <c r="AA11" s="3395" t="s">
        <v>3477</v>
      </c>
      <c r="AB11" s="3395" t="s">
        <v>3440</v>
      </c>
      <c r="AC11" s="3395" t="s">
        <v>3435</v>
      </c>
      <c r="AD11" s="3395" t="s">
        <v>3515</v>
      </c>
      <c r="AE11" s="3395" t="s">
        <v>3516</v>
      </c>
      <c r="AF11" s="3395" t="s">
        <v>3517</v>
      </c>
      <c r="AG11" s="3395" t="s">
        <v>3517</v>
      </c>
      <c r="AH11" s="3395" t="s">
        <v>3444</v>
      </c>
      <c r="AI11" s="3395" t="s">
        <v>3481</v>
      </c>
      <c r="AJ11" s="3395" t="s">
        <v>3518</v>
      </c>
      <c r="AK11" s="3395" t="s">
        <v>3519</v>
      </c>
      <c r="AL11" s="3395" t="s">
        <v>3448</v>
      </c>
      <c r="AM11" s="3395" t="s">
        <v>3484</v>
      </c>
      <c r="AN11" s="3395">
        <v>222500</v>
      </c>
      <c r="AO11" s="3395">
        <v>44500</v>
      </c>
      <c r="AP11" s="3395" t="s">
        <v>3520</v>
      </c>
      <c r="AQ11" s="3395">
        <v>222500</v>
      </c>
      <c r="AR11" s="3395">
        <v>74421.509999999995</v>
      </c>
      <c r="AS11" s="3395">
        <v>74421.509999999995</v>
      </c>
      <c r="AT11" s="3395">
        <v>4961.43</v>
      </c>
      <c r="AU11" s="3395">
        <v>4961.43</v>
      </c>
      <c r="AV11" s="3395">
        <v>33849</v>
      </c>
      <c r="AW11" s="3395">
        <v>33849</v>
      </c>
      <c r="AX11" s="3395" t="s">
        <v>3435</v>
      </c>
      <c r="AY11" s="3395" t="s">
        <v>3435</v>
      </c>
      <c r="AZ11" s="3395">
        <v>0</v>
      </c>
      <c r="BA11" s="3395">
        <v>255875</v>
      </c>
      <c r="BB11" s="3395" t="s">
        <v>3450</v>
      </c>
      <c r="BC11" s="3395" t="s">
        <v>3435</v>
      </c>
      <c r="BD11" s="3395" t="s">
        <v>3435</v>
      </c>
      <c r="BE11" s="3395">
        <v>38926</v>
      </c>
      <c r="BF11" s="3395">
        <v>15</v>
      </c>
      <c r="BG11" s="3395" t="s">
        <v>3435</v>
      </c>
      <c r="BH11" s="3395" t="s">
        <v>3521</v>
      </c>
      <c r="BI11" s="3395" t="s">
        <v>3435</v>
      </c>
      <c r="BJ11" s="3395" t="s">
        <v>3276</v>
      </c>
      <c r="BK11" s="3395" t="s">
        <v>3435</v>
      </c>
      <c r="BL11" s="3395" t="s">
        <v>3435</v>
      </c>
      <c r="BM11" s="3395" t="s">
        <v>3435</v>
      </c>
    </row>
    <row r="12" spans="1:65">
      <c r="A12" s="3395" t="s">
        <v>3522</v>
      </c>
      <c r="B12" s="3395" t="s">
        <v>3426</v>
      </c>
      <c r="C12" s="3395" t="s">
        <v>1465</v>
      </c>
      <c r="D12" s="3395" t="s">
        <v>3523</v>
      </c>
      <c r="E12" s="3395" t="s">
        <v>3524</v>
      </c>
      <c r="F12" s="3395" t="s">
        <v>3525</v>
      </c>
      <c r="G12" s="3395" t="s">
        <v>3525</v>
      </c>
      <c r="H12" s="3395" t="s">
        <v>3526</v>
      </c>
      <c r="I12" s="3395">
        <v>171090.53</v>
      </c>
      <c r="J12" s="3395">
        <v>185879.6</v>
      </c>
      <c r="K12" s="3395">
        <v>0</v>
      </c>
      <c r="L12" s="3395">
        <v>0</v>
      </c>
      <c r="M12" s="3395">
        <v>0</v>
      </c>
      <c r="N12" s="3395">
        <v>0</v>
      </c>
      <c r="O12" s="3395" t="s">
        <v>3492</v>
      </c>
      <c r="P12" s="3395" t="s">
        <v>3527</v>
      </c>
      <c r="Q12" s="3395" t="s">
        <v>3528</v>
      </c>
      <c r="R12" s="3395" t="s">
        <v>3529</v>
      </c>
      <c r="S12" s="3395" t="s">
        <v>3530</v>
      </c>
      <c r="T12" s="3395">
        <v>2</v>
      </c>
      <c r="U12" s="3395">
        <v>4.41</v>
      </c>
      <c r="V12" s="3395" t="s">
        <v>3531</v>
      </c>
      <c r="W12" s="3395" t="s">
        <v>3476</v>
      </c>
      <c r="X12" s="3395" t="s">
        <v>3460</v>
      </c>
      <c r="Y12" s="3395" t="s">
        <v>3435</v>
      </c>
      <c r="Z12" s="3395" t="s">
        <v>3461</v>
      </c>
      <c r="AA12" s="3395" t="s">
        <v>3435</v>
      </c>
      <c r="AB12" s="3395" t="s">
        <v>3440</v>
      </c>
      <c r="AC12" s="3395" t="s">
        <v>3435</v>
      </c>
      <c r="AD12" s="3395" t="s">
        <v>3532</v>
      </c>
      <c r="AE12" s="3395" t="s">
        <v>3533</v>
      </c>
      <c r="AF12" s="3395" t="s">
        <v>3499</v>
      </c>
      <c r="AG12" s="3395" t="s">
        <v>3499</v>
      </c>
      <c r="AH12" s="3395" t="s">
        <v>3444</v>
      </c>
      <c r="AI12" s="3395" t="s">
        <v>3481</v>
      </c>
      <c r="AJ12" s="3395" t="s">
        <v>3534</v>
      </c>
      <c r="AK12" s="3395" t="s">
        <v>3535</v>
      </c>
      <c r="AL12" s="3395" t="s">
        <v>3536</v>
      </c>
      <c r="AM12" s="3395" t="s">
        <v>3435</v>
      </c>
      <c r="AN12" s="3395">
        <v>432000</v>
      </c>
      <c r="AO12" s="3395">
        <v>86400</v>
      </c>
      <c r="AP12" s="3395" t="s">
        <v>3537</v>
      </c>
      <c r="AQ12" s="3395">
        <v>432000</v>
      </c>
      <c r="AR12" s="3395">
        <v>25249.79</v>
      </c>
      <c r="AS12" s="3395">
        <v>25249.79</v>
      </c>
      <c r="AT12" s="3395">
        <v>1683.32</v>
      </c>
      <c r="AU12" s="3395">
        <v>1683.32</v>
      </c>
      <c r="AV12" s="3395">
        <v>23241</v>
      </c>
      <c r="AW12" s="3395">
        <v>23241</v>
      </c>
      <c r="AX12" s="3395" t="s">
        <v>3435</v>
      </c>
      <c r="AY12" s="3395" t="s">
        <v>3435</v>
      </c>
      <c r="AZ12" s="3395">
        <v>0</v>
      </c>
      <c r="BA12" s="3395">
        <v>496800</v>
      </c>
      <c r="BB12" s="3395" t="s">
        <v>3450</v>
      </c>
      <c r="BC12" s="3395" t="s">
        <v>3435</v>
      </c>
      <c r="BD12" s="3395" t="s">
        <v>3435</v>
      </c>
      <c r="BE12" s="3395">
        <v>26727</v>
      </c>
      <c r="BF12" s="3395">
        <v>15</v>
      </c>
      <c r="BG12" s="3395" t="s">
        <v>3435</v>
      </c>
      <c r="BH12" s="3395" t="s">
        <v>3504</v>
      </c>
      <c r="BI12" s="3395" t="s">
        <v>3435</v>
      </c>
      <c r="BJ12" s="3395" t="s">
        <v>3325</v>
      </c>
      <c r="BK12" s="3395" t="s">
        <v>3538</v>
      </c>
      <c r="BL12" s="3395" t="s">
        <v>3435</v>
      </c>
      <c r="BM12" s="3395" t="s">
        <v>3435</v>
      </c>
    </row>
    <row r="13" spans="1:65">
      <c r="A13" s="3395" t="s">
        <v>3539</v>
      </c>
      <c r="B13" s="3395" t="s">
        <v>3426</v>
      </c>
      <c r="C13" s="3395" t="s">
        <v>1465</v>
      </c>
      <c r="D13" s="3395" t="s">
        <v>3540</v>
      </c>
      <c r="E13" s="3395" t="s">
        <v>3541</v>
      </c>
      <c r="F13" s="3395" t="s">
        <v>3542</v>
      </c>
      <c r="G13" s="3395" t="s">
        <v>3542</v>
      </c>
      <c r="H13" s="3395" t="s">
        <v>3543</v>
      </c>
      <c r="I13" s="3395">
        <v>48345.71</v>
      </c>
      <c r="J13" s="3395">
        <v>90571.42</v>
      </c>
      <c r="K13" s="3395" t="s">
        <v>3435</v>
      </c>
      <c r="L13" s="3395" t="s">
        <v>3435</v>
      </c>
      <c r="M13" s="3395">
        <v>0</v>
      </c>
      <c r="N13" s="3395">
        <v>0</v>
      </c>
      <c r="O13" s="3395" t="s">
        <v>3431</v>
      </c>
      <c r="P13" s="3395" t="s">
        <v>3544</v>
      </c>
      <c r="Q13" s="3395" t="s">
        <v>3545</v>
      </c>
      <c r="R13" s="3395" t="s">
        <v>3529</v>
      </c>
      <c r="S13" s="3395" t="s">
        <v>3546</v>
      </c>
      <c r="T13" s="3395">
        <v>2</v>
      </c>
      <c r="U13" s="3395" t="s">
        <v>3435</v>
      </c>
      <c r="V13" s="3395">
        <v>30</v>
      </c>
      <c r="W13" s="3395" t="s">
        <v>3547</v>
      </c>
      <c r="X13" s="3395" t="s">
        <v>3460</v>
      </c>
      <c r="Y13" s="3395" t="s">
        <v>3435</v>
      </c>
      <c r="Z13" s="3395" t="s">
        <v>3435</v>
      </c>
      <c r="AA13" s="3395" t="s">
        <v>3435</v>
      </c>
      <c r="AB13" s="3395" t="s">
        <v>3435</v>
      </c>
      <c r="AC13" s="3395" t="s">
        <v>3435</v>
      </c>
      <c r="AD13" s="3395" t="s">
        <v>3548</v>
      </c>
      <c r="AE13" s="3395" t="s">
        <v>3549</v>
      </c>
      <c r="AF13" s="3395" t="s">
        <v>3550</v>
      </c>
      <c r="AG13" s="3395" t="s">
        <v>3550</v>
      </c>
      <c r="AH13" s="3395" t="s">
        <v>3444</v>
      </c>
      <c r="AI13" s="3395" t="s">
        <v>3445</v>
      </c>
      <c r="AJ13" s="3395" t="s">
        <v>3551</v>
      </c>
      <c r="AK13" s="3395" t="s">
        <v>3552</v>
      </c>
      <c r="AL13" s="3395" t="s">
        <v>3448</v>
      </c>
      <c r="AM13" s="3395" t="s">
        <v>3484</v>
      </c>
      <c r="AN13" s="3395">
        <v>164400</v>
      </c>
      <c r="AO13" s="3395">
        <v>32900</v>
      </c>
      <c r="AP13" s="3395" t="s">
        <v>3553</v>
      </c>
      <c r="AQ13" s="3395">
        <v>164400</v>
      </c>
      <c r="AR13" s="3395">
        <v>34005.08</v>
      </c>
      <c r="AS13" s="3395">
        <v>34005.08</v>
      </c>
      <c r="AT13" s="3395">
        <v>2267.0100000000002</v>
      </c>
      <c r="AU13" s="3395">
        <v>2267.0100000000002</v>
      </c>
      <c r="AV13" s="3395">
        <v>18151</v>
      </c>
      <c r="AW13" s="3395">
        <v>18151</v>
      </c>
      <c r="AX13" s="3395" t="s">
        <v>3435</v>
      </c>
      <c r="AY13" s="3395" t="s">
        <v>3435</v>
      </c>
      <c r="AZ13" s="3395">
        <v>0</v>
      </c>
      <c r="BA13" s="3395" t="s">
        <v>3435</v>
      </c>
      <c r="BB13" s="3395" t="s">
        <v>3435</v>
      </c>
      <c r="BC13" s="3395">
        <v>45000</v>
      </c>
      <c r="BD13" s="3395">
        <v>45000</v>
      </c>
      <c r="BE13" s="3395" t="s">
        <v>3435</v>
      </c>
      <c r="BF13" s="3395" t="s">
        <v>3435</v>
      </c>
      <c r="BG13" s="3395" t="s">
        <v>3435</v>
      </c>
      <c r="BH13" s="3395" t="s">
        <v>3554</v>
      </c>
      <c r="BI13" s="3395" t="s">
        <v>3435</v>
      </c>
      <c r="BJ13" s="3395" t="s">
        <v>3325</v>
      </c>
      <c r="BK13" s="3395" t="s">
        <v>3555</v>
      </c>
      <c r="BL13" s="3396">
        <v>45536.000497685185</v>
      </c>
      <c r="BM13" s="3395">
        <v>164400</v>
      </c>
    </row>
    <row r="14" spans="1:65">
      <c r="A14" s="3395" t="s">
        <v>3556</v>
      </c>
      <c r="B14" s="3395" t="s">
        <v>3426</v>
      </c>
      <c r="C14" s="3395" t="s">
        <v>1465</v>
      </c>
      <c r="D14" s="3395" t="s">
        <v>3507</v>
      </c>
      <c r="E14" s="3395" t="s">
        <v>3557</v>
      </c>
      <c r="F14" s="3395" t="s">
        <v>3558</v>
      </c>
      <c r="G14" s="3395" t="s">
        <v>3558</v>
      </c>
      <c r="H14" s="3395" t="s">
        <v>3559</v>
      </c>
      <c r="I14" s="3395">
        <v>69411.009999999995</v>
      </c>
      <c r="J14" s="3395">
        <v>144005.16</v>
      </c>
      <c r="K14" s="3395">
        <v>0</v>
      </c>
      <c r="L14" s="3395">
        <v>0</v>
      </c>
      <c r="M14" s="3395">
        <v>0</v>
      </c>
      <c r="N14" s="3395">
        <v>0</v>
      </c>
      <c r="O14" s="3395" t="s">
        <v>3492</v>
      </c>
      <c r="P14" s="3395" t="s">
        <v>3560</v>
      </c>
      <c r="Q14" s="3395" t="s">
        <v>3561</v>
      </c>
      <c r="R14" s="3395" t="s">
        <v>3529</v>
      </c>
      <c r="S14" s="3395" t="s">
        <v>3562</v>
      </c>
      <c r="T14" s="3395">
        <v>2.5</v>
      </c>
      <c r="U14" s="3395">
        <v>1.39</v>
      </c>
      <c r="V14" s="3395" t="s">
        <v>3563</v>
      </c>
      <c r="W14" s="3395" t="s">
        <v>3435</v>
      </c>
      <c r="X14" s="3395" t="s">
        <v>3460</v>
      </c>
      <c r="Y14" s="3395" t="s">
        <v>3435</v>
      </c>
      <c r="Z14" s="3395" t="s">
        <v>3461</v>
      </c>
      <c r="AA14" s="3395" t="s">
        <v>3477</v>
      </c>
      <c r="AB14" s="3395" t="s">
        <v>3440</v>
      </c>
      <c r="AC14" s="3395" t="s">
        <v>3435</v>
      </c>
      <c r="AD14" s="3395" t="s">
        <v>3564</v>
      </c>
      <c r="AE14" s="3395" t="s">
        <v>3565</v>
      </c>
      <c r="AF14" s="3395" t="s">
        <v>3566</v>
      </c>
      <c r="AG14" s="3395" t="s">
        <v>3566</v>
      </c>
      <c r="AH14" s="3395" t="s">
        <v>3444</v>
      </c>
      <c r="AI14" s="3395" t="s">
        <v>3445</v>
      </c>
      <c r="AJ14" s="3395" t="s">
        <v>3518</v>
      </c>
      <c r="AK14" s="3395" t="s">
        <v>3519</v>
      </c>
      <c r="AL14" s="3395" t="s">
        <v>3448</v>
      </c>
      <c r="AM14" s="3395" t="s">
        <v>3484</v>
      </c>
      <c r="AN14" s="3395">
        <v>321700</v>
      </c>
      <c r="AO14" s="3395">
        <v>64400</v>
      </c>
      <c r="AP14" s="3395" t="s">
        <v>3567</v>
      </c>
      <c r="AQ14" s="3395">
        <v>321700</v>
      </c>
      <c r="AR14" s="3395">
        <v>46347.11</v>
      </c>
      <c r="AS14" s="3395">
        <v>46347.11</v>
      </c>
      <c r="AT14" s="3395">
        <v>3089.81</v>
      </c>
      <c r="AU14" s="3395">
        <v>3089.81</v>
      </c>
      <c r="AV14" s="3395">
        <v>22339</v>
      </c>
      <c r="AW14" s="3395">
        <v>22339</v>
      </c>
      <c r="AX14" s="3395" t="s">
        <v>3435</v>
      </c>
      <c r="AY14" s="3395" t="s">
        <v>3435</v>
      </c>
      <c r="AZ14" s="3395">
        <v>0</v>
      </c>
      <c r="BA14" s="3395">
        <v>369955</v>
      </c>
      <c r="BB14" s="3395" t="s">
        <v>3450</v>
      </c>
      <c r="BC14" s="3395">
        <v>59000</v>
      </c>
      <c r="BD14" s="3395">
        <v>59000</v>
      </c>
      <c r="BE14" s="3395">
        <v>25690</v>
      </c>
      <c r="BF14" s="3395">
        <v>15</v>
      </c>
      <c r="BG14" s="3395">
        <v>34642</v>
      </c>
      <c r="BH14" s="3395" t="s">
        <v>3504</v>
      </c>
      <c r="BI14" s="3395" t="s">
        <v>3435</v>
      </c>
      <c r="BJ14" s="3395" t="s">
        <v>3325</v>
      </c>
      <c r="BK14" s="3395" t="s">
        <v>3556</v>
      </c>
      <c r="BL14" s="3395" t="s">
        <v>3435</v>
      </c>
      <c r="BM14" s="3395" t="s">
        <v>3435</v>
      </c>
    </row>
    <row r="15" spans="1:65">
      <c r="A15" s="3395" t="s">
        <v>3568</v>
      </c>
      <c r="B15" s="3395" t="s">
        <v>3426</v>
      </c>
      <c r="C15" s="3395" t="s">
        <v>1465</v>
      </c>
      <c r="D15" s="3395" t="s">
        <v>3507</v>
      </c>
      <c r="E15" s="3395" t="s">
        <v>3569</v>
      </c>
      <c r="F15" s="3395" t="s">
        <v>3570</v>
      </c>
      <c r="G15" s="3395" t="s">
        <v>3570</v>
      </c>
      <c r="H15" s="3395" t="s">
        <v>3571</v>
      </c>
      <c r="I15" s="3395">
        <v>67135.210000000006</v>
      </c>
      <c r="J15" s="3395">
        <v>119514.23</v>
      </c>
      <c r="K15" s="3395">
        <v>0</v>
      </c>
      <c r="L15" s="3395">
        <v>0</v>
      </c>
      <c r="M15" s="3395">
        <v>0</v>
      </c>
      <c r="N15" s="3395">
        <v>0</v>
      </c>
      <c r="O15" s="3395" t="s">
        <v>3492</v>
      </c>
      <c r="P15" s="3395" t="s">
        <v>3572</v>
      </c>
      <c r="Q15" s="3395" t="s">
        <v>3573</v>
      </c>
      <c r="R15" s="3395" t="s">
        <v>3529</v>
      </c>
      <c r="S15" s="3395" t="s">
        <v>3574</v>
      </c>
      <c r="T15" s="3395">
        <v>2.8</v>
      </c>
      <c r="U15" s="3395">
        <v>27.9</v>
      </c>
      <c r="V15" s="3395" t="s">
        <v>3575</v>
      </c>
      <c r="W15" s="3395" t="s">
        <v>3435</v>
      </c>
      <c r="X15" s="3395" t="s">
        <v>3460</v>
      </c>
      <c r="Y15" s="3395" t="s">
        <v>3435</v>
      </c>
      <c r="Z15" s="3395" t="s">
        <v>3461</v>
      </c>
      <c r="AA15" s="3395" t="s">
        <v>3435</v>
      </c>
      <c r="AB15" s="3395" t="s">
        <v>3440</v>
      </c>
      <c r="AC15" s="3395" t="s">
        <v>3435</v>
      </c>
      <c r="AD15" s="3395" t="s">
        <v>3576</v>
      </c>
      <c r="AE15" s="3395" t="s">
        <v>3577</v>
      </c>
      <c r="AF15" s="3395" t="s">
        <v>3578</v>
      </c>
      <c r="AG15" s="3395" t="s">
        <v>3578</v>
      </c>
      <c r="AH15" s="3395" t="s">
        <v>3444</v>
      </c>
      <c r="AI15" s="3395" t="s">
        <v>3445</v>
      </c>
      <c r="AJ15" s="3395" t="s">
        <v>3579</v>
      </c>
      <c r="AK15" s="3395" t="s">
        <v>3580</v>
      </c>
      <c r="AL15" s="3395" t="s">
        <v>3581</v>
      </c>
      <c r="AM15" s="3395" t="s">
        <v>3582</v>
      </c>
      <c r="AN15" s="3395">
        <v>214600</v>
      </c>
      <c r="AO15" s="3395">
        <v>43000</v>
      </c>
      <c r="AP15" s="3395" t="s">
        <v>3583</v>
      </c>
      <c r="AQ15" s="3395">
        <v>214600</v>
      </c>
      <c r="AR15" s="3395">
        <v>31965.34</v>
      </c>
      <c r="AS15" s="3395">
        <v>31965.34</v>
      </c>
      <c r="AT15" s="3395">
        <v>2131.02</v>
      </c>
      <c r="AU15" s="3395">
        <v>2131.02</v>
      </c>
      <c r="AV15" s="3395">
        <v>17956</v>
      </c>
      <c r="AW15" s="3395">
        <v>17956</v>
      </c>
      <c r="AX15" s="3395" t="s">
        <v>3435</v>
      </c>
      <c r="AY15" s="3395" t="s">
        <v>3435</v>
      </c>
      <c r="AZ15" s="3395">
        <v>0</v>
      </c>
      <c r="BA15" s="3395">
        <v>246790</v>
      </c>
      <c r="BB15" s="3395" t="s">
        <v>3450</v>
      </c>
      <c r="BC15" s="3395">
        <v>50000</v>
      </c>
      <c r="BD15" s="3395">
        <v>50000</v>
      </c>
      <c r="BE15" s="3395">
        <v>20649</v>
      </c>
      <c r="BF15" s="3395">
        <v>15</v>
      </c>
      <c r="BG15" s="3395">
        <v>31318</v>
      </c>
      <c r="BH15" s="3395" t="s">
        <v>3554</v>
      </c>
      <c r="BI15" s="3395" t="s">
        <v>3435</v>
      </c>
      <c r="BJ15" s="3395" t="s">
        <v>3325</v>
      </c>
      <c r="BK15" s="3395" t="s">
        <v>3584</v>
      </c>
      <c r="BL15" s="3396">
        <v>45508.000497685185</v>
      </c>
      <c r="BM15" s="3395">
        <v>214600</v>
      </c>
    </row>
    <row r="16" spans="1:65">
      <c r="A16" s="3395" t="s">
        <v>3585</v>
      </c>
      <c r="B16" s="3395" t="s">
        <v>3426</v>
      </c>
      <c r="C16" s="3395" t="s">
        <v>1465</v>
      </c>
      <c r="D16" s="3395" t="s">
        <v>3523</v>
      </c>
      <c r="E16" s="3395" t="s">
        <v>3586</v>
      </c>
      <c r="F16" s="3395" t="s">
        <v>3587</v>
      </c>
      <c r="G16" s="3395" t="s">
        <v>3587</v>
      </c>
      <c r="H16" s="3395" t="s">
        <v>3588</v>
      </c>
      <c r="I16" s="3395">
        <v>50136.84</v>
      </c>
      <c r="J16" s="3395">
        <v>77018.94</v>
      </c>
      <c r="K16" s="3395">
        <v>0</v>
      </c>
      <c r="L16" s="3395">
        <v>0</v>
      </c>
      <c r="M16" s="3395">
        <v>0</v>
      </c>
      <c r="N16" s="3395">
        <v>0</v>
      </c>
      <c r="O16" s="3395" t="s">
        <v>3492</v>
      </c>
      <c r="P16" s="3395" t="s">
        <v>3493</v>
      </c>
      <c r="Q16" s="3395" t="s">
        <v>3511</v>
      </c>
      <c r="R16" s="3395" t="s">
        <v>3529</v>
      </c>
      <c r="S16" s="3395" t="s">
        <v>3589</v>
      </c>
      <c r="T16" s="3395">
        <v>1.6</v>
      </c>
      <c r="U16" s="3395" t="s">
        <v>3435</v>
      </c>
      <c r="V16" s="3395">
        <v>30</v>
      </c>
      <c r="W16" s="3395" t="s">
        <v>3590</v>
      </c>
      <c r="X16" s="3395" t="s">
        <v>3460</v>
      </c>
      <c r="Y16" s="3395" t="s">
        <v>3435</v>
      </c>
      <c r="Z16" s="3395" t="s">
        <v>3461</v>
      </c>
      <c r="AA16" s="3395" t="s">
        <v>3477</v>
      </c>
      <c r="AB16" s="3395" t="s">
        <v>3435</v>
      </c>
      <c r="AC16" s="3395" t="s">
        <v>3435</v>
      </c>
      <c r="AD16" s="3395" t="s">
        <v>3591</v>
      </c>
      <c r="AE16" s="3395" t="s">
        <v>3592</v>
      </c>
      <c r="AF16" s="3395" t="s">
        <v>3593</v>
      </c>
      <c r="AG16" s="3395" t="s">
        <v>3593</v>
      </c>
      <c r="AH16" s="3395" t="s">
        <v>3444</v>
      </c>
      <c r="AI16" s="3395" t="s">
        <v>3445</v>
      </c>
      <c r="AJ16" s="3395" t="s">
        <v>3594</v>
      </c>
      <c r="AK16" s="3395" t="s">
        <v>3595</v>
      </c>
      <c r="AL16" s="3395" t="s">
        <v>3596</v>
      </c>
      <c r="AM16" s="3395" t="s">
        <v>3582</v>
      </c>
      <c r="AN16" s="3395">
        <v>119000</v>
      </c>
      <c r="AO16" s="3395">
        <v>23800</v>
      </c>
      <c r="AP16" s="3395" t="s">
        <v>3597</v>
      </c>
      <c r="AQ16" s="3395">
        <v>119000</v>
      </c>
      <c r="AR16" s="3395">
        <v>23735.040000000001</v>
      </c>
      <c r="AS16" s="3395">
        <v>23735.040000000001</v>
      </c>
      <c r="AT16" s="3395">
        <v>1582.34</v>
      </c>
      <c r="AU16" s="3395">
        <v>1582.34</v>
      </c>
      <c r="AV16" s="3395">
        <v>15451</v>
      </c>
      <c r="AW16" s="3395">
        <v>15451</v>
      </c>
      <c r="AX16" s="3395" t="s">
        <v>3435</v>
      </c>
      <c r="AY16" s="3395" t="s">
        <v>3435</v>
      </c>
      <c r="AZ16" s="3395">
        <v>0</v>
      </c>
      <c r="BA16" s="3395">
        <v>136850</v>
      </c>
      <c r="BB16" s="3395" t="s">
        <v>3450</v>
      </c>
      <c r="BC16" s="3395">
        <v>44000</v>
      </c>
      <c r="BD16" s="3395">
        <v>44000</v>
      </c>
      <c r="BE16" s="3395">
        <v>17768</v>
      </c>
      <c r="BF16" s="3395">
        <v>15</v>
      </c>
      <c r="BG16" s="3395">
        <v>27879</v>
      </c>
      <c r="BH16" s="3395" t="s">
        <v>3504</v>
      </c>
      <c r="BI16" s="3395" t="s">
        <v>3598</v>
      </c>
      <c r="BJ16" s="3395" t="s">
        <v>3325</v>
      </c>
      <c r="BK16" s="3395" t="s">
        <v>3588</v>
      </c>
      <c r="BL16" s="3396">
        <v>45500.000497685185</v>
      </c>
      <c r="BM16" s="3395">
        <v>119000</v>
      </c>
    </row>
    <row r="17" spans="1:65">
      <c r="A17" s="3395" t="s">
        <v>3599</v>
      </c>
      <c r="B17" s="3395" t="s">
        <v>3426</v>
      </c>
      <c r="C17" s="3395" t="s">
        <v>1465</v>
      </c>
      <c r="D17" s="3395" t="s">
        <v>3600</v>
      </c>
      <c r="E17" s="3395" t="s">
        <v>3601</v>
      </c>
      <c r="F17" s="3395" t="s">
        <v>3602</v>
      </c>
      <c r="G17" s="3395" t="s">
        <v>3602</v>
      </c>
      <c r="H17" s="3395" t="s">
        <v>3603</v>
      </c>
      <c r="I17" s="3395">
        <v>134040.01999999999</v>
      </c>
      <c r="J17" s="3395">
        <v>149100</v>
      </c>
      <c r="K17" s="3395" t="s">
        <v>3435</v>
      </c>
      <c r="L17" s="3395" t="s">
        <v>3435</v>
      </c>
      <c r="M17" s="3395">
        <v>0</v>
      </c>
      <c r="N17" s="3395">
        <v>0</v>
      </c>
      <c r="O17" s="3395" t="s">
        <v>3492</v>
      </c>
      <c r="P17" s="3395" t="s">
        <v>3604</v>
      </c>
      <c r="Q17" s="3395" t="s">
        <v>3605</v>
      </c>
      <c r="R17" s="3395" t="s">
        <v>3606</v>
      </c>
      <c r="S17" s="3395" t="s">
        <v>3607</v>
      </c>
      <c r="T17" s="3395">
        <v>1.1100000000000001</v>
      </c>
      <c r="U17" s="3395" t="s">
        <v>3435</v>
      </c>
      <c r="V17" s="3395" t="s">
        <v>3435</v>
      </c>
      <c r="W17" s="3395">
        <v>15</v>
      </c>
      <c r="X17" s="3395" t="s">
        <v>3460</v>
      </c>
      <c r="Y17" s="3395" t="s">
        <v>3435</v>
      </c>
      <c r="Z17" s="3395" t="s">
        <v>3461</v>
      </c>
      <c r="AA17" s="3395" t="s">
        <v>3477</v>
      </c>
      <c r="AB17" s="3395" t="s">
        <v>3440</v>
      </c>
      <c r="AC17" s="3395" t="s">
        <v>3435</v>
      </c>
      <c r="AD17" s="3395" t="s">
        <v>3608</v>
      </c>
      <c r="AE17" s="3395" t="s">
        <v>3609</v>
      </c>
      <c r="AF17" s="3395" t="s">
        <v>3610</v>
      </c>
      <c r="AG17" s="3395" t="s">
        <v>3610</v>
      </c>
      <c r="AH17" s="3395" t="s">
        <v>3444</v>
      </c>
      <c r="AI17" s="3395" t="s">
        <v>3445</v>
      </c>
      <c r="AJ17" s="3395" t="s">
        <v>3611</v>
      </c>
      <c r="AK17" s="3395" t="s">
        <v>3612</v>
      </c>
      <c r="AL17" s="3395" t="s">
        <v>3448</v>
      </c>
      <c r="AM17" s="3395" t="s">
        <v>3484</v>
      </c>
      <c r="AN17" s="3395">
        <v>205100</v>
      </c>
      <c r="AO17" s="3395">
        <v>42000</v>
      </c>
      <c r="AP17" s="3395" t="s">
        <v>3613</v>
      </c>
      <c r="AQ17" s="3395">
        <v>205100</v>
      </c>
      <c r="AR17" s="3395">
        <v>15301.4</v>
      </c>
      <c r="AS17" s="3395">
        <v>15301.4</v>
      </c>
      <c r="AT17" s="3395">
        <v>1020.09</v>
      </c>
      <c r="AU17" s="3395">
        <v>1020.09</v>
      </c>
      <c r="AV17" s="3395">
        <v>13756</v>
      </c>
      <c r="AW17" s="3395">
        <v>13756</v>
      </c>
      <c r="AX17" s="3395" t="s">
        <v>3435</v>
      </c>
      <c r="AY17" s="3395" t="s">
        <v>3435</v>
      </c>
      <c r="AZ17" s="3395">
        <v>0</v>
      </c>
      <c r="BA17" s="3395">
        <v>215355</v>
      </c>
      <c r="BB17" s="3395" t="s">
        <v>3450</v>
      </c>
      <c r="BC17" s="3395">
        <v>44000</v>
      </c>
      <c r="BD17" s="3395">
        <v>44000</v>
      </c>
      <c r="BE17" s="3395">
        <v>14444</v>
      </c>
      <c r="BF17" s="3395">
        <v>5</v>
      </c>
      <c r="BG17" s="3395">
        <v>12053</v>
      </c>
      <c r="BH17" s="3395" t="s">
        <v>3486</v>
      </c>
      <c r="BI17" s="3395" t="s">
        <v>3435</v>
      </c>
      <c r="BJ17" s="3395" t="s">
        <v>3325</v>
      </c>
      <c r="BK17" s="3395" t="s">
        <v>3603</v>
      </c>
      <c r="BL17" s="3395" t="s">
        <v>3435</v>
      </c>
      <c r="BM17" s="3395" t="s">
        <v>3435</v>
      </c>
    </row>
    <row r="18" spans="1:65">
      <c r="A18" s="3395" t="s">
        <v>3614</v>
      </c>
      <c r="B18" s="3395" t="s">
        <v>3426</v>
      </c>
      <c r="C18" s="3395" t="s">
        <v>1465</v>
      </c>
      <c r="D18" s="3395" t="s">
        <v>3523</v>
      </c>
      <c r="E18" s="3395" t="s">
        <v>3615</v>
      </c>
      <c r="F18" s="3395" t="s">
        <v>3616</v>
      </c>
      <c r="G18" s="3395" t="s">
        <v>3616</v>
      </c>
      <c r="H18" s="3395" t="s">
        <v>3617</v>
      </c>
      <c r="I18" s="3395">
        <v>30551.17</v>
      </c>
      <c r="J18" s="3395">
        <v>42798.91</v>
      </c>
      <c r="K18" s="3395" t="s">
        <v>3435</v>
      </c>
      <c r="L18" s="3395" t="s">
        <v>3435</v>
      </c>
      <c r="M18" s="3395">
        <v>0</v>
      </c>
      <c r="N18" s="3395">
        <v>0</v>
      </c>
      <c r="O18" s="3395" t="s">
        <v>3492</v>
      </c>
      <c r="P18" s="3395" t="s">
        <v>3618</v>
      </c>
      <c r="Q18" s="3395" t="s">
        <v>3432</v>
      </c>
      <c r="R18" s="3395" t="s">
        <v>3619</v>
      </c>
      <c r="S18" s="3395" t="s">
        <v>3620</v>
      </c>
      <c r="T18" s="3395">
        <v>1.5</v>
      </c>
      <c r="U18" s="3395" t="s">
        <v>3435</v>
      </c>
      <c r="V18" s="3395">
        <v>30</v>
      </c>
      <c r="W18" s="3395" t="s">
        <v>3621</v>
      </c>
      <c r="X18" s="3395" t="s">
        <v>3460</v>
      </c>
      <c r="Y18" s="3395" t="s">
        <v>3435</v>
      </c>
      <c r="Z18" s="3395" t="s">
        <v>3461</v>
      </c>
      <c r="AA18" s="3395" t="s">
        <v>3435</v>
      </c>
      <c r="AB18" s="3395" t="s">
        <v>3435</v>
      </c>
      <c r="AC18" s="3395" t="s">
        <v>3435</v>
      </c>
      <c r="AD18" s="3395" t="s">
        <v>3622</v>
      </c>
      <c r="AE18" s="3395" t="s">
        <v>3623</v>
      </c>
      <c r="AF18" s="3395" t="s">
        <v>3624</v>
      </c>
      <c r="AG18" s="3395" t="s">
        <v>3624</v>
      </c>
      <c r="AH18" s="3395" t="s">
        <v>3444</v>
      </c>
      <c r="AI18" s="3395" t="s">
        <v>3445</v>
      </c>
      <c r="AJ18" s="3395" t="s">
        <v>3625</v>
      </c>
      <c r="AK18" s="3395" t="s">
        <v>3483</v>
      </c>
      <c r="AL18" s="3395" t="s">
        <v>3448</v>
      </c>
      <c r="AM18" s="3395" t="s">
        <v>3484</v>
      </c>
      <c r="AN18" s="3395">
        <v>62000</v>
      </c>
      <c r="AO18" s="3395">
        <v>12500</v>
      </c>
      <c r="AP18" s="3395" t="s">
        <v>3626</v>
      </c>
      <c r="AQ18" s="3395">
        <v>62000</v>
      </c>
      <c r="AR18" s="3395">
        <v>20293.82</v>
      </c>
      <c r="AS18" s="3395">
        <v>20293.82</v>
      </c>
      <c r="AT18" s="3395">
        <v>1352.92</v>
      </c>
      <c r="AU18" s="3395">
        <v>1352.92</v>
      </c>
      <c r="AV18" s="3395">
        <v>14486</v>
      </c>
      <c r="AW18" s="3395">
        <v>14486</v>
      </c>
      <c r="AX18" s="3395" t="s">
        <v>3435</v>
      </c>
      <c r="AY18" s="3395" t="s">
        <v>3435</v>
      </c>
      <c r="AZ18" s="3395">
        <v>0</v>
      </c>
      <c r="BA18" s="3395">
        <v>71300</v>
      </c>
      <c r="BB18" s="3395" t="s">
        <v>3450</v>
      </c>
      <c r="BC18" s="3395">
        <v>45000</v>
      </c>
      <c r="BD18" s="3395">
        <v>45000</v>
      </c>
      <c r="BE18" s="3395">
        <v>16659</v>
      </c>
      <c r="BF18" s="3395">
        <v>15</v>
      </c>
      <c r="BG18" s="3395">
        <v>29239</v>
      </c>
      <c r="BH18" s="3395" t="s">
        <v>3554</v>
      </c>
      <c r="BI18" s="3395" t="s">
        <v>3627</v>
      </c>
      <c r="BJ18" s="3395" t="s">
        <v>3276</v>
      </c>
      <c r="BK18" s="3395" t="s">
        <v>3435</v>
      </c>
      <c r="BL18" s="3396">
        <v>45399.000497685185</v>
      </c>
      <c r="BM18" s="3395">
        <v>62000</v>
      </c>
    </row>
    <row r="19" spans="1:65">
      <c r="A19" s="3395" t="s">
        <v>3628</v>
      </c>
      <c r="B19" s="3395" t="s">
        <v>3426</v>
      </c>
      <c r="C19" s="3395" t="s">
        <v>1465</v>
      </c>
      <c r="D19" s="3395" t="s">
        <v>3523</v>
      </c>
      <c r="E19" s="3395" t="s">
        <v>3629</v>
      </c>
      <c r="F19" s="3395" t="s">
        <v>3630</v>
      </c>
      <c r="G19" s="3395" t="s">
        <v>3630</v>
      </c>
      <c r="H19" s="3395" t="s">
        <v>3526</v>
      </c>
      <c r="I19" s="3395">
        <v>16909.86</v>
      </c>
      <c r="J19" s="3395">
        <v>33819.72</v>
      </c>
      <c r="K19" s="3395" t="s">
        <v>3435</v>
      </c>
      <c r="L19" s="3395" t="s">
        <v>3435</v>
      </c>
      <c r="M19" s="3395">
        <v>0</v>
      </c>
      <c r="N19" s="3395">
        <v>0</v>
      </c>
      <c r="O19" s="3395" t="s">
        <v>3431</v>
      </c>
      <c r="P19" s="3395" t="s">
        <v>3631</v>
      </c>
      <c r="Q19" s="3395" t="s">
        <v>3432</v>
      </c>
      <c r="R19" s="3395" t="s">
        <v>3632</v>
      </c>
      <c r="S19" s="3395" t="s">
        <v>3633</v>
      </c>
      <c r="T19" s="3395">
        <v>2</v>
      </c>
      <c r="U19" s="3395" t="s">
        <v>3435</v>
      </c>
      <c r="V19" s="3395">
        <v>35</v>
      </c>
      <c r="W19" s="3395">
        <v>36</v>
      </c>
      <c r="X19" s="3395" t="s">
        <v>3460</v>
      </c>
      <c r="Y19" s="3395" t="s">
        <v>3435</v>
      </c>
      <c r="Z19" s="3395" t="s">
        <v>3461</v>
      </c>
      <c r="AA19" s="3395" t="s">
        <v>3477</v>
      </c>
      <c r="AB19" s="3395" t="s">
        <v>3435</v>
      </c>
      <c r="AC19" s="3395" t="s">
        <v>3435</v>
      </c>
      <c r="AD19" s="3395" t="s">
        <v>3634</v>
      </c>
      <c r="AE19" s="3395" t="s">
        <v>3623</v>
      </c>
      <c r="AF19" s="3395" t="s">
        <v>3624</v>
      </c>
      <c r="AG19" s="3395" t="s">
        <v>3624</v>
      </c>
      <c r="AH19" s="3395" t="s">
        <v>3444</v>
      </c>
      <c r="AI19" s="3395" t="s">
        <v>3445</v>
      </c>
      <c r="AJ19" s="3395" t="s">
        <v>3635</v>
      </c>
      <c r="AK19" s="3395" t="s">
        <v>3636</v>
      </c>
      <c r="AL19" s="3395" t="s">
        <v>3448</v>
      </c>
      <c r="AM19" s="3395" t="s">
        <v>3484</v>
      </c>
      <c r="AN19" s="3395">
        <v>101500</v>
      </c>
      <c r="AO19" s="3395">
        <v>21000</v>
      </c>
      <c r="AP19" s="3395" t="s">
        <v>3626</v>
      </c>
      <c r="AQ19" s="3395">
        <v>116725</v>
      </c>
      <c r="AR19" s="3395">
        <v>60024.15</v>
      </c>
      <c r="AS19" s="3395">
        <v>69027.77</v>
      </c>
      <c r="AT19" s="3395">
        <v>4001.61</v>
      </c>
      <c r="AU19" s="3395">
        <v>4601.8500000000004</v>
      </c>
      <c r="AV19" s="3395">
        <v>30012</v>
      </c>
      <c r="AW19" s="3395">
        <v>34514</v>
      </c>
      <c r="AX19" s="3395" t="s">
        <v>3435</v>
      </c>
      <c r="AY19" s="3395" t="s">
        <v>3435</v>
      </c>
      <c r="AZ19" s="3395">
        <v>15</v>
      </c>
      <c r="BA19" s="3395">
        <v>116725</v>
      </c>
      <c r="BB19" s="3395" t="s">
        <v>3637</v>
      </c>
      <c r="BC19" s="3395">
        <v>60000</v>
      </c>
      <c r="BD19" s="3395">
        <v>60000</v>
      </c>
      <c r="BE19" s="3395">
        <v>34514</v>
      </c>
      <c r="BF19" s="3395">
        <v>15</v>
      </c>
      <c r="BG19" s="3395">
        <v>25486</v>
      </c>
      <c r="BH19" s="3395" t="s">
        <v>3521</v>
      </c>
      <c r="BI19" s="3395" t="s">
        <v>3638</v>
      </c>
      <c r="BJ19" s="3395" t="s">
        <v>3276</v>
      </c>
      <c r="BK19" s="3395" t="s">
        <v>3435</v>
      </c>
      <c r="BL19" s="3396">
        <v>45399.000497685185</v>
      </c>
      <c r="BM19" s="3395">
        <v>116725</v>
      </c>
    </row>
    <row r="20" spans="1:65">
      <c r="A20" s="3395" t="s">
        <v>3639</v>
      </c>
      <c r="B20" s="3395" t="s">
        <v>3426</v>
      </c>
      <c r="C20" s="3395" t="s">
        <v>1465</v>
      </c>
      <c r="D20" s="3395" t="s">
        <v>3540</v>
      </c>
      <c r="E20" s="3395" t="s">
        <v>3640</v>
      </c>
      <c r="F20" s="3395" t="s">
        <v>3641</v>
      </c>
      <c r="G20" s="3395" t="s">
        <v>3641</v>
      </c>
      <c r="H20" s="3395" t="s">
        <v>3642</v>
      </c>
      <c r="I20" s="3395">
        <v>34786</v>
      </c>
      <c r="J20" s="3395">
        <v>84979</v>
      </c>
      <c r="K20" s="3395" t="s">
        <v>3435</v>
      </c>
      <c r="L20" s="3395" t="s">
        <v>3435</v>
      </c>
      <c r="M20" s="3395">
        <v>0</v>
      </c>
      <c r="N20" s="3395">
        <v>0</v>
      </c>
      <c r="O20" s="3395" t="s">
        <v>3492</v>
      </c>
      <c r="P20" s="3395" t="s">
        <v>3643</v>
      </c>
      <c r="Q20" s="3395" t="s">
        <v>3494</v>
      </c>
      <c r="R20" s="3395" t="s">
        <v>3619</v>
      </c>
      <c r="S20" s="3395" t="s">
        <v>3644</v>
      </c>
      <c r="T20" s="3395">
        <v>3</v>
      </c>
      <c r="U20" s="3395" t="s">
        <v>3435</v>
      </c>
      <c r="V20" s="3395">
        <v>30</v>
      </c>
      <c r="W20" s="3395" t="s">
        <v>3645</v>
      </c>
      <c r="X20" s="3395" t="s">
        <v>3460</v>
      </c>
      <c r="Y20" s="3395" t="s">
        <v>3435</v>
      </c>
      <c r="Z20" s="3395" t="s">
        <v>3461</v>
      </c>
      <c r="AA20" s="3395" t="s">
        <v>3439</v>
      </c>
      <c r="AB20" s="3395" t="s">
        <v>3435</v>
      </c>
      <c r="AC20" s="3395" t="s">
        <v>3435</v>
      </c>
      <c r="AD20" s="3395" t="s">
        <v>3646</v>
      </c>
      <c r="AE20" s="3395" t="s">
        <v>3647</v>
      </c>
      <c r="AF20" s="3395" t="s">
        <v>3648</v>
      </c>
      <c r="AG20" s="3395" t="s">
        <v>3648</v>
      </c>
      <c r="AH20" s="3395" t="s">
        <v>3444</v>
      </c>
      <c r="AI20" s="3395" t="s">
        <v>3445</v>
      </c>
      <c r="AJ20" s="3395" t="s">
        <v>3649</v>
      </c>
      <c r="AK20" s="3395" t="s">
        <v>3650</v>
      </c>
      <c r="AL20" s="3395" t="s">
        <v>3448</v>
      </c>
      <c r="AM20" s="3395" t="s">
        <v>3484</v>
      </c>
      <c r="AN20" s="3395">
        <v>160300</v>
      </c>
      <c r="AO20" s="3395">
        <v>33000</v>
      </c>
      <c r="AP20" s="3395" t="s">
        <v>3651</v>
      </c>
      <c r="AQ20" s="3395">
        <v>160300</v>
      </c>
      <c r="AR20" s="3395">
        <v>46081.75</v>
      </c>
      <c r="AS20" s="3395">
        <v>46081.75</v>
      </c>
      <c r="AT20" s="3395">
        <v>3072.12</v>
      </c>
      <c r="AU20" s="3395">
        <v>3072.12</v>
      </c>
      <c r="AV20" s="3395">
        <v>18863</v>
      </c>
      <c r="AW20" s="3395">
        <v>18863</v>
      </c>
      <c r="AX20" s="3395" t="s">
        <v>3435</v>
      </c>
      <c r="AY20" s="3395" t="s">
        <v>3435</v>
      </c>
      <c r="AZ20" s="3395">
        <v>0</v>
      </c>
      <c r="BA20" s="3395">
        <v>184345</v>
      </c>
      <c r="BB20" s="3395" t="s">
        <v>3450</v>
      </c>
      <c r="BC20" s="3395">
        <v>48000</v>
      </c>
      <c r="BD20" s="3395">
        <v>48000</v>
      </c>
      <c r="BE20" s="3395">
        <v>21693</v>
      </c>
      <c r="BF20" s="3395">
        <v>15</v>
      </c>
      <c r="BG20" s="3395">
        <v>27965</v>
      </c>
      <c r="BH20" s="3395" t="s">
        <v>3504</v>
      </c>
      <c r="BI20" s="3395" t="s">
        <v>3435</v>
      </c>
      <c r="BJ20" s="3395" t="s">
        <v>3325</v>
      </c>
      <c r="BK20" s="3395" t="s">
        <v>3642</v>
      </c>
      <c r="BL20" s="3395" t="s">
        <v>3435</v>
      </c>
      <c r="BM20" s="3395" t="s">
        <v>3435</v>
      </c>
    </row>
    <row r="21" spans="1:65">
      <c r="A21" s="3395" t="s">
        <v>3652</v>
      </c>
      <c r="B21" s="3395" t="s">
        <v>3426</v>
      </c>
      <c r="C21" s="3395" t="s">
        <v>1465</v>
      </c>
      <c r="D21" s="3395" t="s">
        <v>3507</v>
      </c>
      <c r="E21" s="3395" t="s">
        <v>3508</v>
      </c>
      <c r="F21" s="3395" t="s">
        <v>3653</v>
      </c>
      <c r="G21" s="3395" t="s">
        <v>3653</v>
      </c>
      <c r="H21" s="3395" t="s">
        <v>3510</v>
      </c>
      <c r="I21" s="3395">
        <v>47035.47</v>
      </c>
      <c r="J21" s="3395">
        <v>117588.68</v>
      </c>
      <c r="K21" s="3395" t="s">
        <v>3435</v>
      </c>
      <c r="L21" s="3395" t="s">
        <v>3435</v>
      </c>
      <c r="M21" s="3395">
        <v>0</v>
      </c>
      <c r="N21" s="3395">
        <v>0</v>
      </c>
      <c r="O21" s="3395" t="s">
        <v>3492</v>
      </c>
      <c r="P21" s="3395" t="s">
        <v>3654</v>
      </c>
      <c r="Q21" s="3395" t="s">
        <v>3655</v>
      </c>
      <c r="R21" s="3395" t="s">
        <v>3656</v>
      </c>
      <c r="S21" s="3395" t="s">
        <v>3657</v>
      </c>
      <c r="T21" s="3395">
        <v>2.5</v>
      </c>
      <c r="U21" s="3395">
        <v>42</v>
      </c>
      <c r="V21" s="3395">
        <v>30</v>
      </c>
      <c r="W21" s="3395">
        <v>45</v>
      </c>
      <c r="X21" s="3395" t="s">
        <v>3460</v>
      </c>
      <c r="Y21" s="3395" t="s">
        <v>3435</v>
      </c>
      <c r="Z21" s="3395" t="s">
        <v>3461</v>
      </c>
      <c r="AA21" s="3395" t="s">
        <v>3461</v>
      </c>
      <c r="AB21" s="3395" t="s">
        <v>3435</v>
      </c>
      <c r="AC21" s="3395" t="s">
        <v>3435</v>
      </c>
      <c r="AD21" s="3395" t="s">
        <v>3658</v>
      </c>
      <c r="AE21" s="3395" t="s">
        <v>3659</v>
      </c>
      <c r="AF21" s="3395" t="s">
        <v>3660</v>
      </c>
      <c r="AG21" s="3395" t="s">
        <v>3660</v>
      </c>
      <c r="AH21" s="3395" t="s">
        <v>3444</v>
      </c>
      <c r="AI21" s="3395" t="s">
        <v>3445</v>
      </c>
      <c r="AJ21" s="3395" t="s">
        <v>3661</v>
      </c>
      <c r="AK21" s="3395" t="s">
        <v>3662</v>
      </c>
      <c r="AL21" s="3395" t="s">
        <v>3467</v>
      </c>
      <c r="AM21" s="3395" t="s">
        <v>3435</v>
      </c>
      <c r="AN21" s="3395">
        <v>424000</v>
      </c>
      <c r="AO21" s="3395">
        <v>85000</v>
      </c>
      <c r="AP21" s="3395" t="s">
        <v>3663</v>
      </c>
      <c r="AQ21" s="3395">
        <v>487600</v>
      </c>
      <c r="AR21" s="3395">
        <v>90144.73</v>
      </c>
      <c r="AS21" s="3395">
        <v>103666.44</v>
      </c>
      <c r="AT21" s="3395">
        <v>6009.65</v>
      </c>
      <c r="AU21" s="3395">
        <v>6911.1</v>
      </c>
      <c r="AV21" s="3395">
        <v>36058</v>
      </c>
      <c r="AW21" s="3395">
        <v>41467</v>
      </c>
      <c r="AX21" s="3395" t="s">
        <v>3435</v>
      </c>
      <c r="AY21" s="3395" t="s">
        <v>3435</v>
      </c>
      <c r="AZ21" s="3395">
        <v>15</v>
      </c>
      <c r="BA21" s="3395">
        <v>487600</v>
      </c>
      <c r="BB21" s="3395" t="s">
        <v>3637</v>
      </c>
      <c r="BC21" s="3395">
        <v>66000</v>
      </c>
      <c r="BD21" s="3395">
        <v>66000</v>
      </c>
      <c r="BE21" s="3395">
        <v>41467</v>
      </c>
      <c r="BF21" s="3395">
        <v>15</v>
      </c>
      <c r="BG21" s="3395">
        <v>24110</v>
      </c>
      <c r="BH21" s="3395" t="s">
        <v>3521</v>
      </c>
      <c r="BI21" s="3395" t="s">
        <v>3664</v>
      </c>
      <c r="BJ21" s="3395" t="s">
        <v>3325</v>
      </c>
      <c r="BK21" s="3395" t="s">
        <v>3510</v>
      </c>
      <c r="BL21" s="3395" t="s">
        <v>3435</v>
      </c>
      <c r="BM21" s="3395" t="s">
        <v>3435</v>
      </c>
    </row>
    <row r="22" spans="1:65">
      <c r="A22" s="3395" t="s">
        <v>3665</v>
      </c>
      <c r="B22" s="3395" t="s">
        <v>3426</v>
      </c>
      <c r="C22" s="3395" t="s">
        <v>1465</v>
      </c>
      <c r="D22" s="3395" t="s">
        <v>3523</v>
      </c>
      <c r="E22" s="3395" t="s">
        <v>3666</v>
      </c>
      <c r="F22" s="3395" t="s">
        <v>3667</v>
      </c>
      <c r="G22" s="3395" t="s">
        <v>3667</v>
      </c>
      <c r="H22" s="3395" t="s">
        <v>3588</v>
      </c>
      <c r="I22" s="3395">
        <v>28400</v>
      </c>
      <c r="J22" s="3395">
        <v>56800</v>
      </c>
      <c r="K22" s="3395" t="s">
        <v>3435</v>
      </c>
      <c r="L22" s="3395" t="s">
        <v>3435</v>
      </c>
      <c r="M22" s="3395">
        <v>0</v>
      </c>
      <c r="N22" s="3395">
        <v>0</v>
      </c>
      <c r="O22" s="3395" t="s">
        <v>3431</v>
      </c>
      <c r="P22" s="3395" t="s">
        <v>3668</v>
      </c>
      <c r="Q22" s="3395" t="s">
        <v>3545</v>
      </c>
      <c r="R22" s="3395" t="s">
        <v>3433</v>
      </c>
      <c r="S22" s="3395" t="s">
        <v>3633</v>
      </c>
      <c r="T22" s="3395">
        <v>2</v>
      </c>
      <c r="U22" s="3395" t="s">
        <v>3435</v>
      </c>
      <c r="V22" s="3395">
        <v>40</v>
      </c>
      <c r="W22" s="3395">
        <v>36</v>
      </c>
      <c r="X22" s="3395" t="s">
        <v>3460</v>
      </c>
      <c r="Y22" s="3395" t="s">
        <v>3435</v>
      </c>
      <c r="Z22" s="3395" t="s">
        <v>3461</v>
      </c>
      <c r="AA22" s="3395" t="s">
        <v>3435</v>
      </c>
      <c r="AB22" s="3395" t="s">
        <v>3435</v>
      </c>
      <c r="AC22" s="3395" t="s">
        <v>3435</v>
      </c>
      <c r="AD22" s="3395" t="s">
        <v>3669</v>
      </c>
      <c r="AE22" s="3395" t="s">
        <v>3634</v>
      </c>
      <c r="AF22" s="3395" t="s">
        <v>3608</v>
      </c>
      <c r="AG22" s="3395" t="s">
        <v>3608</v>
      </c>
      <c r="AH22" s="3395" t="s">
        <v>3444</v>
      </c>
      <c r="AI22" s="3395" t="s">
        <v>3445</v>
      </c>
      <c r="AJ22" s="3395" t="s">
        <v>3670</v>
      </c>
      <c r="AK22" s="3395" t="s">
        <v>3483</v>
      </c>
      <c r="AL22" s="3395" t="s">
        <v>3448</v>
      </c>
      <c r="AM22" s="3395" t="s">
        <v>3484</v>
      </c>
      <c r="AN22" s="3395">
        <v>126000</v>
      </c>
      <c r="AO22" s="3395">
        <v>26000</v>
      </c>
      <c r="AP22" s="3395" t="s">
        <v>3671</v>
      </c>
      <c r="AQ22" s="3395">
        <v>126000</v>
      </c>
      <c r="AR22" s="3395">
        <v>44366.19</v>
      </c>
      <c r="AS22" s="3395">
        <v>44366.19</v>
      </c>
      <c r="AT22" s="3395">
        <v>2957.75</v>
      </c>
      <c r="AU22" s="3395">
        <v>2957.75</v>
      </c>
      <c r="AV22" s="3395">
        <v>22183</v>
      </c>
      <c r="AW22" s="3395">
        <v>22183</v>
      </c>
      <c r="AX22" s="3395" t="s">
        <v>3435</v>
      </c>
      <c r="AY22" s="3395" t="s">
        <v>3435</v>
      </c>
      <c r="AZ22" s="3395">
        <v>0</v>
      </c>
      <c r="BA22" s="3395">
        <v>144900</v>
      </c>
      <c r="BB22" s="3395" t="s">
        <v>3450</v>
      </c>
      <c r="BC22" s="3395">
        <v>46000</v>
      </c>
      <c r="BD22" s="3395">
        <v>46000</v>
      </c>
      <c r="BE22" s="3395">
        <v>25511</v>
      </c>
      <c r="BF22" s="3395">
        <v>15</v>
      </c>
      <c r="BG22" s="3395">
        <v>23816</v>
      </c>
      <c r="BH22" s="3395" t="s">
        <v>3504</v>
      </c>
      <c r="BI22" s="3395" t="s">
        <v>3672</v>
      </c>
      <c r="BJ22" s="3395" t="s">
        <v>3325</v>
      </c>
      <c r="BK22" s="3395" t="s">
        <v>3588</v>
      </c>
      <c r="BL22" s="3396">
        <v>45374.000497685185</v>
      </c>
      <c r="BM22" s="3395">
        <v>126000</v>
      </c>
    </row>
    <row r="23" spans="1:65">
      <c r="A23" s="3395" t="s">
        <v>3673</v>
      </c>
      <c r="B23" s="3395" t="s">
        <v>3426</v>
      </c>
      <c r="C23" s="3395" t="s">
        <v>1465</v>
      </c>
      <c r="D23" s="3395" t="s">
        <v>3507</v>
      </c>
      <c r="E23" s="3395" t="s">
        <v>3674</v>
      </c>
      <c r="F23" s="3395" t="s">
        <v>3675</v>
      </c>
      <c r="G23" s="3395" t="s">
        <v>3676</v>
      </c>
      <c r="H23" s="3395" t="s">
        <v>3677</v>
      </c>
      <c r="I23" s="3395">
        <v>147727.42000000001</v>
      </c>
      <c r="J23" s="3395">
        <v>332097.21000000002</v>
      </c>
      <c r="K23" s="3395" t="s">
        <v>3435</v>
      </c>
      <c r="L23" s="3395" t="s">
        <v>3435</v>
      </c>
      <c r="M23" s="3395">
        <v>0</v>
      </c>
      <c r="N23" s="3395">
        <v>0</v>
      </c>
      <c r="O23" s="3395" t="s">
        <v>3492</v>
      </c>
      <c r="P23" s="3395" t="s">
        <v>3678</v>
      </c>
      <c r="Q23" s="3395" t="s">
        <v>3679</v>
      </c>
      <c r="R23" s="3395" t="s">
        <v>3680</v>
      </c>
      <c r="S23" s="3395" t="s">
        <v>3681</v>
      </c>
      <c r="T23" s="3395">
        <v>2.5</v>
      </c>
      <c r="U23" s="3395">
        <v>36.35</v>
      </c>
      <c r="V23" s="3395" t="s">
        <v>3435</v>
      </c>
      <c r="W23" s="3395">
        <v>60</v>
      </c>
      <c r="X23" s="3395" t="s">
        <v>3460</v>
      </c>
      <c r="Y23" s="3395" t="s">
        <v>3435</v>
      </c>
      <c r="Z23" s="3395" t="s">
        <v>3461</v>
      </c>
      <c r="AA23" s="3395" t="s">
        <v>3435</v>
      </c>
      <c r="AB23" s="3395" t="s">
        <v>3440</v>
      </c>
      <c r="AC23" s="3395" t="s">
        <v>3435</v>
      </c>
      <c r="AD23" s="3395" t="s">
        <v>3682</v>
      </c>
      <c r="AE23" s="3395" t="s">
        <v>3683</v>
      </c>
      <c r="AF23" s="3395" t="s">
        <v>3684</v>
      </c>
      <c r="AG23" s="3395" t="s">
        <v>3684</v>
      </c>
      <c r="AH23" s="3395" t="s">
        <v>3444</v>
      </c>
      <c r="AI23" s="3395" t="s">
        <v>3445</v>
      </c>
      <c r="AJ23" s="3395" t="s">
        <v>3685</v>
      </c>
      <c r="AK23" s="3395" t="s">
        <v>3686</v>
      </c>
      <c r="AL23" s="3395" t="s">
        <v>3467</v>
      </c>
      <c r="AM23" s="3395" t="s">
        <v>3435</v>
      </c>
      <c r="AN23" s="3395">
        <v>750000</v>
      </c>
      <c r="AO23" s="3395">
        <v>150000</v>
      </c>
      <c r="AP23" s="3395" t="s">
        <v>3435</v>
      </c>
      <c r="AQ23" s="3395">
        <v>753800</v>
      </c>
      <c r="AR23" s="3395">
        <v>50769.18</v>
      </c>
      <c r="AS23" s="3395">
        <v>51026.41</v>
      </c>
      <c r="AT23" s="3395">
        <v>3384.61</v>
      </c>
      <c r="AU23" s="3395">
        <v>3401.76</v>
      </c>
      <c r="AV23" s="3395">
        <v>22584</v>
      </c>
      <c r="AW23" s="3395">
        <v>22698</v>
      </c>
      <c r="AX23" s="3395" t="s">
        <v>3435</v>
      </c>
      <c r="AY23" s="3395" t="s">
        <v>3435</v>
      </c>
      <c r="AZ23" s="3395">
        <v>0.51</v>
      </c>
      <c r="BA23" s="3395">
        <v>862500</v>
      </c>
      <c r="BB23" s="3395" t="s">
        <v>3450</v>
      </c>
      <c r="BC23" s="3395">
        <v>65000</v>
      </c>
      <c r="BD23" s="3395">
        <v>65000</v>
      </c>
      <c r="BE23" s="3395">
        <v>25971</v>
      </c>
      <c r="BF23" s="3395">
        <v>15</v>
      </c>
      <c r="BG23" s="3395">
        <v>21302</v>
      </c>
      <c r="BH23" s="3395" t="s">
        <v>3521</v>
      </c>
      <c r="BI23" s="3395" t="s">
        <v>3687</v>
      </c>
      <c r="BJ23" s="3395" t="s">
        <v>3325</v>
      </c>
      <c r="BK23" s="3395" t="s">
        <v>3688</v>
      </c>
      <c r="BL23" s="3395" t="s">
        <v>3435</v>
      </c>
      <c r="BM23" s="3395" t="s">
        <v>3435</v>
      </c>
    </row>
    <row r="24" spans="1:65">
      <c r="A24" s="3395" t="s">
        <v>3689</v>
      </c>
      <c r="B24" s="3395" t="s">
        <v>3426</v>
      </c>
      <c r="C24" s="3395" t="s">
        <v>1465</v>
      </c>
      <c r="D24" s="3395" t="s">
        <v>3507</v>
      </c>
      <c r="E24" s="3395" t="s">
        <v>3690</v>
      </c>
      <c r="F24" s="3395" t="s">
        <v>3691</v>
      </c>
      <c r="G24" s="3395" t="s">
        <v>3691</v>
      </c>
      <c r="H24" s="3395" t="s">
        <v>3692</v>
      </c>
      <c r="I24" s="3395">
        <v>28343.9</v>
      </c>
      <c r="J24" s="3395">
        <v>62356.59</v>
      </c>
      <c r="K24" s="3395" t="s">
        <v>3435</v>
      </c>
      <c r="L24" s="3395" t="s">
        <v>3435</v>
      </c>
      <c r="M24" s="3395">
        <v>52051.59</v>
      </c>
      <c r="N24" s="3395">
        <v>52051.59</v>
      </c>
      <c r="O24" s="3395" t="s">
        <v>3431</v>
      </c>
      <c r="P24" s="3395" t="s">
        <v>3693</v>
      </c>
      <c r="Q24" s="3395" t="s">
        <v>3545</v>
      </c>
      <c r="R24" s="3395" t="s">
        <v>3433</v>
      </c>
      <c r="S24" s="3395" t="s">
        <v>3434</v>
      </c>
      <c r="T24" s="3395">
        <v>2.2000000000000002</v>
      </c>
      <c r="U24" s="3395">
        <v>4.8099999999999996</v>
      </c>
      <c r="V24" s="3395">
        <v>30</v>
      </c>
      <c r="W24" s="3395">
        <v>45</v>
      </c>
      <c r="X24" s="3395" t="s">
        <v>3460</v>
      </c>
      <c r="Y24" s="3395" t="s">
        <v>3435</v>
      </c>
      <c r="Z24" s="3395" t="s">
        <v>3435</v>
      </c>
      <c r="AA24" s="3395" t="s">
        <v>3435</v>
      </c>
      <c r="AB24" s="3395" t="s">
        <v>3694</v>
      </c>
      <c r="AC24" s="3395" t="s">
        <v>3695</v>
      </c>
      <c r="AD24" s="3395" t="s">
        <v>3682</v>
      </c>
      <c r="AE24" s="3395" t="s">
        <v>3669</v>
      </c>
      <c r="AF24" s="3395" t="s">
        <v>3684</v>
      </c>
      <c r="AG24" s="3395" t="s">
        <v>3684</v>
      </c>
      <c r="AH24" s="3395" t="s">
        <v>3444</v>
      </c>
      <c r="AI24" s="3395" t="s">
        <v>3481</v>
      </c>
      <c r="AJ24" s="3395" t="s">
        <v>3696</v>
      </c>
      <c r="AK24" s="3395" t="s">
        <v>3580</v>
      </c>
      <c r="AL24" s="3395" t="s">
        <v>3581</v>
      </c>
      <c r="AM24" s="3395" t="s">
        <v>3582</v>
      </c>
      <c r="AN24" s="3395">
        <v>87823.02</v>
      </c>
      <c r="AO24" s="3395">
        <v>18000</v>
      </c>
      <c r="AP24" s="3395" t="s">
        <v>3435</v>
      </c>
      <c r="AQ24" s="3395">
        <v>95500</v>
      </c>
      <c r="AR24" s="3395">
        <v>30984.799999999999</v>
      </c>
      <c r="AS24" s="3395">
        <v>33693.31</v>
      </c>
      <c r="AT24" s="3395">
        <v>2065.65</v>
      </c>
      <c r="AU24" s="3395">
        <v>2246.2199999999998</v>
      </c>
      <c r="AV24" s="3395">
        <v>14084</v>
      </c>
      <c r="AW24" s="3395">
        <v>15315</v>
      </c>
      <c r="AX24" s="3395" t="s">
        <v>3435</v>
      </c>
      <c r="AY24" s="3395" t="s">
        <v>3435</v>
      </c>
      <c r="AZ24" s="3395">
        <v>8.74</v>
      </c>
      <c r="BA24" s="3395" t="s">
        <v>3435</v>
      </c>
      <c r="BB24" s="3395" t="s">
        <v>3435</v>
      </c>
      <c r="BC24" s="3395" t="s">
        <v>3435</v>
      </c>
      <c r="BD24" s="3395">
        <v>29000</v>
      </c>
      <c r="BE24" s="3395" t="s">
        <v>3435</v>
      </c>
      <c r="BF24" s="3395" t="s">
        <v>3435</v>
      </c>
      <c r="BG24" s="3395">
        <v>10653</v>
      </c>
      <c r="BH24" s="3395" t="s">
        <v>3504</v>
      </c>
      <c r="BI24" s="3395" t="s">
        <v>3697</v>
      </c>
      <c r="BJ24" s="3395" t="s">
        <v>3276</v>
      </c>
      <c r="BK24" s="3395" t="s">
        <v>3435</v>
      </c>
      <c r="BL24" s="3395" t="s">
        <v>3435</v>
      </c>
      <c r="BM24" s="3395" t="s">
        <v>3435</v>
      </c>
    </row>
    <row r="25" spans="1:65">
      <c r="A25" s="3395" t="s">
        <v>3698</v>
      </c>
      <c r="B25" s="3395" t="s">
        <v>3426</v>
      </c>
      <c r="C25" s="3395" t="s">
        <v>1465</v>
      </c>
      <c r="D25" s="3395" t="s">
        <v>3507</v>
      </c>
      <c r="E25" s="3395" t="s">
        <v>3699</v>
      </c>
      <c r="F25" s="3395" t="s">
        <v>3700</v>
      </c>
      <c r="G25" s="3395" t="s">
        <v>3700</v>
      </c>
      <c r="H25" s="3395" t="s">
        <v>3701</v>
      </c>
      <c r="I25" s="3395">
        <v>34525.83</v>
      </c>
      <c r="J25" s="3395">
        <v>86314.58</v>
      </c>
      <c r="K25" s="3395" t="s">
        <v>3435</v>
      </c>
      <c r="L25" s="3395" t="s">
        <v>3435</v>
      </c>
      <c r="M25" s="3395">
        <v>85584.58</v>
      </c>
      <c r="N25" s="3395">
        <v>85584.58</v>
      </c>
      <c r="O25" s="3395" t="s">
        <v>3431</v>
      </c>
      <c r="P25" s="3395" t="s">
        <v>3693</v>
      </c>
      <c r="Q25" s="3395" t="s">
        <v>3545</v>
      </c>
      <c r="R25" s="3395" t="s">
        <v>3433</v>
      </c>
      <c r="S25" s="3395" t="s">
        <v>3657</v>
      </c>
      <c r="T25" s="3395">
        <v>2.5</v>
      </c>
      <c r="U25" s="3395" t="s">
        <v>3435</v>
      </c>
      <c r="V25" s="3395">
        <v>35</v>
      </c>
      <c r="W25" s="3395">
        <v>60</v>
      </c>
      <c r="X25" s="3395" t="s">
        <v>3460</v>
      </c>
      <c r="Y25" s="3395" t="s">
        <v>3435</v>
      </c>
      <c r="Z25" s="3395" t="s">
        <v>3435</v>
      </c>
      <c r="AA25" s="3395" t="s">
        <v>3435</v>
      </c>
      <c r="AB25" s="3395" t="s">
        <v>3694</v>
      </c>
      <c r="AC25" s="3395" t="s">
        <v>3695</v>
      </c>
      <c r="AD25" s="3395" t="s">
        <v>3682</v>
      </c>
      <c r="AE25" s="3395" t="s">
        <v>3683</v>
      </c>
      <c r="AF25" s="3395" t="s">
        <v>3684</v>
      </c>
      <c r="AG25" s="3395" t="s">
        <v>3684</v>
      </c>
      <c r="AH25" s="3395" t="s">
        <v>3444</v>
      </c>
      <c r="AI25" s="3395" t="s">
        <v>3481</v>
      </c>
      <c r="AJ25" s="3395" t="s">
        <v>3696</v>
      </c>
      <c r="AK25" s="3395" t="s">
        <v>3702</v>
      </c>
      <c r="AL25" s="3395" t="s">
        <v>3703</v>
      </c>
      <c r="AM25" s="3395" t="s">
        <v>3704</v>
      </c>
      <c r="AN25" s="3395">
        <v>127167</v>
      </c>
      <c r="AO25" s="3395">
        <v>26000</v>
      </c>
      <c r="AP25" s="3395" t="s">
        <v>3435</v>
      </c>
      <c r="AQ25" s="3395">
        <v>135500</v>
      </c>
      <c r="AR25" s="3395">
        <v>36832.42</v>
      </c>
      <c r="AS25" s="3395">
        <v>39245.980000000003</v>
      </c>
      <c r="AT25" s="3395">
        <v>2455.4899999999998</v>
      </c>
      <c r="AU25" s="3395">
        <v>2616.4</v>
      </c>
      <c r="AV25" s="3395">
        <v>14733</v>
      </c>
      <c r="AW25" s="3395">
        <v>15698</v>
      </c>
      <c r="AX25" s="3395" t="s">
        <v>3435</v>
      </c>
      <c r="AY25" s="3395" t="s">
        <v>3435</v>
      </c>
      <c r="AZ25" s="3395">
        <v>6.55</v>
      </c>
      <c r="BA25" s="3395" t="s">
        <v>3435</v>
      </c>
      <c r="BB25" s="3395" t="s">
        <v>3435</v>
      </c>
      <c r="BC25" s="3395" t="s">
        <v>3435</v>
      </c>
      <c r="BD25" s="3395">
        <v>30000</v>
      </c>
      <c r="BE25" s="3395" t="s">
        <v>3435</v>
      </c>
      <c r="BF25" s="3395" t="s">
        <v>3435</v>
      </c>
      <c r="BG25" s="3395">
        <v>14168</v>
      </c>
      <c r="BH25" s="3395" t="s">
        <v>3521</v>
      </c>
      <c r="BI25" s="3395" t="s">
        <v>3705</v>
      </c>
      <c r="BJ25" s="3395" t="s">
        <v>3276</v>
      </c>
      <c r="BK25" s="3395" t="s">
        <v>3435</v>
      </c>
      <c r="BL25" s="3395" t="s">
        <v>3435</v>
      </c>
      <c r="BM25" s="3395" t="s">
        <v>3435</v>
      </c>
    </row>
    <row r="26" spans="1:65">
      <c r="A26" s="3395" t="s">
        <v>3706</v>
      </c>
      <c r="B26" s="3395" t="s">
        <v>3426</v>
      </c>
      <c r="C26" s="3395" t="s">
        <v>1465</v>
      </c>
      <c r="D26" s="3395" t="s">
        <v>3540</v>
      </c>
      <c r="E26" s="3395" t="s">
        <v>3707</v>
      </c>
      <c r="F26" s="3395" t="s">
        <v>3708</v>
      </c>
      <c r="G26" s="3395" t="s">
        <v>3709</v>
      </c>
      <c r="H26" s="3395" t="s">
        <v>3710</v>
      </c>
      <c r="I26" s="3395">
        <v>91852.45</v>
      </c>
      <c r="J26" s="3395">
        <v>138184.41</v>
      </c>
      <c r="K26" s="3395" t="s">
        <v>3435</v>
      </c>
      <c r="L26" s="3395" t="s">
        <v>3435</v>
      </c>
      <c r="M26" s="3395">
        <v>0</v>
      </c>
      <c r="N26" s="3395">
        <v>0</v>
      </c>
      <c r="O26" s="3395" t="s">
        <v>3492</v>
      </c>
      <c r="P26" s="3395" t="s">
        <v>3544</v>
      </c>
      <c r="Q26" s="3395" t="s">
        <v>3545</v>
      </c>
      <c r="R26" s="3395" t="s">
        <v>3711</v>
      </c>
      <c r="S26" s="3395" t="s">
        <v>3712</v>
      </c>
      <c r="T26" s="3395">
        <v>1.6</v>
      </c>
      <c r="U26" s="3395" t="s">
        <v>3435</v>
      </c>
      <c r="V26" s="3395" t="s">
        <v>3713</v>
      </c>
      <c r="W26" s="3395" t="s">
        <v>3714</v>
      </c>
      <c r="X26" s="3395" t="s">
        <v>3460</v>
      </c>
      <c r="Y26" s="3395" t="s">
        <v>3435</v>
      </c>
      <c r="Z26" s="3395" t="s">
        <v>3461</v>
      </c>
      <c r="AA26" s="3395" t="s">
        <v>3435</v>
      </c>
      <c r="AB26" s="3395" t="s">
        <v>3435</v>
      </c>
      <c r="AC26" s="3395" t="s">
        <v>3435</v>
      </c>
      <c r="AD26" s="3395" t="s">
        <v>3715</v>
      </c>
      <c r="AE26" s="3395" t="s">
        <v>3716</v>
      </c>
      <c r="AF26" s="3395" t="s">
        <v>3717</v>
      </c>
      <c r="AG26" s="3395" t="s">
        <v>3717</v>
      </c>
      <c r="AH26" s="3395" t="s">
        <v>3444</v>
      </c>
      <c r="AI26" s="3395" t="s">
        <v>3445</v>
      </c>
      <c r="AJ26" s="3395" t="s">
        <v>3718</v>
      </c>
      <c r="AK26" s="3395" t="s">
        <v>3650</v>
      </c>
      <c r="AL26" s="3395" t="s">
        <v>3448</v>
      </c>
      <c r="AM26" s="3395" t="s">
        <v>3484</v>
      </c>
      <c r="AN26" s="3395">
        <v>228000</v>
      </c>
      <c r="AO26" s="3395">
        <v>46000</v>
      </c>
      <c r="AP26" s="3395" t="s">
        <v>3719</v>
      </c>
      <c r="AQ26" s="3395">
        <v>228000</v>
      </c>
      <c r="AR26" s="3395">
        <v>24822.42</v>
      </c>
      <c r="AS26" s="3395">
        <v>24822.42</v>
      </c>
      <c r="AT26" s="3395">
        <v>1654.83</v>
      </c>
      <c r="AU26" s="3395">
        <v>1654.83</v>
      </c>
      <c r="AV26" s="3395">
        <v>16500</v>
      </c>
      <c r="AW26" s="3395">
        <v>16500</v>
      </c>
      <c r="AX26" s="3395" t="s">
        <v>3435</v>
      </c>
      <c r="AY26" s="3395" t="s">
        <v>3435</v>
      </c>
      <c r="AZ26" s="3395">
        <v>0</v>
      </c>
      <c r="BA26" s="3395">
        <v>262200</v>
      </c>
      <c r="BB26" s="3395" t="s">
        <v>3450</v>
      </c>
      <c r="BC26" s="3395">
        <v>45000</v>
      </c>
      <c r="BD26" s="3395">
        <v>45000</v>
      </c>
      <c r="BE26" s="3395">
        <v>18975</v>
      </c>
      <c r="BF26" s="3395">
        <v>15</v>
      </c>
      <c r="BG26" s="3395">
        <v>27996</v>
      </c>
      <c r="BH26" s="3395" t="s">
        <v>3504</v>
      </c>
      <c r="BI26" s="3395" t="s">
        <v>3435</v>
      </c>
      <c r="BJ26" s="3395" t="s">
        <v>3325</v>
      </c>
      <c r="BK26" s="3395" t="s">
        <v>3555</v>
      </c>
      <c r="BL26" s="3395" t="s">
        <v>3435</v>
      </c>
      <c r="BM26" s="3395" t="s">
        <v>3435</v>
      </c>
    </row>
    <row r="27" spans="1:65">
      <c r="A27" s="3395" t="s">
        <v>3720</v>
      </c>
      <c r="B27" s="3395" t="s">
        <v>3426</v>
      </c>
      <c r="C27" s="3395" t="s">
        <v>1465</v>
      </c>
      <c r="D27" s="3395" t="s">
        <v>3523</v>
      </c>
      <c r="E27" s="3395" t="s">
        <v>3721</v>
      </c>
      <c r="F27" s="3395" t="s">
        <v>3722</v>
      </c>
      <c r="G27" s="3395" t="s">
        <v>3722</v>
      </c>
      <c r="H27" s="3395" t="s">
        <v>3723</v>
      </c>
      <c r="I27" s="3395">
        <v>69893.14</v>
      </c>
      <c r="J27" s="3395">
        <v>107430.41</v>
      </c>
      <c r="K27" s="3395" t="s">
        <v>3435</v>
      </c>
      <c r="L27" s="3395" t="s">
        <v>3435</v>
      </c>
      <c r="M27" s="3395">
        <v>0</v>
      </c>
      <c r="N27" s="3395">
        <v>0</v>
      </c>
      <c r="O27" s="3395" t="s">
        <v>3492</v>
      </c>
      <c r="P27" s="3395" t="s">
        <v>3544</v>
      </c>
      <c r="Q27" s="3395" t="s">
        <v>3545</v>
      </c>
      <c r="R27" s="3395" t="s">
        <v>3711</v>
      </c>
      <c r="S27" s="3395" t="s">
        <v>3724</v>
      </c>
      <c r="T27" s="3395">
        <v>1.7</v>
      </c>
      <c r="U27" s="3395" t="s">
        <v>3435</v>
      </c>
      <c r="V27" s="3395" t="s">
        <v>3725</v>
      </c>
      <c r="W27" s="3395">
        <v>36</v>
      </c>
      <c r="X27" s="3395" t="s">
        <v>3460</v>
      </c>
      <c r="Y27" s="3395" t="s">
        <v>3435</v>
      </c>
      <c r="Z27" s="3395" t="s">
        <v>3461</v>
      </c>
      <c r="AA27" s="3395" t="s">
        <v>3435</v>
      </c>
      <c r="AB27" s="3395" t="s">
        <v>3435</v>
      </c>
      <c r="AC27" s="3395" t="s">
        <v>3435</v>
      </c>
      <c r="AD27" s="3395" t="s">
        <v>3726</v>
      </c>
      <c r="AE27" s="3395" t="s">
        <v>3727</v>
      </c>
      <c r="AF27" s="3395" t="s">
        <v>3728</v>
      </c>
      <c r="AG27" s="3395" t="s">
        <v>3728</v>
      </c>
      <c r="AH27" s="3395" t="s">
        <v>3444</v>
      </c>
      <c r="AI27" s="3395" t="s">
        <v>3481</v>
      </c>
      <c r="AJ27" s="3395" t="s">
        <v>3729</v>
      </c>
      <c r="AK27" s="3395" t="s">
        <v>3730</v>
      </c>
      <c r="AL27" s="3395" t="s">
        <v>3467</v>
      </c>
      <c r="AM27" s="3395" t="s">
        <v>3435</v>
      </c>
      <c r="AN27" s="3395">
        <v>199000</v>
      </c>
      <c r="AO27" s="3395">
        <v>40000</v>
      </c>
      <c r="AP27" s="3395" t="s">
        <v>3731</v>
      </c>
      <c r="AQ27" s="3395">
        <v>199000</v>
      </c>
      <c r="AR27" s="3395">
        <v>28472.03</v>
      </c>
      <c r="AS27" s="3395">
        <v>28472.03</v>
      </c>
      <c r="AT27" s="3395">
        <v>1898.14</v>
      </c>
      <c r="AU27" s="3395">
        <v>1898.14</v>
      </c>
      <c r="AV27" s="3395">
        <v>18524</v>
      </c>
      <c r="AW27" s="3395">
        <v>18524</v>
      </c>
      <c r="AX27" s="3395" t="s">
        <v>3435</v>
      </c>
      <c r="AY27" s="3395" t="s">
        <v>3435</v>
      </c>
      <c r="AZ27" s="3395">
        <v>0</v>
      </c>
      <c r="BA27" s="3395">
        <v>228850</v>
      </c>
      <c r="BB27" s="3395" t="s">
        <v>3450</v>
      </c>
      <c r="BC27" s="3395">
        <v>43000</v>
      </c>
      <c r="BD27" s="3395">
        <v>43000</v>
      </c>
      <c r="BE27" s="3395">
        <v>21302</v>
      </c>
      <c r="BF27" s="3395">
        <v>15</v>
      </c>
      <c r="BG27" s="3395">
        <v>23745</v>
      </c>
      <c r="BH27" s="3395" t="s">
        <v>3504</v>
      </c>
      <c r="BI27" s="3395" t="s">
        <v>3732</v>
      </c>
      <c r="BJ27" s="3395" t="s">
        <v>3325</v>
      </c>
      <c r="BK27" s="3395" t="s">
        <v>3723</v>
      </c>
      <c r="BL27" s="3395" t="s">
        <v>3435</v>
      </c>
      <c r="BM27" s="3395" t="s">
        <v>3435</v>
      </c>
    </row>
    <row r="28" spans="1:65" s="3398" customFormat="1">
      <c r="A28" s="3398" t="s">
        <v>3733</v>
      </c>
      <c r="B28" s="3398" t="s">
        <v>3426</v>
      </c>
      <c r="C28" s="3398" t="s">
        <v>1465</v>
      </c>
      <c r="D28" s="3398" t="s">
        <v>3507</v>
      </c>
      <c r="E28" s="3398" t="s">
        <v>3734</v>
      </c>
      <c r="F28" s="3398" t="s">
        <v>3735</v>
      </c>
      <c r="G28" s="3398" t="s">
        <v>3735</v>
      </c>
      <c r="H28" s="3398" t="s">
        <v>3736</v>
      </c>
      <c r="I28" s="3398">
        <v>19113.12</v>
      </c>
      <c r="J28" s="3398">
        <v>38226.239999999998</v>
      </c>
      <c r="K28" s="3398" t="s">
        <v>3435</v>
      </c>
      <c r="L28" s="3398" t="s">
        <v>3435</v>
      </c>
      <c r="M28" s="3398">
        <v>0</v>
      </c>
      <c r="N28" s="3398">
        <v>0</v>
      </c>
      <c r="O28" s="3398" t="s">
        <v>3492</v>
      </c>
      <c r="P28" s="3398" t="s">
        <v>3604</v>
      </c>
      <c r="Q28" s="3398" t="s">
        <v>3605</v>
      </c>
      <c r="R28" s="3398" t="s">
        <v>3606</v>
      </c>
      <c r="S28" s="3398" t="s">
        <v>3633</v>
      </c>
      <c r="T28" s="3398">
        <v>2</v>
      </c>
      <c r="U28" s="3398" t="s">
        <v>3435</v>
      </c>
      <c r="V28" s="3398">
        <v>30</v>
      </c>
      <c r="W28" s="3398">
        <v>45</v>
      </c>
      <c r="X28" s="3398" t="s">
        <v>3460</v>
      </c>
      <c r="Y28" s="3398" t="s">
        <v>3435</v>
      </c>
      <c r="Z28" s="3398" t="s">
        <v>3461</v>
      </c>
      <c r="AA28" s="3398" t="s">
        <v>3435</v>
      </c>
      <c r="AB28" s="3398" t="s">
        <v>3435</v>
      </c>
      <c r="AC28" s="3398" t="s">
        <v>3435</v>
      </c>
      <c r="AD28" s="3398" t="s">
        <v>3737</v>
      </c>
      <c r="AE28" s="3398" t="s">
        <v>3738</v>
      </c>
      <c r="AF28" s="3398" t="s">
        <v>3739</v>
      </c>
      <c r="AG28" s="3398" t="s">
        <v>3739</v>
      </c>
      <c r="AH28" s="3398" t="s">
        <v>3444</v>
      </c>
      <c r="AI28" s="3398" t="s">
        <v>3445</v>
      </c>
      <c r="AJ28" s="3398" t="s">
        <v>3740</v>
      </c>
      <c r="AK28" s="3398" t="s">
        <v>3741</v>
      </c>
      <c r="AL28" s="3398" t="s">
        <v>3742</v>
      </c>
      <c r="AM28" s="3398" t="s">
        <v>3435</v>
      </c>
      <c r="AN28" s="3398">
        <v>45000</v>
      </c>
      <c r="AO28" s="3398">
        <v>9000</v>
      </c>
      <c r="AP28" s="3398" t="s">
        <v>3743</v>
      </c>
      <c r="AQ28" s="3398">
        <v>45000</v>
      </c>
      <c r="AR28" s="3398">
        <v>23544.03</v>
      </c>
      <c r="AS28" s="3398">
        <v>23544.03</v>
      </c>
      <c r="AT28" s="3398">
        <v>1569.6</v>
      </c>
      <c r="AU28" s="3398">
        <v>1569.6</v>
      </c>
      <c r="AV28" s="3398">
        <v>11772</v>
      </c>
      <c r="AW28" s="3398">
        <v>11772</v>
      </c>
      <c r="AX28" s="3398" t="s">
        <v>3435</v>
      </c>
      <c r="AY28" s="3398" t="s">
        <v>3435</v>
      </c>
      <c r="AZ28" s="3398">
        <v>0</v>
      </c>
      <c r="BA28" s="3398">
        <v>51750</v>
      </c>
      <c r="BB28" s="3398" t="s">
        <v>3450</v>
      </c>
      <c r="BC28" s="3398">
        <v>30000</v>
      </c>
      <c r="BD28" s="3398">
        <v>30000</v>
      </c>
      <c r="BE28" s="3398">
        <v>13538</v>
      </c>
      <c r="BF28" s="3398">
        <v>15</v>
      </c>
      <c r="BG28" s="3398">
        <v>15284</v>
      </c>
      <c r="BH28" s="3398" t="s">
        <v>3435</v>
      </c>
      <c r="BI28" s="3398" t="s">
        <v>3435</v>
      </c>
      <c r="BJ28" s="3398" t="s">
        <v>3325</v>
      </c>
      <c r="BK28" s="3398" t="s">
        <v>3744</v>
      </c>
      <c r="BL28" s="3398" t="s">
        <v>3435</v>
      </c>
      <c r="BM28" s="3398" t="s">
        <v>3435</v>
      </c>
    </row>
    <row r="29" spans="1:65">
      <c r="A29" s="3395" t="s">
        <v>3745</v>
      </c>
      <c r="B29" s="3395" t="s">
        <v>3426</v>
      </c>
      <c r="C29" s="3395" t="s">
        <v>1465</v>
      </c>
      <c r="D29" s="3395" t="s">
        <v>3540</v>
      </c>
      <c r="E29" s="3395" t="s">
        <v>3746</v>
      </c>
      <c r="F29" s="3395" t="s">
        <v>3747</v>
      </c>
      <c r="G29" s="3395" t="s">
        <v>3747</v>
      </c>
      <c r="H29" s="3395" t="s">
        <v>3748</v>
      </c>
      <c r="I29" s="3395">
        <v>34067.89</v>
      </c>
      <c r="J29" s="3395">
        <v>64113.760000000002</v>
      </c>
      <c r="K29" s="3395" t="s">
        <v>3435</v>
      </c>
      <c r="L29" s="3395" t="s">
        <v>3435</v>
      </c>
      <c r="M29" s="3395">
        <v>0</v>
      </c>
      <c r="N29" s="3395">
        <v>0</v>
      </c>
      <c r="O29" s="3395" t="s">
        <v>3431</v>
      </c>
      <c r="P29" s="3395" t="s">
        <v>3432</v>
      </c>
      <c r="Q29" s="3395" t="s">
        <v>3432</v>
      </c>
      <c r="R29" s="3395" t="s">
        <v>3632</v>
      </c>
      <c r="S29" s="3395" t="s">
        <v>3749</v>
      </c>
      <c r="T29" s="3395">
        <v>2.1</v>
      </c>
      <c r="U29" s="3395" t="s">
        <v>3435</v>
      </c>
      <c r="V29" s="3395">
        <v>35</v>
      </c>
      <c r="W29" s="3395">
        <v>36</v>
      </c>
      <c r="X29" s="3395" t="s">
        <v>3460</v>
      </c>
      <c r="Y29" s="3395" t="s">
        <v>3435</v>
      </c>
      <c r="Z29" s="3395" t="s">
        <v>3461</v>
      </c>
      <c r="AA29" s="3395" t="s">
        <v>3435</v>
      </c>
      <c r="AB29" s="3395" t="s">
        <v>3435</v>
      </c>
      <c r="AC29" s="3395" t="s">
        <v>3435</v>
      </c>
      <c r="AD29" s="3395" t="s">
        <v>3750</v>
      </c>
      <c r="AE29" s="3395" t="s">
        <v>3751</v>
      </c>
      <c r="AF29" s="3395" t="s">
        <v>3716</v>
      </c>
      <c r="AG29" s="3395" t="s">
        <v>3716</v>
      </c>
      <c r="AH29" s="3395" t="s">
        <v>3444</v>
      </c>
      <c r="AI29" s="3395" t="s">
        <v>3445</v>
      </c>
      <c r="AJ29" s="3395" t="s">
        <v>3718</v>
      </c>
      <c r="AK29" s="3395" t="s">
        <v>3650</v>
      </c>
      <c r="AL29" s="3395" t="s">
        <v>3448</v>
      </c>
      <c r="AM29" s="3395" t="s">
        <v>3484</v>
      </c>
      <c r="AN29" s="3395">
        <v>120000</v>
      </c>
      <c r="AO29" s="3395">
        <v>24000</v>
      </c>
      <c r="AP29" s="3395" t="s">
        <v>3752</v>
      </c>
      <c r="AQ29" s="3395">
        <v>120000</v>
      </c>
      <c r="AR29" s="3395">
        <v>35223.78</v>
      </c>
      <c r="AS29" s="3395">
        <v>35223.78</v>
      </c>
      <c r="AT29" s="3395">
        <v>2348.25</v>
      </c>
      <c r="AU29" s="3395">
        <v>2348.25</v>
      </c>
      <c r="AV29" s="3395">
        <v>18717</v>
      </c>
      <c r="AW29" s="3395">
        <v>18717</v>
      </c>
      <c r="AX29" s="3395" t="s">
        <v>3435</v>
      </c>
      <c r="AY29" s="3395" t="s">
        <v>3435</v>
      </c>
      <c r="AZ29" s="3395">
        <v>0</v>
      </c>
      <c r="BA29" s="3395">
        <v>138000</v>
      </c>
      <c r="BB29" s="3395" t="s">
        <v>3450</v>
      </c>
      <c r="BC29" s="3395">
        <v>45000</v>
      </c>
      <c r="BD29" s="3395">
        <v>45000</v>
      </c>
      <c r="BE29" s="3395">
        <v>21524</v>
      </c>
      <c r="BF29" s="3395">
        <v>15</v>
      </c>
      <c r="BG29" s="3395">
        <v>26283</v>
      </c>
      <c r="BH29" s="3395" t="s">
        <v>3504</v>
      </c>
      <c r="BI29" s="3395" t="s">
        <v>3753</v>
      </c>
      <c r="BJ29" s="3395" t="s">
        <v>3325</v>
      </c>
      <c r="BK29" s="3395" t="s">
        <v>3642</v>
      </c>
      <c r="BL29" s="3396">
        <v>45312.000497685185</v>
      </c>
      <c r="BM29" s="3395">
        <v>120000</v>
      </c>
    </row>
    <row r="30" spans="1:65">
      <c r="A30" s="3395" t="s">
        <v>3754</v>
      </c>
      <c r="B30" s="3395" t="s">
        <v>3426</v>
      </c>
      <c r="C30" s="3395" t="s">
        <v>1465</v>
      </c>
      <c r="D30" s="3395" t="s">
        <v>3507</v>
      </c>
      <c r="E30" s="3395" t="s">
        <v>3755</v>
      </c>
      <c r="F30" s="3395" t="s">
        <v>3756</v>
      </c>
      <c r="G30" s="3395" t="s">
        <v>3756</v>
      </c>
      <c r="H30" s="3395" t="s">
        <v>3571</v>
      </c>
      <c r="I30" s="3395">
        <v>26969.65</v>
      </c>
      <c r="J30" s="3395">
        <v>70121.08</v>
      </c>
      <c r="K30" s="3395" t="s">
        <v>3435</v>
      </c>
      <c r="L30" s="3395" t="s">
        <v>3435</v>
      </c>
      <c r="M30" s="3395">
        <v>0</v>
      </c>
      <c r="N30" s="3395">
        <v>0</v>
      </c>
      <c r="O30" s="3395" t="s">
        <v>3431</v>
      </c>
      <c r="P30" s="3395" t="s">
        <v>3668</v>
      </c>
      <c r="Q30" s="3395" t="s">
        <v>3545</v>
      </c>
      <c r="R30" s="3395" t="s">
        <v>3433</v>
      </c>
      <c r="S30" s="3395" t="s">
        <v>3757</v>
      </c>
      <c r="T30" s="3395">
        <v>2.6</v>
      </c>
      <c r="U30" s="3395" t="s">
        <v>3435</v>
      </c>
      <c r="V30" s="3395">
        <v>30</v>
      </c>
      <c r="W30" s="3395">
        <v>60</v>
      </c>
      <c r="X30" s="3395" t="s">
        <v>3460</v>
      </c>
      <c r="Y30" s="3395" t="s">
        <v>3435</v>
      </c>
      <c r="Z30" s="3395" t="s">
        <v>3461</v>
      </c>
      <c r="AA30" s="3395" t="s">
        <v>3435</v>
      </c>
      <c r="AB30" s="3395" t="s">
        <v>3435</v>
      </c>
      <c r="AC30" s="3395" t="s">
        <v>3435</v>
      </c>
      <c r="AD30" s="3395" t="s">
        <v>3758</v>
      </c>
      <c r="AE30" s="3395" t="s">
        <v>3759</v>
      </c>
      <c r="AF30" s="3395" t="s">
        <v>3751</v>
      </c>
      <c r="AG30" s="3395" t="s">
        <v>3751</v>
      </c>
      <c r="AH30" s="3395" t="s">
        <v>3444</v>
      </c>
      <c r="AI30" s="3395" t="s">
        <v>3445</v>
      </c>
      <c r="AJ30" s="3395" t="s">
        <v>3760</v>
      </c>
      <c r="AK30" s="3395" t="s">
        <v>3761</v>
      </c>
      <c r="AL30" s="3395" t="s">
        <v>3762</v>
      </c>
      <c r="AM30" s="3395" t="s">
        <v>3704</v>
      </c>
      <c r="AN30" s="3395">
        <v>188000</v>
      </c>
      <c r="AO30" s="3395">
        <v>38000</v>
      </c>
      <c r="AP30" s="3395" t="s">
        <v>3763</v>
      </c>
      <c r="AQ30" s="3395">
        <v>190000</v>
      </c>
      <c r="AR30" s="3395">
        <v>69707.98</v>
      </c>
      <c r="AS30" s="3395">
        <v>70449.56</v>
      </c>
      <c r="AT30" s="3395">
        <v>4647.2</v>
      </c>
      <c r="AU30" s="3395">
        <v>4696.6400000000003</v>
      </c>
      <c r="AV30" s="3395">
        <v>26811</v>
      </c>
      <c r="AW30" s="3395">
        <v>27096</v>
      </c>
      <c r="AX30" s="3395" t="s">
        <v>3435</v>
      </c>
      <c r="AY30" s="3395" t="s">
        <v>3435</v>
      </c>
      <c r="AZ30" s="3395">
        <v>1.06</v>
      </c>
      <c r="BA30" s="3395">
        <v>216200</v>
      </c>
      <c r="BB30" s="3395" t="s">
        <v>3450</v>
      </c>
      <c r="BC30" s="3395">
        <v>59000</v>
      </c>
      <c r="BD30" s="3395">
        <v>59000</v>
      </c>
      <c r="BE30" s="3395">
        <v>30832</v>
      </c>
      <c r="BF30" s="3395">
        <v>15</v>
      </c>
      <c r="BG30" s="3395">
        <v>31904</v>
      </c>
      <c r="BH30" s="3395" t="s">
        <v>3521</v>
      </c>
      <c r="BI30" s="3395" t="s">
        <v>3764</v>
      </c>
      <c r="BJ30" s="3395" t="s">
        <v>3325</v>
      </c>
      <c r="BK30" s="3395" t="s">
        <v>3571</v>
      </c>
      <c r="BL30" s="3395" t="s">
        <v>3435</v>
      </c>
      <c r="BM30" s="3395" t="s">
        <v>3435</v>
      </c>
    </row>
    <row r="31" spans="1:65" s="3397" customFormat="1">
      <c r="A31" s="3397" t="s">
        <v>3765</v>
      </c>
      <c r="B31" s="3397" t="s">
        <v>3426</v>
      </c>
      <c r="C31" s="3397" t="s">
        <v>1465</v>
      </c>
      <c r="D31" s="3397" t="s">
        <v>3507</v>
      </c>
      <c r="E31" s="3397" t="s">
        <v>3734</v>
      </c>
      <c r="F31" s="3397" t="s">
        <v>3766</v>
      </c>
      <c r="G31" s="3397" t="s">
        <v>3766</v>
      </c>
      <c r="H31" s="3397" t="s">
        <v>3736</v>
      </c>
      <c r="I31" s="3397">
        <v>21672.98</v>
      </c>
      <c r="J31" s="3397">
        <v>43345.96</v>
      </c>
      <c r="K31" s="3397" t="s">
        <v>3435</v>
      </c>
      <c r="L31" s="3397" t="s">
        <v>3435</v>
      </c>
      <c r="M31" s="3397">
        <v>0</v>
      </c>
      <c r="N31" s="3397">
        <v>0</v>
      </c>
      <c r="O31" s="3397" t="s">
        <v>3431</v>
      </c>
      <c r="P31" s="3397" t="s">
        <v>3668</v>
      </c>
      <c r="Q31" s="3397" t="s">
        <v>3545</v>
      </c>
      <c r="R31" s="3397" t="s">
        <v>3433</v>
      </c>
      <c r="S31" s="3397" t="s">
        <v>3633</v>
      </c>
      <c r="T31" s="3397">
        <v>2</v>
      </c>
      <c r="U31" s="3397" t="s">
        <v>3435</v>
      </c>
      <c r="V31" s="3397">
        <v>30</v>
      </c>
      <c r="W31" s="3397">
        <v>45</v>
      </c>
      <c r="X31" s="3397" t="s">
        <v>3460</v>
      </c>
      <c r="Y31" s="3397" t="s">
        <v>3435</v>
      </c>
      <c r="Z31" s="3397" t="s">
        <v>3461</v>
      </c>
      <c r="AA31" s="3397" t="s">
        <v>3435</v>
      </c>
      <c r="AB31" s="3397" t="s">
        <v>3435</v>
      </c>
      <c r="AC31" s="3397" t="s">
        <v>3435</v>
      </c>
      <c r="AD31" s="3397" t="s">
        <v>3767</v>
      </c>
      <c r="AE31" s="3397" t="s">
        <v>3759</v>
      </c>
      <c r="AF31" s="3397" t="s">
        <v>3751</v>
      </c>
      <c r="AG31" s="3397" t="s">
        <v>3751</v>
      </c>
      <c r="AH31" s="3397" t="s">
        <v>3444</v>
      </c>
      <c r="AI31" s="3397" t="s">
        <v>3445</v>
      </c>
      <c r="AJ31" s="3397" t="s">
        <v>3282</v>
      </c>
      <c r="AK31" s="3397" t="s">
        <v>3768</v>
      </c>
      <c r="AL31" s="3397" t="s">
        <v>3448</v>
      </c>
      <c r="AM31" s="3397" t="s">
        <v>3435</v>
      </c>
      <c r="AN31" s="3397">
        <v>50000</v>
      </c>
      <c r="AO31" s="3397">
        <v>10000</v>
      </c>
      <c r="AP31" s="3397" t="s">
        <v>3763</v>
      </c>
      <c r="AQ31" s="3397">
        <v>50000</v>
      </c>
      <c r="AR31" s="3397">
        <v>23070.2</v>
      </c>
      <c r="AS31" s="3397">
        <v>23070.2</v>
      </c>
      <c r="AT31" s="3397">
        <v>1538.01</v>
      </c>
      <c r="AU31" s="3397">
        <v>1538.01</v>
      </c>
      <c r="AV31" s="3397">
        <v>11535</v>
      </c>
      <c r="AW31" s="3397">
        <v>11535</v>
      </c>
      <c r="AX31" s="3397" t="s">
        <v>3435</v>
      </c>
      <c r="AY31" s="3397" t="s">
        <v>3435</v>
      </c>
      <c r="AZ31" s="3397">
        <v>0</v>
      </c>
      <c r="BA31" s="3397">
        <v>57500</v>
      </c>
      <c r="BB31" s="3397" t="s">
        <v>3450</v>
      </c>
      <c r="BC31" s="3397">
        <v>30000</v>
      </c>
      <c r="BD31" s="3397">
        <v>30000</v>
      </c>
      <c r="BE31" s="3397">
        <v>13265</v>
      </c>
      <c r="BF31" s="3397">
        <v>15</v>
      </c>
      <c r="BG31" s="3397">
        <v>18275</v>
      </c>
      <c r="BH31" s="3397" t="s">
        <v>3486</v>
      </c>
      <c r="BI31" s="3397" t="s">
        <v>3435</v>
      </c>
      <c r="BJ31" s="3397" t="s">
        <v>3325</v>
      </c>
      <c r="BK31" s="3397" t="s">
        <v>3744</v>
      </c>
      <c r="BL31" s="3397" t="s">
        <v>3435</v>
      </c>
      <c r="BM31" s="3397" t="s">
        <v>3435</v>
      </c>
    </row>
    <row r="32" spans="1:65">
      <c r="A32" s="3395" t="s">
        <v>3769</v>
      </c>
      <c r="B32" s="3395" t="s">
        <v>3426</v>
      </c>
      <c r="C32" s="3395" t="s">
        <v>1465</v>
      </c>
      <c r="D32" s="3395" t="s">
        <v>3507</v>
      </c>
      <c r="E32" s="3395" t="s">
        <v>3569</v>
      </c>
      <c r="F32" s="3395" t="s">
        <v>3770</v>
      </c>
      <c r="G32" s="3395" t="s">
        <v>3770</v>
      </c>
      <c r="H32" s="3395" t="s">
        <v>3571</v>
      </c>
      <c r="I32" s="3395">
        <v>26907.21</v>
      </c>
      <c r="J32" s="3395">
        <v>43051.54</v>
      </c>
      <c r="K32" s="3395" t="s">
        <v>3435</v>
      </c>
      <c r="L32" s="3395" t="s">
        <v>3435</v>
      </c>
      <c r="M32" s="3395">
        <v>0</v>
      </c>
      <c r="N32" s="3395">
        <v>0</v>
      </c>
      <c r="O32" s="3395" t="s">
        <v>3431</v>
      </c>
      <c r="P32" s="3395" t="s">
        <v>3668</v>
      </c>
      <c r="Q32" s="3395" t="s">
        <v>3545</v>
      </c>
      <c r="R32" s="3395" t="s">
        <v>3433</v>
      </c>
      <c r="S32" s="3395" t="s">
        <v>3475</v>
      </c>
      <c r="T32" s="3395">
        <v>1.6</v>
      </c>
      <c r="U32" s="3395" t="s">
        <v>3435</v>
      </c>
      <c r="V32" s="3395">
        <v>30</v>
      </c>
      <c r="W32" s="3395">
        <v>45</v>
      </c>
      <c r="X32" s="3395" t="s">
        <v>3460</v>
      </c>
      <c r="Y32" s="3395" t="s">
        <v>3435</v>
      </c>
      <c r="Z32" s="3395" t="s">
        <v>3461</v>
      </c>
      <c r="AA32" s="3395" t="s">
        <v>3435</v>
      </c>
      <c r="AB32" s="3395" t="s">
        <v>3435</v>
      </c>
      <c r="AC32" s="3395" t="s">
        <v>3435</v>
      </c>
      <c r="AD32" s="3395" t="s">
        <v>3771</v>
      </c>
      <c r="AE32" s="3395" t="s">
        <v>3772</v>
      </c>
      <c r="AF32" s="3395" t="s">
        <v>3773</v>
      </c>
      <c r="AG32" s="3395" t="s">
        <v>3773</v>
      </c>
      <c r="AH32" s="3395" t="s">
        <v>3444</v>
      </c>
      <c r="AI32" s="3395" t="s">
        <v>3445</v>
      </c>
      <c r="AJ32" s="3395" t="s">
        <v>3774</v>
      </c>
      <c r="AK32" s="3395" t="s">
        <v>3775</v>
      </c>
      <c r="AL32" s="3395" t="s">
        <v>3581</v>
      </c>
      <c r="AM32" s="3395" t="s">
        <v>3582</v>
      </c>
      <c r="AN32" s="3395">
        <v>97000</v>
      </c>
      <c r="AO32" s="3395">
        <v>20000</v>
      </c>
      <c r="AP32" s="3395" t="s">
        <v>3776</v>
      </c>
      <c r="AQ32" s="3395">
        <v>97000</v>
      </c>
      <c r="AR32" s="3395">
        <v>36049.81</v>
      </c>
      <c r="AS32" s="3395">
        <v>36049.81</v>
      </c>
      <c r="AT32" s="3395">
        <v>2403.3200000000002</v>
      </c>
      <c r="AU32" s="3395">
        <v>2403.3200000000002</v>
      </c>
      <c r="AV32" s="3395">
        <v>22531</v>
      </c>
      <c r="AW32" s="3395">
        <v>22531</v>
      </c>
      <c r="AX32" s="3395" t="s">
        <v>3435</v>
      </c>
      <c r="AY32" s="3395" t="s">
        <v>3435</v>
      </c>
      <c r="AZ32" s="3395">
        <v>0</v>
      </c>
      <c r="BA32" s="3395">
        <v>111550</v>
      </c>
      <c r="BB32" s="3395" t="s">
        <v>3435</v>
      </c>
      <c r="BC32" s="3395">
        <v>50000</v>
      </c>
      <c r="BD32" s="3395">
        <v>50000</v>
      </c>
      <c r="BE32" s="3395">
        <v>25911</v>
      </c>
      <c r="BF32" s="3395">
        <v>15</v>
      </c>
      <c r="BG32" s="3395">
        <v>27468</v>
      </c>
      <c r="BH32" s="3395" t="s">
        <v>3554</v>
      </c>
      <c r="BI32" s="3395" t="s">
        <v>3435</v>
      </c>
      <c r="BJ32" s="3395" t="s">
        <v>3325</v>
      </c>
      <c r="BK32" s="3395" t="s">
        <v>3571</v>
      </c>
      <c r="BL32" s="3396">
        <v>45287.000497685185</v>
      </c>
      <c r="BM32" s="3395">
        <v>97000</v>
      </c>
    </row>
    <row r="33" spans="1:65">
      <c r="A33" s="3395" t="s">
        <v>3777</v>
      </c>
      <c r="B33" s="3395" t="s">
        <v>3426</v>
      </c>
      <c r="C33" s="3395" t="s">
        <v>1465</v>
      </c>
      <c r="D33" s="3395" t="s">
        <v>3600</v>
      </c>
      <c r="E33" s="3395" t="s">
        <v>3601</v>
      </c>
      <c r="F33" s="3395" t="s">
        <v>3778</v>
      </c>
      <c r="G33" s="3395" t="s">
        <v>3778</v>
      </c>
      <c r="H33" s="3395" t="s">
        <v>3779</v>
      </c>
      <c r="I33" s="3395">
        <v>133625.32999999999</v>
      </c>
      <c r="J33" s="3395">
        <v>146200</v>
      </c>
      <c r="K33" s="3395" t="s">
        <v>3435</v>
      </c>
      <c r="L33" s="3395" t="s">
        <v>3435</v>
      </c>
      <c r="M33" s="3395">
        <v>0</v>
      </c>
      <c r="N33" s="3395">
        <v>0</v>
      </c>
      <c r="O33" s="3395" t="s">
        <v>3431</v>
      </c>
      <c r="P33" s="3395" t="s">
        <v>3780</v>
      </c>
      <c r="Q33" s="3395" t="s">
        <v>3545</v>
      </c>
      <c r="R33" s="3395" t="s">
        <v>3781</v>
      </c>
      <c r="S33" s="3395" t="s">
        <v>3782</v>
      </c>
      <c r="T33" s="3395">
        <v>1.0900000000000001</v>
      </c>
      <c r="U33" s="3395" t="s">
        <v>3435</v>
      </c>
      <c r="V33" s="3395" t="s">
        <v>3435</v>
      </c>
      <c r="W33" s="3395" t="s">
        <v>3783</v>
      </c>
      <c r="X33" s="3395" t="s">
        <v>3460</v>
      </c>
      <c r="Y33" s="3395" t="s">
        <v>3435</v>
      </c>
      <c r="Z33" s="3395" t="s">
        <v>3435</v>
      </c>
      <c r="AA33" s="3395" t="s">
        <v>3435</v>
      </c>
      <c r="AB33" s="3395" t="s">
        <v>3435</v>
      </c>
      <c r="AC33" s="3395" t="s">
        <v>3435</v>
      </c>
      <c r="AD33" s="3395" t="s">
        <v>3784</v>
      </c>
      <c r="AE33" s="3395" t="s">
        <v>3785</v>
      </c>
      <c r="AF33" s="3395" t="s">
        <v>3767</v>
      </c>
      <c r="AG33" s="3395" t="s">
        <v>3767</v>
      </c>
      <c r="AH33" s="3395" t="s">
        <v>3444</v>
      </c>
      <c r="AI33" s="3395" t="s">
        <v>3481</v>
      </c>
      <c r="AJ33" s="3395" t="s">
        <v>3786</v>
      </c>
      <c r="AK33" s="3395" t="s">
        <v>3612</v>
      </c>
      <c r="AL33" s="3395" t="s">
        <v>3448</v>
      </c>
      <c r="AM33" s="3395" t="s">
        <v>3484</v>
      </c>
      <c r="AN33" s="3395">
        <v>241000</v>
      </c>
      <c r="AO33" s="3395">
        <v>50000</v>
      </c>
      <c r="AP33" s="3395" t="s">
        <v>3787</v>
      </c>
      <c r="AQ33" s="3395">
        <v>241000</v>
      </c>
      <c r="AR33" s="3395">
        <v>18035.5</v>
      </c>
      <c r="AS33" s="3395">
        <v>18035.5</v>
      </c>
      <c r="AT33" s="3395">
        <v>1202.3699999999999</v>
      </c>
      <c r="AU33" s="3395">
        <v>1202.3699999999999</v>
      </c>
      <c r="AV33" s="3395">
        <v>16484</v>
      </c>
      <c r="AW33" s="3395">
        <v>16484</v>
      </c>
      <c r="AX33" s="3395" t="s">
        <v>3435</v>
      </c>
      <c r="AY33" s="3395" t="s">
        <v>3435</v>
      </c>
      <c r="AZ33" s="3395">
        <v>0</v>
      </c>
      <c r="BA33" s="3395">
        <v>253050</v>
      </c>
      <c r="BB33" s="3395" t="s">
        <v>3450</v>
      </c>
      <c r="BC33" s="3395">
        <v>42000</v>
      </c>
      <c r="BD33" s="3395">
        <v>42000</v>
      </c>
      <c r="BE33" s="3395">
        <v>17308</v>
      </c>
      <c r="BF33" s="3395">
        <v>5</v>
      </c>
      <c r="BG33" s="3395" t="s">
        <v>3435</v>
      </c>
      <c r="BH33" s="3395" t="s">
        <v>3788</v>
      </c>
      <c r="BI33" s="3395" t="s">
        <v>3789</v>
      </c>
      <c r="BJ33" s="3395" t="s">
        <v>3325</v>
      </c>
      <c r="BK33" s="3395" t="s">
        <v>3790</v>
      </c>
      <c r="BL33" s="3395" t="s">
        <v>3435</v>
      </c>
      <c r="BM33" s="3395" t="s">
        <v>3435</v>
      </c>
    </row>
    <row r="34" spans="1:65">
      <c r="A34" s="3395" t="s">
        <v>3791</v>
      </c>
      <c r="B34" s="3395" t="s">
        <v>3426</v>
      </c>
      <c r="C34" s="3395" t="s">
        <v>1465</v>
      </c>
      <c r="D34" s="3395" t="s">
        <v>3427</v>
      </c>
      <c r="E34" s="3395" t="s">
        <v>3489</v>
      </c>
      <c r="F34" s="3395" t="s">
        <v>3792</v>
      </c>
      <c r="G34" s="3395" t="s">
        <v>3792</v>
      </c>
      <c r="H34" s="3395" t="s">
        <v>3491</v>
      </c>
      <c r="I34" s="3395">
        <v>33463.35</v>
      </c>
      <c r="J34" s="3395">
        <v>57222.59</v>
      </c>
      <c r="K34" s="3395" t="s">
        <v>3435</v>
      </c>
      <c r="L34" s="3395" t="s">
        <v>3435</v>
      </c>
      <c r="M34" s="3395">
        <v>0</v>
      </c>
      <c r="N34" s="3395">
        <v>0</v>
      </c>
      <c r="O34" s="3395" t="s">
        <v>3431</v>
      </c>
      <c r="P34" s="3395" t="s">
        <v>3668</v>
      </c>
      <c r="Q34" s="3395" t="s">
        <v>3545</v>
      </c>
      <c r="R34" s="3395" t="s">
        <v>3433</v>
      </c>
      <c r="S34" s="3395" t="s">
        <v>3793</v>
      </c>
      <c r="T34" s="3395">
        <v>1.8</v>
      </c>
      <c r="U34" s="3395" t="s">
        <v>3435</v>
      </c>
      <c r="V34" s="3395" t="s">
        <v>3435</v>
      </c>
      <c r="W34" s="3395">
        <v>36</v>
      </c>
      <c r="X34" s="3395" t="s">
        <v>3460</v>
      </c>
      <c r="Y34" s="3395" t="s">
        <v>3435</v>
      </c>
      <c r="Z34" s="3395" t="s">
        <v>3461</v>
      </c>
      <c r="AA34" s="3395" t="s">
        <v>3435</v>
      </c>
      <c r="AB34" s="3395" t="s">
        <v>3435</v>
      </c>
      <c r="AC34" s="3395" t="s">
        <v>3435</v>
      </c>
      <c r="AD34" s="3395" t="s">
        <v>3794</v>
      </c>
      <c r="AE34" s="3395" t="s">
        <v>3784</v>
      </c>
      <c r="AF34" s="3395" t="s">
        <v>3785</v>
      </c>
      <c r="AG34" s="3395" t="s">
        <v>3785</v>
      </c>
      <c r="AH34" s="3395" t="s">
        <v>3444</v>
      </c>
      <c r="AI34" s="3395" t="s">
        <v>3445</v>
      </c>
      <c r="AJ34" s="3395" t="s">
        <v>3795</v>
      </c>
      <c r="AK34" s="3395" t="s">
        <v>3796</v>
      </c>
      <c r="AL34" s="3395" t="s">
        <v>3448</v>
      </c>
      <c r="AM34" s="3395" t="s">
        <v>3484</v>
      </c>
      <c r="AN34" s="3395">
        <v>129000</v>
      </c>
      <c r="AO34" s="3395">
        <v>26000</v>
      </c>
      <c r="AP34" s="3395" t="s">
        <v>3435</v>
      </c>
      <c r="AQ34" s="3395">
        <v>130400</v>
      </c>
      <c r="AR34" s="3395">
        <v>38549.629999999997</v>
      </c>
      <c r="AS34" s="3395">
        <v>38968</v>
      </c>
      <c r="AT34" s="3395">
        <v>2569.98</v>
      </c>
      <c r="AU34" s="3395">
        <v>2597.87</v>
      </c>
      <c r="AV34" s="3395">
        <v>22544</v>
      </c>
      <c r="AW34" s="3395">
        <v>22788</v>
      </c>
      <c r="AX34" s="3395" t="s">
        <v>3435</v>
      </c>
      <c r="AY34" s="3395" t="s">
        <v>3435</v>
      </c>
      <c r="AZ34" s="3395">
        <v>1.0900000000000001</v>
      </c>
      <c r="BA34" s="3395">
        <v>148350</v>
      </c>
      <c r="BB34" s="3395" t="s">
        <v>3450</v>
      </c>
      <c r="BC34" s="3395">
        <v>47000</v>
      </c>
      <c r="BD34" s="3395">
        <v>47000</v>
      </c>
      <c r="BE34" s="3395">
        <v>25925</v>
      </c>
      <c r="BF34" s="3395">
        <v>15</v>
      </c>
      <c r="BG34" s="3395">
        <v>23039</v>
      </c>
      <c r="BH34" s="3395" t="s">
        <v>3504</v>
      </c>
      <c r="BI34" s="3395" t="s">
        <v>3797</v>
      </c>
      <c r="BJ34" s="3395" t="s">
        <v>3325</v>
      </c>
      <c r="BK34" s="3395" t="s">
        <v>3491</v>
      </c>
      <c r="BL34" s="3395" t="s">
        <v>3435</v>
      </c>
      <c r="BM34" s="3395" t="s">
        <v>3435</v>
      </c>
    </row>
    <row r="35" spans="1:65">
      <c r="A35" s="3395" t="s">
        <v>3798</v>
      </c>
      <c r="B35" s="3395" t="s">
        <v>3426</v>
      </c>
      <c r="C35" s="3395" t="s">
        <v>1465</v>
      </c>
      <c r="D35" s="3395" t="s">
        <v>3799</v>
      </c>
      <c r="E35" s="3395" t="s">
        <v>3800</v>
      </c>
      <c r="F35" s="3395" t="s">
        <v>3801</v>
      </c>
      <c r="G35" s="3395" t="s">
        <v>3801</v>
      </c>
      <c r="H35" s="3395" t="s">
        <v>3802</v>
      </c>
      <c r="I35" s="3395">
        <v>30880.23</v>
      </c>
      <c r="J35" s="3395">
        <v>55584.41</v>
      </c>
      <c r="K35" s="3395" t="s">
        <v>3435</v>
      </c>
      <c r="L35" s="3395" t="s">
        <v>3435</v>
      </c>
      <c r="M35" s="3395">
        <v>0</v>
      </c>
      <c r="N35" s="3395">
        <v>0</v>
      </c>
      <c r="O35" s="3395" t="s">
        <v>3431</v>
      </c>
      <c r="P35" s="3395" t="s">
        <v>3668</v>
      </c>
      <c r="Q35" s="3395" t="s">
        <v>3545</v>
      </c>
      <c r="R35" s="3395" t="s">
        <v>3433</v>
      </c>
      <c r="S35" s="3395" t="s">
        <v>3803</v>
      </c>
      <c r="T35" s="3395">
        <v>1.8</v>
      </c>
      <c r="U35" s="3395" t="s">
        <v>3435</v>
      </c>
      <c r="V35" s="3395" t="s">
        <v>3435</v>
      </c>
      <c r="W35" s="3395" t="s">
        <v>3476</v>
      </c>
      <c r="X35" s="3395" t="s">
        <v>3460</v>
      </c>
      <c r="Y35" s="3395" t="s">
        <v>3435</v>
      </c>
      <c r="Z35" s="3395" t="s">
        <v>3461</v>
      </c>
      <c r="AA35" s="3395" t="s">
        <v>3435</v>
      </c>
      <c r="AB35" s="3395" t="s">
        <v>3435</v>
      </c>
      <c r="AC35" s="3395" t="s">
        <v>3435</v>
      </c>
      <c r="AD35" s="3395" t="s">
        <v>3804</v>
      </c>
      <c r="AE35" s="3395" t="s">
        <v>3805</v>
      </c>
      <c r="AF35" s="3395" t="s">
        <v>3806</v>
      </c>
      <c r="AG35" s="3395" t="s">
        <v>3806</v>
      </c>
      <c r="AH35" s="3395" t="s">
        <v>3444</v>
      </c>
      <c r="AI35" s="3395" t="s">
        <v>3445</v>
      </c>
      <c r="AJ35" s="3395" t="s">
        <v>3625</v>
      </c>
      <c r="AK35" s="3395" t="s">
        <v>3483</v>
      </c>
      <c r="AL35" s="3395" t="s">
        <v>3448</v>
      </c>
      <c r="AM35" s="3395" t="s">
        <v>3484</v>
      </c>
      <c r="AN35" s="3395">
        <v>49000</v>
      </c>
      <c r="AO35" s="3395">
        <v>10000</v>
      </c>
      <c r="AP35" s="3395" t="s">
        <v>3807</v>
      </c>
      <c r="AQ35" s="3395">
        <v>49000</v>
      </c>
      <c r="AR35" s="3395">
        <v>15867.75</v>
      </c>
      <c r="AS35" s="3395">
        <v>15867.75</v>
      </c>
      <c r="AT35" s="3395">
        <v>1057.8499999999999</v>
      </c>
      <c r="AU35" s="3395">
        <v>1057.8499999999999</v>
      </c>
      <c r="AV35" s="3395">
        <v>8815</v>
      </c>
      <c r="AW35" s="3395">
        <v>8815</v>
      </c>
      <c r="AX35" s="3395" t="s">
        <v>3435</v>
      </c>
      <c r="AY35" s="3395" t="s">
        <v>3435</v>
      </c>
      <c r="AZ35" s="3395">
        <v>0</v>
      </c>
      <c r="BA35" s="3395">
        <v>56350</v>
      </c>
      <c r="BB35" s="3395" t="s">
        <v>3450</v>
      </c>
      <c r="BC35" s="3395">
        <v>31000</v>
      </c>
      <c r="BD35" s="3395">
        <v>31000</v>
      </c>
      <c r="BE35" s="3395">
        <v>10138</v>
      </c>
      <c r="BF35" s="3395">
        <v>15</v>
      </c>
      <c r="BG35" s="3395">
        <v>22184</v>
      </c>
      <c r="BH35" s="3395" t="s">
        <v>3486</v>
      </c>
      <c r="BI35" s="3395" t="s">
        <v>3808</v>
      </c>
      <c r="BJ35" s="3395" t="s">
        <v>3325</v>
      </c>
      <c r="BK35" s="3395" t="s">
        <v>3809</v>
      </c>
      <c r="BL35" s="3396">
        <v>45240.000497685185</v>
      </c>
      <c r="BM35" s="3395">
        <v>49000</v>
      </c>
    </row>
    <row r="36" spans="1:65">
      <c r="A36" s="3395" t="s">
        <v>3810</v>
      </c>
      <c r="B36" s="3395" t="s">
        <v>3426</v>
      </c>
      <c r="C36" s="3395" t="s">
        <v>1465</v>
      </c>
      <c r="D36" s="3395" t="s">
        <v>3540</v>
      </c>
      <c r="E36" s="3395" t="s">
        <v>3707</v>
      </c>
      <c r="F36" s="3395" t="s">
        <v>3811</v>
      </c>
      <c r="G36" s="3395" t="s">
        <v>3811</v>
      </c>
      <c r="H36" s="3395" t="s">
        <v>3812</v>
      </c>
      <c r="I36" s="3395">
        <v>46884.93</v>
      </c>
      <c r="J36" s="3395">
        <v>89859.67</v>
      </c>
      <c r="K36" s="3395" t="s">
        <v>3435</v>
      </c>
      <c r="L36" s="3395" t="s">
        <v>3435</v>
      </c>
      <c r="M36" s="3395">
        <v>0</v>
      </c>
      <c r="N36" s="3395">
        <v>0</v>
      </c>
      <c r="O36" s="3395" t="s">
        <v>3492</v>
      </c>
      <c r="P36" s="3395" t="s">
        <v>3494</v>
      </c>
      <c r="Q36" s="3395" t="s">
        <v>3494</v>
      </c>
      <c r="R36" s="3395" t="s">
        <v>3813</v>
      </c>
      <c r="S36" s="3395" t="s">
        <v>3814</v>
      </c>
      <c r="T36" s="3395">
        <v>2.1</v>
      </c>
      <c r="U36" s="3395" t="s">
        <v>3435</v>
      </c>
      <c r="V36" s="3395" t="s">
        <v>3435</v>
      </c>
      <c r="W36" s="3395" t="s">
        <v>3435</v>
      </c>
      <c r="X36" s="3395" t="s">
        <v>3460</v>
      </c>
      <c r="Y36" s="3395" t="s">
        <v>3435</v>
      </c>
      <c r="Z36" s="3395" t="s">
        <v>3461</v>
      </c>
      <c r="AA36" s="3395" t="s">
        <v>3435</v>
      </c>
      <c r="AB36" s="3395" t="s">
        <v>3435</v>
      </c>
      <c r="AC36" s="3395" t="s">
        <v>3435</v>
      </c>
      <c r="AD36" s="3395" t="s">
        <v>3804</v>
      </c>
      <c r="AE36" s="3395" t="s">
        <v>3805</v>
      </c>
      <c r="AF36" s="3395" t="s">
        <v>3806</v>
      </c>
      <c r="AG36" s="3395" t="s">
        <v>3806</v>
      </c>
      <c r="AH36" s="3395" t="s">
        <v>3444</v>
      </c>
      <c r="AI36" s="3395" t="s">
        <v>3445</v>
      </c>
      <c r="AJ36" s="3395" t="s">
        <v>3815</v>
      </c>
      <c r="AK36" s="3395" t="s">
        <v>3815</v>
      </c>
      <c r="AL36" s="3395" t="s">
        <v>3536</v>
      </c>
      <c r="AM36" s="3395" t="s">
        <v>3435</v>
      </c>
      <c r="AN36" s="3395">
        <v>137000</v>
      </c>
      <c r="AO36" s="3395">
        <v>28000</v>
      </c>
      <c r="AP36" s="3395" t="s">
        <v>3807</v>
      </c>
      <c r="AQ36" s="3395">
        <v>151000</v>
      </c>
      <c r="AR36" s="3395">
        <v>29220.47</v>
      </c>
      <c r="AS36" s="3395">
        <v>32206.51</v>
      </c>
      <c r="AT36" s="3395">
        <v>1948.03</v>
      </c>
      <c r="AU36" s="3395">
        <v>2147.1</v>
      </c>
      <c r="AV36" s="3395">
        <v>15246</v>
      </c>
      <c r="AW36" s="3395">
        <v>16804</v>
      </c>
      <c r="AX36" s="3395" t="s">
        <v>3435</v>
      </c>
      <c r="AY36" s="3395" t="s">
        <v>3435</v>
      </c>
      <c r="AZ36" s="3395">
        <v>10.220000000000001</v>
      </c>
      <c r="BA36" s="3395">
        <v>157550</v>
      </c>
      <c r="BB36" s="3395" t="s">
        <v>3450</v>
      </c>
      <c r="BC36" s="3395">
        <v>45000</v>
      </c>
      <c r="BD36" s="3395">
        <v>45000</v>
      </c>
      <c r="BE36" s="3395">
        <v>17533</v>
      </c>
      <c r="BF36" s="3395">
        <v>15</v>
      </c>
      <c r="BG36" s="3395">
        <v>27523</v>
      </c>
      <c r="BH36" s="3395" t="s">
        <v>3504</v>
      </c>
      <c r="BI36" s="3395" t="s">
        <v>3816</v>
      </c>
      <c r="BJ36" s="3395" t="s">
        <v>3325</v>
      </c>
      <c r="BK36" s="3395" t="s">
        <v>3555</v>
      </c>
      <c r="BL36" s="3396">
        <v>45240.000497685185</v>
      </c>
      <c r="BM36" s="3395">
        <v>151000</v>
      </c>
    </row>
    <row r="37" spans="1:65" s="3398" customFormat="1">
      <c r="A37" s="3398" t="s">
        <v>3817</v>
      </c>
      <c r="B37" s="3398" t="s">
        <v>3426</v>
      </c>
      <c r="C37" s="3398" t="s">
        <v>1465</v>
      </c>
      <c r="D37" s="3398" t="s">
        <v>3540</v>
      </c>
      <c r="E37" s="3398" t="s">
        <v>3818</v>
      </c>
      <c r="F37" s="3398" t="s">
        <v>3819</v>
      </c>
      <c r="G37" s="3398" t="s">
        <v>3819</v>
      </c>
      <c r="H37" s="3398" t="s">
        <v>3820</v>
      </c>
      <c r="I37" s="3398">
        <v>69837.09</v>
      </c>
      <c r="J37" s="3398">
        <v>104756</v>
      </c>
      <c r="K37" s="3398" t="s">
        <v>3435</v>
      </c>
      <c r="L37" s="3398" t="s">
        <v>3435</v>
      </c>
      <c r="M37" s="3398">
        <v>0</v>
      </c>
      <c r="N37" s="3398">
        <v>0</v>
      </c>
      <c r="O37" s="3398" t="s">
        <v>3431</v>
      </c>
      <c r="P37" s="3398" t="s">
        <v>3668</v>
      </c>
      <c r="Q37" s="3398" t="s">
        <v>3545</v>
      </c>
      <c r="R37" s="3398" t="s">
        <v>3433</v>
      </c>
      <c r="S37" s="3398" t="s">
        <v>3821</v>
      </c>
      <c r="T37" s="3398">
        <v>1.5</v>
      </c>
      <c r="U37" s="3398" t="s">
        <v>3435</v>
      </c>
      <c r="V37" s="3398">
        <v>0.3</v>
      </c>
      <c r="W37" s="3398">
        <v>24</v>
      </c>
      <c r="X37" s="3398" t="s">
        <v>3460</v>
      </c>
      <c r="Y37" s="3398" t="s">
        <v>3435</v>
      </c>
      <c r="Z37" s="3398" t="s">
        <v>3461</v>
      </c>
      <c r="AA37" s="3398" t="s">
        <v>3435</v>
      </c>
      <c r="AB37" s="3398" t="s">
        <v>3435</v>
      </c>
      <c r="AC37" s="3398" t="s">
        <v>3435</v>
      </c>
      <c r="AD37" s="3398" t="s">
        <v>3822</v>
      </c>
      <c r="AE37" s="3398" t="s">
        <v>3823</v>
      </c>
      <c r="AF37" s="3398" t="s">
        <v>3824</v>
      </c>
      <c r="AG37" s="3398" t="s">
        <v>3824</v>
      </c>
      <c r="AH37" s="3398" t="s">
        <v>3444</v>
      </c>
      <c r="AI37" s="3398" t="s">
        <v>3481</v>
      </c>
      <c r="AJ37" s="3398" t="s">
        <v>3825</v>
      </c>
      <c r="AK37" s="3398" t="s">
        <v>3825</v>
      </c>
      <c r="AL37" s="3398" t="s">
        <v>3536</v>
      </c>
      <c r="AM37" s="3398" t="s">
        <v>3435</v>
      </c>
      <c r="AN37" s="3398">
        <v>120000</v>
      </c>
      <c r="AO37" s="3398">
        <v>24000</v>
      </c>
      <c r="AP37" s="3398" t="s">
        <v>3435</v>
      </c>
      <c r="AQ37" s="3398">
        <v>120000</v>
      </c>
      <c r="AR37" s="3398">
        <v>17182.84</v>
      </c>
      <c r="AS37" s="3398">
        <v>17182.84</v>
      </c>
      <c r="AT37" s="3398">
        <v>1145.52</v>
      </c>
      <c r="AU37" s="3398">
        <v>1145.52</v>
      </c>
      <c r="AV37" s="3398">
        <v>11455</v>
      </c>
      <c r="AW37" s="3398">
        <v>11455</v>
      </c>
      <c r="AX37" s="3398" t="s">
        <v>3435</v>
      </c>
      <c r="AY37" s="3398" t="s">
        <v>3435</v>
      </c>
      <c r="AZ37" s="3398">
        <v>0</v>
      </c>
      <c r="BA37" s="3398">
        <v>138000</v>
      </c>
      <c r="BB37" s="3398" t="s">
        <v>3450</v>
      </c>
      <c r="BC37" s="3398">
        <v>37000</v>
      </c>
      <c r="BD37" s="3398">
        <v>37000</v>
      </c>
      <c r="BE37" s="3398">
        <v>13173</v>
      </c>
      <c r="BF37" s="3398">
        <v>15</v>
      </c>
      <c r="BG37" s="3398">
        <v>25544</v>
      </c>
      <c r="BH37" s="3398" t="s">
        <v>3486</v>
      </c>
      <c r="BI37" s="3398" t="s">
        <v>3826</v>
      </c>
      <c r="BJ37" s="3398" t="s">
        <v>3325</v>
      </c>
      <c r="BK37" s="3398" t="s">
        <v>3820</v>
      </c>
      <c r="BL37" s="3398" t="s">
        <v>3435</v>
      </c>
      <c r="BM37" s="3398" t="s">
        <v>3435</v>
      </c>
    </row>
    <row r="38" spans="1:65">
      <c r="A38" s="3395" t="s">
        <v>3827</v>
      </c>
      <c r="B38" s="3395" t="s">
        <v>3426</v>
      </c>
      <c r="C38" s="3395" t="s">
        <v>1465</v>
      </c>
      <c r="D38" s="3395" t="s">
        <v>3471</v>
      </c>
      <c r="E38" s="3395" t="s">
        <v>3472</v>
      </c>
      <c r="F38" s="3395" t="s">
        <v>3828</v>
      </c>
      <c r="G38" s="3395" t="s">
        <v>3828</v>
      </c>
      <c r="H38" s="3395" t="s">
        <v>3829</v>
      </c>
      <c r="I38" s="3395">
        <v>25569.01</v>
      </c>
      <c r="J38" s="3395">
        <v>40910.42</v>
      </c>
      <c r="K38" s="3395" t="s">
        <v>3435</v>
      </c>
      <c r="L38" s="3395" t="s">
        <v>3435</v>
      </c>
      <c r="M38" s="3395">
        <v>0</v>
      </c>
      <c r="N38" s="3395">
        <v>0</v>
      </c>
      <c r="O38" s="3395" t="s">
        <v>3431</v>
      </c>
      <c r="P38" s="3395" t="s">
        <v>3668</v>
      </c>
      <c r="Q38" s="3395" t="s">
        <v>3545</v>
      </c>
      <c r="R38" s="3395" t="s">
        <v>3433</v>
      </c>
      <c r="S38" s="3395" t="s">
        <v>3475</v>
      </c>
      <c r="T38" s="3395">
        <v>1.6</v>
      </c>
      <c r="U38" s="3395" t="s">
        <v>3435</v>
      </c>
      <c r="V38" s="3395" t="s">
        <v>3435</v>
      </c>
      <c r="W38" s="3395">
        <v>24</v>
      </c>
      <c r="X38" s="3395" t="s">
        <v>3460</v>
      </c>
      <c r="Y38" s="3395" t="s">
        <v>3435</v>
      </c>
      <c r="Z38" s="3395" t="s">
        <v>3461</v>
      </c>
      <c r="AA38" s="3395" t="s">
        <v>3439</v>
      </c>
      <c r="AB38" s="3395" t="s">
        <v>3435</v>
      </c>
      <c r="AC38" s="3395" t="s">
        <v>3435</v>
      </c>
      <c r="AD38" s="3395" t="s">
        <v>3830</v>
      </c>
      <c r="AE38" s="3395" t="s">
        <v>3831</v>
      </c>
      <c r="AF38" s="3395" t="s">
        <v>3832</v>
      </c>
      <c r="AG38" s="3395" t="s">
        <v>3832</v>
      </c>
      <c r="AH38" s="3395" t="s">
        <v>3444</v>
      </c>
      <c r="AI38" s="3395" t="s">
        <v>3481</v>
      </c>
      <c r="AJ38" s="3395" t="s">
        <v>3482</v>
      </c>
      <c r="AK38" s="3395" t="s">
        <v>3483</v>
      </c>
      <c r="AL38" s="3395" t="s">
        <v>3448</v>
      </c>
      <c r="AM38" s="3395" t="s">
        <v>3484</v>
      </c>
      <c r="AN38" s="3395">
        <v>52000</v>
      </c>
      <c r="AO38" s="3395">
        <v>11000</v>
      </c>
      <c r="AP38" s="3395" t="s">
        <v>3833</v>
      </c>
      <c r="AQ38" s="3395">
        <v>52000</v>
      </c>
      <c r="AR38" s="3395">
        <v>20337.12</v>
      </c>
      <c r="AS38" s="3395">
        <v>20337.12</v>
      </c>
      <c r="AT38" s="3395">
        <v>1355.81</v>
      </c>
      <c r="AU38" s="3395">
        <v>1355.81</v>
      </c>
      <c r="AV38" s="3395">
        <v>12711</v>
      </c>
      <c r="AW38" s="3395">
        <v>12711</v>
      </c>
      <c r="AX38" s="3395" t="s">
        <v>3435</v>
      </c>
      <c r="AY38" s="3395" t="s">
        <v>3435</v>
      </c>
      <c r="AZ38" s="3395">
        <v>0</v>
      </c>
      <c r="BA38" s="3395">
        <v>59800</v>
      </c>
      <c r="BB38" s="3395" t="s">
        <v>3450</v>
      </c>
      <c r="BC38" s="3395">
        <v>30000</v>
      </c>
      <c r="BD38" s="3395">
        <v>30000</v>
      </c>
      <c r="BE38" s="3395">
        <v>14617</v>
      </c>
      <c r="BF38" s="3395">
        <v>15</v>
      </c>
      <c r="BG38" s="3395">
        <v>17289</v>
      </c>
      <c r="BH38" s="3395" t="s">
        <v>3486</v>
      </c>
      <c r="BI38" s="3395" t="s">
        <v>3834</v>
      </c>
      <c r="BJ38" s="3395" t="s">
        <v>3325</v>
      </c>
      <c r="BK38" s="3395" t="s">
        <v>3474</v>
      </c>
      <c r="BL38" s="3395" t="s">
        <v>3435</v>
      </c>
      <c r="BM38" s="3395" t="s">
        <v>3435</v>
      </c>
    </row>
    <row r="39" spans="1:65">
      <c r="A39" s="3395" t="s">
        <v>3835</v>
      </c>
      <c r="B39" s="3395" t="s">
        <v>3426</v>
      </c>
      <c r="C39" s="3395" t="s">
        <v>1465</v>
      </c>
      <c r="D39" s="3395" t="s">
        <v>3427</v>
      </c>
      <c r="E39" s="3395" t="s">
        <v>3836</v>
      </c>
      <c r="F39" s="3395" t="s">
        <v>3837</v>
      </c>
      <c r="G39" s="3395" t="s">
        <v>3837</v>
      </c>
      <c r="H39" s="3395" t="s">
        <v>3838</v>
      </c>
      <c r="I39" s="3395">
        <v>42365.62</v>
      </c>
      <c r="J39" s="3395">
        <v>78552.52</v>
      </c>
      <c r="K39" s="3395" t="s">
        <v>3435</v>
      </c>
      <c r="L39" s="3395" t="s">
        <v>3435</v>
      </c>
      <c r="M39" s="3395">
        <v>0</v>
      </c>
      <c r="N39" s="3395">
        <v>0</v>
      </c>
      <c r="O39" s="3395" t="s">
        <v>3492</v>
      </c>
      <c r="P39" s="3395" t="s">
        <v>3493</v>
      </c>
      <c r="Q39" s="3395" t="s">
        <v>3511</v>
      </c>
      <c r="R39" s="3395" t="s">
        <v>3839</v>
      </c>
      <c r="S39" s="3395" t="s">
        <v>3840</v>
      </c>
      <c r="T39" s="3395">
        <v>2</v>
      </c>
      <c r="U39" s="3395" t="s">
        <v>3435</v>
      </c>
      <c r="V39" s="3395" t="s">
        <v>3435</v>
      </c>
      <c r="W39" s="3395" t="s">
        <v>3841</v>
      </c>
      <c r="X39" s="3395" t="s">
        <v>3460</v>
      </c>
      <c r="Y39" s="3395" t="s">
        <v>3435</v>
      </c>
      <c r="Z39" s="3395" t="s">
        <v>3461</v>
      </c>
      <c r="AA39" s="3395" t="s">
        <v>3439</v>
      </c>
      <c r="AB39" s="3395" t="s">
        <v>3435</v>
      </c>
      <c r="AC39" s="3395" t="s">
        <v>3435</v>
      </c>
      <c r="AD39" s="3395" t="s">
        <v>3830</v>
      </c>
      <c r="AE39" s="3395" t="s">
        <v>3831</v>
      </c>
      <c r="AF39" s="3395" t="s">
        <v>3832</v>
      </c>
      <c r="AG39" s="3395" t="s">
        <v>3832</v>
      </c>
      <c r="AH39" s="3395" t="s">
        <v>3444</v>
      </c>
      <c r="AI39" s="3395" t="s">
        <v>3481</v>
      </c>
      <c r="AJ39" s="3395" t="s">
        <v>3842</v>
      </c>
      <c r="AK39" s="3395" t="s">
        <v>3843</v>
      </c>
      <c r="AL39" s="3395" t="s">
        <v>3844</v>
      </c>
      <c r="AM39" s="3395" t="s">
        <v>3435</v>
      </c>
      <c r="AN39" s="3395">
        <v>249000</v>
      </c>
      <c r="AO39" s="3395">
        <v>50000</v>
      </c>
      <c r="AP39" s="3395" t="s">
        <v>3833</v>
      </c>
      <c r="AQ39" s="3395">
        <v>274000</v>
      </c>
      <c r="AR39" s="3395">
        <v>58774.07</v>
      </c>
      <c r="AS39" s="3395">
        <v>64675.08</v>
      </c>
      <c r="AT39" s="3395">
        <v>3918.27</v>
      </c>
      <c r="AU39" s="3395">
        <v>4311.67</v>
      </c>
      <c r="AV39" s="3395">
        <v>31699</v>
      </c>
      <c r="AW39" s="3395">
        <v>34881</v>
      </c>
      <c r="AX39" s="3395" t="s">
        <v>3435</v>
      </c>
      <c r="AY39" s="3395" t="s">
        <v>3435</v>
      </c>
      <c r="AZ39" s="3395">
        <v>10.039999999999999</v>
      </c>
      <c r="BA39" s="3395">
        <v>286350</v>
      </c>
      <c r="BB39" s="3395" t="s">
        <v>3450</v>
      </c>
      <c r="BC39" s="3395">
        <v>65000</v>
      </c>
      <c r="BD39" s="3395">
        <v>65000</v>
      </c>
      <c r="BE39" s="3395">
        <v>36453</v>
      </c>
      <c r="BF39" s="3395">
        <v>15</v>
      </c>
      <c r="BG39" s="3395">
        <v>28188</v>
      </c>
      <c r="BH39" s="3395" t="s">
        <v>3521</v>
      </c>
      <c r="BI39" s="3395" t="s">
        <v>3845</v>
      </c>
      <c r="BJ39" s="3395" t="s">
        <v>3325</v>
      </c>
      <c r="BK39" s="3395" t="s">
        <v>3846</v>
      </c>
      <c r="BL39" s="3396">
        <v>45183.000497685185</v>
      </c>
      <c r="BM39" s="3395">
        <v>137000</v>
      </c>
    </row>
    <row r="40" spans="1:65">
      <c r="A40" s="3395" t="s">
        <v>3847</v>
      </c>
      <c r="B40" s="3395" t="s">
        <v>3426</v>
      </c>
      <c r="C40" s="3395" t="s">
        <v>1465</v>
      </c>
      <c r="D40" s="3395" t="s">
        <v>3507</v>
      </c>
      <c r="E40" s="3395" t="s">
        <v>3848</v>
      </c>
      <c r="F40" s="3395" t="s">
        <v>3849</v>
      </c>
      <c r="G40" s="3395" t="s">
        <v>3849</v>
      </c>
      <c r="H40" s="3395" t="s">
        <v>3571</v>
      </c>
      <c r="I40" s="3395">
        <v>64837.47</v>
      </c>
      <c r="J40" s="3395">
        <v>124634.93</v>
      </c>
      <c r="K40" s="3395" t="s">
        <v>3435</v>
      </c>
      <c r="L40" s="3395" t="s">
        <v>3435</v>
      </c>
      <c r="M40" s="3395">
        <v>0</v>
      </c>
      <c r="N40" s="3395">
        <v>0</v>
      </c>
      <c r="O40" s="3395" t="s">
        <v>3492</v>
      </c>
      <c r="P40" s="3395" t="s">
        <v>3493</v>
      </c>
      <c r="Q40" s="3395" t="s">
        <v>3511</v>
      </c>
      <c r="R40" s="3395" t="s">
        <v>3839</v>
      </c>
      <c r="S40" s="3395" t="s">
        <v>3850</v>
      </c>
      <c r="T40" s="3395">
        <v>2</v>
      </c>
      <c r="U40" s="3395" t="s">
        <v>3435</v>
      </c>
      <c r="V40" s="3395">
        <v>0.3</v>
      </c>
      <c r="W40" s="3395" t="s">
        <v>3851</v>
      </c>
      <c r="X40" s="3395" t="s">
        <v>3460</v>
      </c>
      <c r="Y40" s="3395" t="s">
        <v>3435</v>
      </c>
      <c r="Z40" s="3395" t="s">
        <v>3461</v>
      </c>
      <c r="AA40" s="3395" t="s">
        <v>3852</v>
      </c>
      <c r="AB40" s="3395" t="s">
        <v>3435</v>
      </c>
      <c r="AC40" s="3395" t="s">
        <v>3435</v>
      </c>
      <c r="AD40" s="3395" t="s">
        <v>3853</v>
      </c>
      <c r="AE40" s="3395" t="s">
        <v>3854</v>
      </c>
      <c r="AF40" s="3395" t="s">
        <v>3855</v>
      </c>
      <c r="AG40" s="3395" t="s">
        <v>3855</v>
      </c>
      <c r="AH40" s="3395" t="s">
        <v>3444</v>
      </c>
      <c r="AI40" s="3395" t="s">
        <v>3481</v>
      </c>
      <c r="AJ40" s="3395" t="s">
        <v>3856</v>
      </c>
      <c r="AK40" s="3395" t="s">
        <v>3857</v>
      </c>
      <c r="AL40" s="3395" t="s">
        <v>3536</v>
      </c>
      <c r="AM40" s="3395" t="s">
        <v>3435</v>
      </c>
      <c r="AN40" s="3395">
        <v>332000</v>
      </c>
      <c r="AO40" s="3395">
        <v>67000</v>
      </c>
      <c r="AP40" s="3395" t="s">
        <v>3435</v>
      </c>
      <c r="AQ40" s="3395">
        <v>381800</v>
      </c>
      <c r="AR40" s="3395">
        <v>51204.959999999999</v>
      </c>
      <c r="AS40" s="3395">
        <v>58885.7</v>
      </c>
      <c r="AT40" s="3395">
        <v>3413.66</v>
      </c>
      <c r="AU40" s="3395">
        <v>3925.71</v>
      </c>
      <c r="AV40" s="3395">
        <v>26638</v>
      </c>
      <c r="AW40" s="3395">
        <v>30633</v>
      </c>
      <c r="AX40" s="3395" t="s">
        <v>3435</v>
      </c>
      <c r="AY40" s="3395" t="s">
        <v>3435</v>
      </c>
      <c r="AZ40" s="3395">
        <v>15</v>
      </c>
      <c r="BA40" s="3395">
        <v>381800</v>
      </c>
      <c r="BB40" s="3395" t="s">
        <v>3637</v>
      </c>
      <c r="BC40" s="3395">
        <v>59000</v>
      </c>
      <c r="BD40" s="3395">
        <v>59000</v>
      </c>
      <c r="BE40" s="3395">
        <v>30633</v>
      </c>
      <c r="BF40" s="3395">
        <v>15</v>
      </c>
      <c r="BG40" s="3395">
        <v>27517</v>
      </c>
      <c r="BH40" s="3395" t="s">
        <v>3521</v>
      </c>
      <c r="BI40" s="3395" t="s">
        <v>3858</v>
      </c>
      <c r="BJ40" s="3395" t="s">
        <v>3325</v>
      </c>
      <c r="BK40" s="3395" t="s">
        <v>3571</v>
      </c>
      <c r="BL40" s="3395" t="s">
        <v>3435</v>
      </c>
      <c r="BM40" s="3395" t="s">
        <v>3435</v>
      </c>
    </row>
    <row r="41" spans="1:65">
      <c r="A41" s="3395" t="s">
        <v>3859</v>
      </c>
      <c r="B41" s="3395" t="s">
        <v>3426</v>
      </c>
      <c r="C41" s="3395" t="s">
        <v>1465</v>
      </c>
      <c r="D41" s="3395" t="s">
        <v>3507</v>
      </c>
      <c r="E41" s="3395" t="s">
        <v>3557</v>
      </c>
      <c r="F41" s="3395" t="s">
        <v>3860</v>
      </c>
      <c r="G41" s="3395" t="s">
        <v>3860</v>
      </c>
      <c r="H41" s="3395" t="s">
        <v>3571</v>
      </c>
      <c r="I41" s="3395">
        <v>45954.22</v>
      </c>
      <c r="J41" s="3395">
        <v>91908.44</v>
      </c>
      <c r="K41" s="3395" t="s">
        <v>3435</v>
      </c>
      <c r="L41" s="3395" t="s">
        <v>3435</v>
      </c>
      <c r="M41" s="3395">
        <v>0</v>
      </c>
      <c r="N41" s="3395">
        <v>0</v>
      </c>
      <c r="O41" s="3395" t="s">
        <v>3431</v>
      </c>
      <c r="P41" s="3395" t="s">
        <v>3668</v>
      </c>
      <c r="Q41" s="3395" t="s">
        <v>3545</v>
      </c>
      <c r="R41" s="3395" t="s">
        <v>3433</v>
      </c>
      <c r="S41" s="3395" t="s">
        <v>3633</v>
      </c>
      <c r="T41" s="3395">
        <v>2</v>
      </c>
      <c r="U41" s="3395" t="s">
        <v>3435</v>
      </c>
      <c r="V41" s="3395">
        <v>0.3</v>
      </c>
      <c r="W41" s="3395" t="s">
        <v>3861</v>
      </c>
      <c r="X41" s="3395" t="s">
        <v>3460</v>
      </c>
      <c r="Y41" s="3395" t="s">
        <v>3435</v>
      </c>
      <c r="Z41" s="3395" t="s">
        <v>3461</v>
      </c>
      <c r="AA41" s="3395" t="s">
        <v>3852</v>
      </c>
      <c r="AB41" s="3395" t="s">
        <v>3435</v>
      </c>
      <c r="AC41" s="3395" t="s">
        <v>3435</v>
      </c>
      <c r="AD41" s="3395" t="s">
        <v>3853</v>
      </c>
      <c r="AE41" s="3395" t="s">
        <v>3854</v>
      </c>
      <c r="AF41" s="3395" t="s">
        <v>3855</v>
      </c>
      <c r="AG41" s="3395" t="s">
        <v>3855</v>
      </c>
      <c r="AH41" s="3395" t="s">
        <v>3444</v>
      </c>
      <c r="AI41" s="3395" t="s">
        <v>3481</v>
      </c>
      <c r="AJ41" s="3395" t="s">
        <v>3661</v>
      </c>
      <c r="AK41" s="3395" t="s">
        <v>3662</v>
      </c>
      <c r="AL41" s="3395" t="s">
        <v>3467</v>
      </c>
      <c r="AM41" s="3395" t="s">
        <v>3435</v>
      </c>
      <c r="AN41" s="3395">
        <v>250000</v>
      </c>
      <c r="AO41" s="3395">
        <v>50000</v>
      </c>
      <c r="AP41" s="3395" t="s">
        <v>3435</v>
      </c>
      <c r="AQ41" s="3395">
        <v>287500</v>
      </c>
      <c r="AR41" s="3395">
        <v>54401.97</v>
      </c>
      <c r="AS41" s="3395">
        <v>62562.26</v>
      </c>
      <c r="AT41" s="3395">
        <v>3626.8</v>
      </c>
      <c r="AU41" s="3395">
        <v>4170.82</v>
      </c>
      <c r="AV41" s="3395">
        <v>27201</v>
      </c>
      <c r="AW41" s="3395">
        <v>31281</v>
      </c>
      <c r="AX41" s="3395" t="s">
        <v>3435</v>
      </c>
      <c r="AY41" s="3395" t="s">
        <v>3435</v>
      </c>
      <c r="AZ41" s="3395">
        <v>15</v>
      </c>
      <c r="BA41" s="3395">
        <v>287500</v>
      </c>
      <c r="BB41" s="3395" t="s">
        <v>3637</v>
      </c>
      <c r="BC41" s="3395">
        <v>59000</v>
      </c>
      <c r="BD41" s="3395">
        <v>59000</v>
      </c>
      <c r="BE41" s="3395">
        <v>31281</v>
      </c>
      <c r="BF41" s="3395">
        <v>15</v>
      </c>
      <c r="BG41" s="3395">
        <v>27718</v>
      </c>
      <c r="BH41" s="3395" t="s">
        <v>3504</v>
      </c>
      <c r="BI41" s="3395" t="s">
        <v>3862</v>
      </c>
      <c r="BJ41" s="3395" t="s">
        <v>3325</v>
      </c>
      <c r="BK41" s="3395" t="s">
        <v>3863</v>
      </c>
      <c r="BL41" s="3395" t="s">
        <v>3435</v>
      </c>
      <c r="BM41" s="3395" t="s">
        <v>3435</v>
      </c>
    </row>
    <row r="42" spans="1:65">
      <c r="A42" s="3395" t="s">
        <v>3864</v>
      </c>
      <c r="B42" s="3395" t="s">
        <v>3426</v>
      </c>
      <c r="C42" s="3395" t="s">
        <v>1465</v>
      </c>
      <c r="D42" s="3395" t="s">
        <v>3507</v>
      </c>
      <c r="E42" s="3395" t="s">
        <v>3508</v>
      </c>
      <c r="F42" s="3395" t="s">
        <v>3865</v>
      </c>
      <c r="G42" s="3395" t="s">
        <v>3865</v>
      </c>
      <c r="H42" s="3395" t="s">
        <v>3866</v>
      </c>
      <c r="I42" s="3395">
        <v>57292.65</v>
      </c>
      <c r="J42" s="3395">
        <v>134221.63</v>
      </c>
      <c r="K42" s="3395" t="s">
        <v>3435</v>
      </c>
      <c r="L42" s="3395" t="s">
        <v>3435</v>
      </c>
      <c r="M42" s="3395">
        <v>0</v>
      </c>
      <c r="N42" s="3395">
        <v>0</v>
      </c>
      <c r="O42" s="3395" t="s">
        <v>3492</v>
      </c>
      <c r="P42" s="3395" t="s">
        <v>3493</v>
      </c>
      <c r="Q42" s="3395" t="s">
        <v>3494</v>
      </c>
      <c r="R42" s="3395" t="s">
        <v>3839</v>
      </c>
      <c r="S42" s="3395" t="s">
        <v>3867</v>
      </c>
      <c r="T42" s="3395">
        <v>2.5</v>
      </c>
      <c r="U42" s="3395" t="s">
        <v>3435</v>
      </c>
      <c r="V42" s="3395" t="s">
        <v>3435</v>
      </c>
      <c r="W42" s="3395" t="s">
        <v>3868</v>
      </c>
      <c r="X42" s="3395" t="s">
        <v>3460</v>
      </c>
      <c r="Y42" s="3395" t="s">
        <v>3435</v>
      </c>
      <c r="Z42" s="3395" t="s">
        <v>3461</v>
      </c>
      <c r="AA42" s="3395" t="s">
        <v>3438</v>
      </c>
      <c r="AB42" s="3395" t="s">
        <v>3435</v>
      </c>
      <c r="AC42" s="3395" t="s">
        <v>3435</v>
      </c>
      <c r="AD42" s="3395" t="s">
        <v>3869</v>
      </c>
      <c r="AE42" s="3395" t="s">
        <v>3870</v>
      </c>
      <c r="AF42" s="3395" t="s">
        <v>3871</v>
      </c>
      <c r="AG42" s="3395" t="s">
        <v>3871</v>
      </c>
      <c r="AH42" s="3395" t="s">
        <v>3444</v>
      </c>
      <c r="AI42" s="3395" t="s">
        <v>3481</v>
      </c>
      <c r="AJ42" s="3395" t="s">
        <v>3872</v>
      </c>
      <c r="AK42" s="3395" t="s">
        <v>3873</v>
      </c>
      <c r="AL42" s="3395" t="s">
        <v>3467</v>
      </c>
      <c r="AM42" s="3395" t="s">
        <v>3435</v>
      </c>
      <c r="AN42" s="3395">
        <v>470000</v>
      </c>
      <c r="AO42" s="3395">
        <v>94000</v>
      </c>
      <c r="AP42" s="3395" t="s">
        <v>3874</v>
      </c>
      <c r="AQ42" s="3395">
        <v>540500</v>
      </c>
      <c r="AR42" s="3395">
        <v>82034.95</v>
      </c>
      <c r="AS42" s="3395">
        <v>94340.19</v>
      </c>
      <c r="AT42" s="3395">
        <v>5469</v>
      </c>
      <c r="AU42" s="3395">
        <v>6289.35</v>
      </c>
      <c r="AV42" s="3395">
        <v>35017</v>
      </c>
      <c r="AW42" s="3395">
        <v>40269</v>
      </c>
      <c r="AX42" s="3395" t="s">
        <v>3435</v>
      </c>
      <c r="AY42" s="3395" t="s">
        <v>3435</v>
      </c>
      <c r="AZ42" s="3395">
        <v>15</v>
      </c>
      <c r="BA42" s="3395">
        <v>540500</v>
      </c>
      <c r="BB42" s="3395" t="s">
        <v>3637</v>
      </c>
      <c r="BC42" s="3395">
        <v>66000</v>
      </c>
      <c r="BD42" s="3395">
        <v>66000</v>
      </c>
      <c r="BE42" s="3395">
        <v>40269</v>
      </c>
      <c r="BF42" s="3395">
        <v>15</v>
      </c>
      <c r="BG42" s="3395">
        <v>24417</v>
      </c>
      <c r="BH42" s="3395" t="s">
        <v>3521</v>
      </c>
      <c r="BI42" s="3395" t="s">
        <v>3875</v>
      </c>
      <c r="BJ42" s="3395" t="s">
        <v>3325</v>
      </c>
      <c r="BK42" s="3395" t="s">
        <v>3510</v>
      </c>
      <c r="BL42" s="3396">
        <v>45161.000497685185</v>
      </c>
      <c r="BM42" s="3395">
        <v>540500</v>
      </c>
    </row>
    <row r="43" spans="1:65">
      <c r="A43" s="3395" t="s">
        <v>3876</v>
      </c>
      <c r="B43" s="3395" t="s">
        <v>3426</v>
      </c>
      <c r="C43" s="3395" t="s">
        <v>1465</v>
      </c>
      <c r="D43" s="3395" t="s">
        <v>3523</v>
      </c>
      <c r="E43" s="3395" t="s">
        <v>3666</v>
      </c>
      <c r="F43" s="3395" t="s">
        <v>3877</v>
      </c>
      <c r="G43" s="3395" t="s">
        <v>3877</v>
      </c>
      <c r="H43" s="3395" t="s">
        <v>3878</v>
      </c>
      <c r="I43" s="3395">
        <v>63203.19</v>
      </c>
      <c r="J43" s="3395">
        <v>107665.74</v>
      </c>
      <c r="K43" s="3395" t="s">
        <v>3435</v>
      </c>
      <c r="L43" s="3395" t="s">
        <v>3435</v>
      </c>
      <c r="M43" s="3395">
        <v>0</v>
      </c>
      <c r="N43" s="3395">
        <v>0</v>
      </c>
      <c r="O43" s="3395" t="s">
        <v>3492</v>
      </c>
      <c r="P43" s="3395" t="s">
        <v>3493</v>
      </c>
      <c r="Q43" s="3395" t="s">
        <v>3494</v>
      </c>
      <c r="R43" s="3395" t="s">
        <v>3839</v>
      </c>
      <c r="S43" s="3395" t="s">
        <v>3879</v>
      </c>
      <c r="T43" s="3395">
        <v>1.8</v>
      </c>
      <c r="U43" s="3395" t="s">
        <v>3435</v>
      </c>
      <c r="V43" s="3395">
        <v>0.3</v>
      </c>
      <c r="W43" s="3395" t="s">
        <v>3435</v>
      </c>
      <c r="X43" s="3395" t="s">
        <v>3460</v>
      </c>
      <c r="Y43" s="3395" t="s">
        <v>3435</v>
      </c>
      <c r="Z43" s="3395" t="s">
        <v>3461</v>
      </c>
      <c r="AA43" s="3395" t="s">
        <v>3477</v>
      </c>
      <c r="AB43" s="3395" t="s">
        <v>3435</v>
      </c>
      <c r="AC43" s="3395" t="s">
        <v>3435</v>
      </c>
      <c r="AD43" s="3395" t="s">
        <v>3869</v>
      </c>
      <c r="AE43" s="3395" t="s">
        <v>3870</v>
      </c>
      <c r="AF43" s="3395" t="s">
        <v>3871</v>
      </c>
      <c r="AG43" s="3395" t="s">
        <v>3871</v>
      </c>
      <c r="AH43" s="3395" t="s">
        <v>3444</v>
      </c>
      <c r="AI43" s="3395" t="s">
        <v>3481</v>
      </c>
      <c r="AJ43" s="3395" t="s">
        <v>3880</v>
      </c>
      <c r="AK43" s="3395" t="s">
        <v>3881</v>
      </c>
      <c r="AL43" s="3395" t="s">
        <v>3448</v>
      </c>
      <c r="AM43" s="3395" t="s">
        <v>3435</v>
      </c>
      <c r="AN43" s="3395">
        <v>227000</v>
      </c>
      <c r="AO43" s="3395">
        <v>46000</v>
      </c>
      <c r="AP43" s="3395" t="s">
        <v>3874</v>
      </c>
      <c r="AQ43" s="3395">
        <v>228200</v>
      </c>
      <c r="AR43" s="3395">
        <v>35915.910000000003</v>
      </c>
      <c r="AS43" s="3395">
        <v>36105.769999999997</v>
      </c>
      <c r="AT43" s="3395">
        <v>2394.39</v>
      </c>
      <c r="AU43" s="3395">
        <v>2407.0500000000002</v>
      </c>
      <c r="AV43" s="3395">
        <v>21084</v>
      </c>
      <c r="AW43" s="3395">
        <v>21195</v>
      </c>
      <c r="AX43" s="3395" t="s">
        <v>3435</v>
      </c>
      <c r="AY43" s="3395" t="s">
        <v>3435</v>
      </c>
      <c r="AZ43" s="3395">
        <v>0.53</v>
      </c>
      <c r="BA43" s="3395">
        <v>261050</v>
      </c>
      <c r="BB43" s="3395" t="s">
        <v>3450</v>
      </c>
      <c r="BC43" s="3395">
        <v>46000</v>
      </c>
      <c r="BD43" s="3395">
        <v>46000</v>
      </c>
      <c r="BE43" s="3395">
        <v>24246</v>
      </c>
      <c r="BF43" s="3395">
        <v>15</v>
      </c>
      <c r="BG43" s="3395">
        <v>22738</v>
      </c>
      <c r="BH43" s="3395" t="s">
        <v>3504</v>
      </c>
      <c r="BI43" s="3395" t="s">
        <v>3882</v>
      </c>
      <c r="BJ43" s="3395" t="s">
        <v>3325</v>
      </c>
      <c r="BK43" s="3395" t="s">
        <v>3588</v>
      </c>
      <c r="BL43" s="3396">
        <v>45161.000497685185</v>
      </c>
      <c r="BM43" s="3395">
        <v>228200</v>
      </c>
    </row>
    <row r="44" spans="1:65">
      <c r="A44" s="3395" t="s">
        <v>3883</v>
      </c>
      <c r="B44" s="3395" t="s">
        <v>3426</v>
      </c>
      <c r="C44" s="3395" t="s">
        <v>1465</v>
      </c>
      <c r="D44" s="3395" t="s">
        <v>3884</v>
      </c>
      <c r="E44" s="3395" t="s">
        <v>3885</v>
      </c>
      <c r="F44" s="3395" t="s">
        <v>3886</v>
      </c>
      <c r="G44" s="3395" t="s">
        <v>3886</v>
      </c>
      <c r="H44" s="3395" t="s">
        <v>3887</v>
      </c>
      <c r="I44" s="3395">
        <v>39059.79</v>
      </c>
      <c r="J44" s="3395">
        <v>46871.74</v>
      </c>
      <c r="K44" s="3395" t="s">
        <v>3435</v>
      </c>
      <c r="L44" s="3395" t="s">
        <v>3435</v>
      </c>
      <c r="M44" s="3395">
        <v>0</v>
      </c>
      <c r="N44" s="3395">
        <v>0</v>
      </c>
      <c r="O44" s="3395" t="s">
        <v>3431</v>
      </c>
      <c r="P44" s="3395" t="s">
        <v>3668</v>
      </c>
      <c r="Q44" s="3395" t="s">
        <v>3545</v>
      </c>
      <c r="R44" s="3395" t="s">
        <v>3433</v>
      </c>
      <c r="S44" s="3395" t="s">
        <v>3888</v>
      </c>
      <c r="T44" s="3395">
        <v>1.2</v>
      </c>
      <c r="U44" s="3395" t="s">
        <v>3435</v>
      </c>
      <c r="V44" s="3395" t="s">
        <v>3435</v>
      </c>
      <c r="W44" s="3395">
        <v>36</v>
      </c>
      <c r="X44" s="3395" t="s">
        <v>3460</v>
      </c>
      <c r="Y44" s="3395" t="s">
        <v>3435</v>
      </c>
      <c r="Z44" s="3395" t="s">
        <v>3461</v>
      </c>
      <c r="AA44" s="3395" t="s">
        <v>3477</v>
      </c>
      <c r="AB44" s="3395" t="s">
        <v>3435</v>
      </c>
      <c r="AC44" s="3395" t="s">
        <v>3435</v>
      </c>
      <c r="AD44" s="3395" t="s">
        <v>3889</v>
      </c>
      <c r="AE44" s="3395" t="s">
        <v>3890</v>
      </c>
      <c r="AF44" s="3395" t="s">
        <v>3853</v>
      </c>
      <c r="AG44" s="3395" t="s">
        <v>3853</v>
      </c>
      <c r="AH44" s="3395" t="s">
        <v>3444</v>
      </c>
      <c r="AI44" s="3395" t="s">
        <v>3481</v>
      </c>
      <c r="AJ44" s="3395" t="s">
        <v>3891</v>
      </c>
      <c r="AK44" s="3395" t="s">
        <v>3891</v>
      </c>
      <c r="AL44" s="3395" t="s">
        <v>3536</v>
      </c>
      <c r="AM44" s="3395" t="s">
        <v>3435</v>
      </c>
      <c r="AN44" s="3395">
        <v>49000</v>
      </c>
      <c r="AO44" s="3395">
        <v>10000</v>
      </c>
      <c r="AP44" s="3395" t="s">
        <v>3892</v>
      </c>
      <c r="AQ44" s="3395">
        <v>49000</v>
      </c>
      <c r="AR44" s="3395">
        <v>12544.87</v>
      </c>
      <c r="AS44" s="3395">
        <v>12544.87</v>
      </c>
      <c r="AT44" s="3395">
        <v>836.32</v>
      </c>
      <c r="AU44" s="3395">
        <v>836.32</v>
      </c>
      <c r="AV44" s="3395">
        <v>10454</v>
      </c>
      <c r="AW44" s="3395">
        <v>10454</v>
      </c>
      <c r="AX44" s="3395" t="s">
        <v>3435</v>
      </c>
      <c r="AY44" s="3395" t="s">
        <v>3435</v>
      </c>
      <c r="AZ44" s="3395">
        <v>0</v>
      </c>
      <c r="BA44" s="3395">
        <v>56350</v>
      </c>
      <c r="BB44" s="3395" t="s">
        <v>3450</v>
      </c>
      <c r="BC44" s="3395">
        <v>32000</v>
      </c>
      <c r="BD44" s="3395">
        <v>32000</v>
      </c>
      <c r="BE44" s="3395">
        <v>12022</v>
      </c>
      <c r="BF44" s="3395">
        <v>15</v>
      </c>
      <c r="BG44" s="3395">
        <v>21545</v>
      </c>
      <c r="BH44" s="3395" t="s">
        <v>3788</v>
      </c>
      <c r="BI44" s="3395" t="s">
        <v>3893</v>
      </c>
      <c r="BJ44" s="3395" t="s">
        <v>3325</v>
      </c>
      <c r="BK44" s="3395" t="s">
        <v>3894</v>
      </c>
      <c r="BL44" s="3396">
        <v>45136.000497685185</v>
      </c>
      <c r="BM44" s="3395">
        <v>49000</v>
      </c>
    </row>
    <row r="45" spans="1:65" s="3398" customFormat="1">
      <c r="A45" s="3398" t="s">
        <v>3895</v>
      </c>
      <c r="B45" s="3398" t="s">
        <v>3426</v>
      </c>
      <c r="C45" s="3398" t="s">
        <v>1465</v>
      </c>
      <c r="D45" s="3398" t="s">
        <v>3540</v>
      </c>
      <c r="E45" s="3398" t="s">
        <v>3896</v>
      </c>
      <c r="F45" s="3398" t="s">
        <v>3897</v>
      </c>
      <c r="G45" s="3398" t="s">
        <v>3897</v>
      </c>
      <c r="H45" s="3398" t="s">
        <v>3898</v>
      </c>
      <c r="I45" s="3398">
        <v>31558.240000000002</v>
      </c>
      <c r="J45" s="3398">
        <v>88363.07</v>
      </c>
      <c r="K45" s="3398" t="s">
        <v>3435</v>
      </c>
      <c r="L45" s="3398" t="s">
        <v>3435</v>
      </c>
      <c r="M45" s="3398">
        <v>0</v>
      </c>
      <c r="N45" s="3398">
        <v>0</v>
      </c>
      <c r="O45" s="3398" t="s">
        <v>3431</v>
      </c>
      <c r="P45" s="3398" t="s">
        <v>3668</v>
      </c>
      <c r="Q45" s="3398" t="s">
        <v>3545</v>
      </c>
      <c r="R45" s="3398" t="s">
        <v>3433</v>
      </c>
      <c r="S45" s="3398" t="s">
        <v>3899</v>
      </c>
      <c r="T45" s="3398">
        <v>2.8</v>
      </c>
      <c r="U45" s="3398" t="s">
        <v>3435</v>
      </c>
      <c r="V45" s="3398" t="s">
        <v>3435</v>
      </c>
      <c r="W45" s="3398">
        <v>60</v>
      </c>
      <c r="X45" s="3398" t="s">
        <v>3460</v>
      </c>
      <c r="Y45" s="3398" t="s">
        <v>3435</v>
      </c>
      <c r="Z45" s="3398" t="s">
        <v>3461</v>
      </c>
      <c r="AA45" s="3398" t="s">
        <v>3477</v>
      </c>
      <c r="AB45" s="3398" t="s">
        <v>3435</v>
      </c>
      <c r="AC45" s="3398" t="s">
        <v>3435</v>
      </c>
      <c r="AD45" s="3398" t="s">
        <v>3889</v>
      </c>
      <c r="AE45" s="3398" t="s">
        <v>3890</v>
      </c>
      <c r="AF45" s="3398" t="s">
        <v>3853</v>
      </c>
      <c r="AG45" s="3398" t="s">
        <v>3853</v>
      </c>
      <c r="AH45" s="3398" t="s">
        <v>3444</v>
      </c>
      <c r="AI45" s="3398" t="s">
        <v>3481</v>
      </c>
      <c r="AJ45" s="3398" t="s">
        <v>3635</v>
      </c>
      <c r="AK45" s="3398" t="s">
        <v>3552</v>
      </c>
      <c r="AL45" s="3398" t="s">
        <v>3448</v>
      </c>
      <c r="AM45" s="3398" t="s">
        <v>3484</v>
      </c>
      <c r="AN45" s="3398">
        <v>88100</v>
      </c>
      <c r="AO45" s="3398">
        <v>18000</v>
      </c>
      <c r="AP45" s="3398" t="s">
        <v>3892</v>
      </c>
      <c r="AQ45" s="3398">
        <v>88100</v>
      </c>
      <c r="AR45" s="3398">
        <v>27916.63</v>
      </c>
      <c r="AS45" s="3398">
        <v>27916.63</v>
      </c>
      <c r="AT45" s="3398">
        <v>1861.11</v>
      </c>
      <c r="AU45" s="3398">
        <v>1861.11</v>
      </c>
      <c r="AV45" s="3398">
        <v>9970</v>
      </c>
      <c r="AW45" s="3398">
        <v>9970</v>
      </c>
      <c r="AX45" s="3398" t="s">
        <v>3435</v>
      </c>
      <c r="AY45" s="3398" t="s">
        <v>3435</v>
      </c>
      <c r="AZ45" s="3398">
        <v>0</v>
      </c>
      <c r="BA45" s="3398">
        <v>101315</v>
      </c>
      <c r="BB45" s="3398" t="s">
        <v>3450</v>
      </c>
      <c r="BC45" s="3398">
        <v>27000</v>
      </c>
      <c r="BD45" s="3398">
        <v>27000</v>
      </c>
      <c r="BE45" s="3398">
        <v>11466</v>
      </c>
      <c r="BF45" s="3398">
        <v>15</v>
      </c>
      <c r="BG45" s="3398">
        <v>17029</v>
      </c>
      <c r="BH45" s="3398" t="s">
        <v>3788</v>
      </c>
      <c r="BI45" s="3398" t="s">
        <v>3900</v>
      </c>
      <c r="BJ45" s="3398" t="s">
        <v>3325</v>
      </c>
      <c r="BK45" s="3398" t="s">
        <v>3898</v>
      </c>
      <c r="BL45" s="3399">
        <v>45136.000497685185</v>
      </c>
      <c r="BM45" s="3398">
        <v>88100</v>
      </c>
    </row>
    <row r="46" spans="1:65">
      <c r="A46" s="3395" t="s">
        <v>3901</v>
      </c>
      <c r="B46" s="3395" t="s">
        <v>3426</v>
      </c>
      <c r="C46" s="3395" t="s">
        <v>1465</v>
      </c>
      <c r="D46" s="3395" t="s">
        <v>3507</v>
      </c>
      <c r="E46" s="3395" t="s">
        <v>3569</v>
      </c>
      <c r="F46" s="3395" t="s">
        <v>3902</v>
      </c>
      <c r="G46" s="3395" t="s">
        <v>3902</v>
      </c>
      <c r="H46" s="3395" t="s">
        <v>3571</v>
      </c>
      <c r="I46" s="3395">
        <v>27822.39</v>
      </c>
      <c r="J46" s="3395">
        <v>44515.82</v>
      </c>
      <c r="K46" s="3395" t="s">
        <v>3435</v>
      </c>
      <c r="L46" s="3395" t="s">
        <v>3435</v>
      </c>
      <c r="M46" s="3395">
        <v>0</v>
      </c>
      <c r="N46" s="3395">
        <v>0</v>
      </c>
      <c r="O46" s="3395" t="s">
        <v>3431</v>
      </c>
      <c r="P46" s="3395" t="s">
        <v>3432</v>
      </c>
      <c r="Q46" s="3395" t="s">
        <v>3432</v>
      </c>
      <c r="R46" s="3395" t="s">
        <v>3632</v>
      </c>
      <c r="S46" s="3395" t="s">
        <v>3475</v>
      </c>
      <c r="T46" s="3395">
        <v>1.6</v>
      </c>
      <c r="U46" s="3395" t="s">
        <v>3435</v>
      </c>
      <c r="V46" s="3395" t="s">
        <v>3903</v>
      </c>
      <c r="W46" s="3395">
        <v>45</v>
      </c>
      <c r="X46" s="3395" t="s">
        <v>3460</v>
      </c>
      <c r="Y46" s="3395" t="s">
        <v>3435</v>
      </c>
      <c r="Z46" s="3395" t="s">
        <v>3438</v>
      </c>
      <c r="AA46" s="3395" t="s">
        <v>3439</v>
      </c>
      <c r="AB46" s="3395" t="s">
        <v>3435</v>
      </c>
      <c r="AC46" s="3395" t="s">
        <v>3435</v>
      </c>
      <c r="AD46" s="3395" t="s">
        <v>3904</v>
      </c>
      <c r="AE46" s="3395" t="s">
        <v>3905</v>
      </c>
      <c r="AF46" s="3395" t="s">
        <v>3906</v>
      </c>
      <c r="AG46" s="3395" t="s">
        <v>3906</v>
      </c>
      <c r="AH46" s="3395" t="s">
        <v>3444</v>
      </c>
      <c r="AI46" s="3395" t="s">
        <v>3481</v>
      </c>
      <c r="AJ46" s="3395" t="s">
        <v>3907</v>
      </c>
      <c r="AK46" s="3395" t="s">
        <v>3908</v>
      </c>
      <c r="AL46" s="3395" t="s">
        <v>3909</v>
      </c>
      <c r="AM46" s="3395" t="s">
        <v>3582</v>
      </c>
      <c r="AN46" s="3395">
        <v>100000</v>
      </c>
      <c r="AO46" s="3395">
        <v>20000</v>
      </c>
      <c r="AP46" s="3395" t="s">
        <v>3435</v>
      </c>
      <c r="AQ46" s="3395">
        <v>100000</v>
      </c>
      <c r="AR46" s="3395">
        <v>35942.269999999997</v>
      </c>
      <c r="AS46" s="3395">
        <v>35942.269999999997</v>
      </c>
      <c r="AT46" s="3395">
        <v>2396.15</v>
      </c>
      <c r="AU46" s="3395">
        <v>2396.15</v>
      </c>
      <c r="AV46" s="3395">
        <v>22464</v>
      </c>
      <c r="AW46" s="3395">
        <v>22464</v>
      </c>
      <c r="AX46" s="3395" t="s">
        <v>3435</v>
      </c>
      <c r="AY46" s="3395" t="s">
        <v>3435</v>
      </c>
      <c r="AZ46" s="3395">
        <v>0</v>
      </c>
      <c r="BA46" s="3395">
        <v>115000</v>
      </c>
      <c r="BB46" s="3395" t="s">
        <v>3450</v>
      </c>
      <c r="BC46" s="3395">
        <v>50000</v>
      </c>
      <c r="BD46" s="3395">
        <v>50000</v>
      </c>
      <c r="BE46" s="3395">
        <v>25834</v>
      </c>
      <c r="BF46" s="3395">
        <v>15</v>
      </c>
      <c r="BG46" s="3395">
        <v>27151</v>
      </c>
      <c r="BH46" s="3395" t="s">
        <v>3554</v>
      </c>
      <c r="BI46" s="3395" t="s">
        <v>3910</v>
      </c>
      <c r="BJ46" s="3395" t="s">
        <v>3325</v>
      </c>
      <c r="BK46" s="3395" t="s">
        <v>3911</v>
      </c>
      <c r="BL46" s="3395" t="s">
        <v>3435</v>
      </c>
      <c r="BM46" s="3395" t="s">
        <v>3435</v>
      </c>
    </row>
    <row r="47" spans="1:65">
      <c r="A47" s="3395" t="s">
        <v>3912</v>
      </c>
      <c r="B47" s="3395" t="s">
        <v>3426</v>
      </c>
      <c r="C47" s="3395" t="s">
        <v>1465</v>
      </c>
      <c r="D47" s="3395" t="s">
        <v>3427</v>
      </c>
      <c r="E47" s="3395" t="s">
        <v>3913</v>
      </c>
      <c r="F47" s="3395" t="s">
        <v>3914</v>
      </c>
      <c r="G47" s="3395" t="s">
        <v>3914</v>
      </c>
      <c r="H47" s="3395" t="s">
        <v>3915</v>
      </c>
      <c r="I47" s="3395">
        <v>45880.63</v>
      </c>
      <c r="J47" s="3395">
        <v>100937.39</v>
      </c>
      <c r="K47" s="3395" t="s">
        <v>3435</v>
      </c>
      <c r="L47" s="3395" t="s">
        <v>3435</v>
      </c>
      <c r="M47" s="3395">
        <v>0</v>
      </c>
      <c r="N47" s="3395">
        <v>0</v>
      </c>
      <c r="O47" s="3395" t="s">
        <v>3431</v>
      </c>
      <c r="P47" s="3395" t="s">
        <v>3432</v>
      </c>
      <c r="Q47" s="3395" t="s">
        <v>3432</v>
      </c>
      <c r="R47" s="3395" t="s">
        <v>3632</v>
      </c>
      <c r="S47" s="3395" t="s">
        <v>3434</v>
      </c>
      <c r="T47" s="3395">
        <v>2.2000000000000002</v>
      </c>
      <c r="U47" s="3395" t="s">
        <v>3435</v>
      </c>
      <c r="V47" s="3395" t="s">
        <v>3435</v>
      </c>
      <c r="W47" s="3395" t="s">
        <v>3916</v>
      </c>
      <c r="X47" s="3395" t="s">
        <v>3460</v>
      </c>
      <c r="Y47" s="3395" t="s">
        <v>3435</v>
      </c>
      <c r="Z47" s="3395" t="s">
        <v>3438</v>
      </c>
      <c r="AA47" s="3395" t="s">
        <v>3439</v>
      </c>
      <c r="AB47" s="3395" t="s">
        <v>3435</v>
      </c>
      <c r="AC47" s="3395" t="s">
        <v>3435</v>
      </c>
      <c r="AD47" s="3395" t="s">
        <v>3904</v>
      </c>
      <c r="AE47" s="3395" t="s">
        <v>3905</v>
      </c>
      <c r="AF47" s="3395" t="s">
        <v>3906</v>
      </c>
      <c r="AG47" s="3395" t="s">
        <v>3906</v>
      </c>
      <c r="AH47" s="3395" t="s">
        <v>3444</v>
      </c>
      <c r="AI47" s="3395" t="s">
        <v>3481</v>
      </c>
      <c r="AJ47" s="3395" t="s">
        <v>3917</v>
      </c>
      <c r="AK47" s="3395" t="s">
        <v>3918</v>
      </c>
      <c r="AL47" s="3395" t="s">
        <v>3448</v>
      </c>
      <c r="AM47" s="3395" t="s">
        <v>3484</v>
      </c>
      <c r="AN47" s="3395">
        <v>259000</v>
      </c>
      <c r="AO47" s="3395">
        <v>52000</v>
      </c>
      <c r="AP47" s="3395" t="s">
        <v>3435</v>
      </c>
      <c r="AQ47" s="3395">
        <v>259000</v>
      </c>
      <c r="AR47" s="3395">
        <v>56450.83</v>
      </c>
      <c r="AS47" s="3395">
        <v>56450.83</v>
      </c>
      <c r="AT47" s="3395">
        <v>3763.39</v>
      </c>
      <c r="AU47" s="3395">
        <v>3763.39</v>
      </c>
      <c r="AV47" s="3395">
        <v>25659</v>
      </c>
      <c r="AW47" s="3395">
        <v>25659</v>
      </c>
      <c r="AX47" s="3395" t="s">
        <v>3435</v>
      </c>
      <c r="AY47" s="3395" t="s">
        <v>3435</v>
      </c>
      <c r="AZ47" s="3395">
        <v>0</v>
      </c>
      <c r="BA47" s="3395">
        <v>297850</v>
      </c>
      <c r="BB47" s="3395" t="s">
        <v>3450</v>
      </c>
      <c r="BC47" s="3395">
        <v>55000</v>
      </c>
      <c r="BD47" s="3395">
        <v>55000</v>
      </c>
      <c r="BE47" s="3395">
        <v>29508</v>
      </c>
      <c r="BF47" s="3395">
        <v>15</v>
      </c>
      <c r="BG47" s="3395">
        <v>29340</v>
      </c>
      <c r="BH47" s="3395" t="s">
        <v>3521</v>
      </c>
      <c r="BI47" s="3395" t="s">
        <v>3435</v>
      </c>
      <c r="BJ47" s="3395" t="s">
        <v>3325</v>
      </c>
      <c r="BK47" s="3395" t="s">
        <v>3919</v>
      </c>
      <c r="BL47" s="3395" t="s">
        <v>3435</v>
      </c>
      <c r="BM47" s="3395" t="s">
        <v>3435</v>
      </c>
    </row>
    <row r="48" spans="1:65">
      <c r="A48" s="3395" t="s">
        <v>3920</v>
      </c>
      <c r="B48" s="3395" t="s">
        <v>3426</v>
      </c>
      <c r="C48" s="3395" t="s">
        <v>1465</v>
      </c>
      <c r="D48" s="3395" t="s">
        <v>3427</v>
      </c>
      <c r="E48" s="3395" t="s">
        <v>3921</v>
      </c>
      <c r="F48" s="3395" t="s">
        <v>3922</v>
      </c>
      <c r="G48" s="3395" t="s">
        <v>3922</v>
      </c>
      <c r="H48" s="3395" t="s">
        <v>3923</v>
      </c>
      <c r="I48" s="3395">
        <v>33107.69</v>
      </c>
      <c r="J48" s="3395">
        <v>73704.72</v>
      </c>
      <c r="K48" s="3395" t="s">
        <v>3435</v>
      </c>
      <c r="L48" s="3395" t="s">
        <v>3435</v>
      </c>
      <c r="M48" s="3395">
        <v>0</v>
      </c>
      <c r="N48" s="3395">
        <v>0</v>
      </c>
      <c r="O48" s="3395" t="s">
        <v>3492</v>
      </c>
      <c r="P48" s="3395" t="s">
        <v>3924</v>
      </c>
      <c r="Q48" s="3395" t="s">
        <v>3432</v>
      </c>
      <c r="R48" s="3395" t="s">
        <v>3925</v>
      </c>
      <c r="S48" s="3395" t="s">
        <v>3926</v>
      </c>
      <c r="T48" s="3395">
        <v>2.5</v>
      </c>
      <c r="U48" s="3395" t="s">
        <v>3435</v>
      </c>
      <c r="V48" s="3395" t="s">
        <v>3435</v>
      </c>
      <c r="W48" s="3395" t="s">
        <v>3927</v>
      </c>
      <c r="X48" s="3395" t="s">
        <v>3460</v>
      </c>
      <c r="Y48" s="3395" t="s">
        <v>3435</v>
      </c>
      <c r="Z48" s="3395" t="s">
        <v>3438</v>
      </c>
      <c r="AA48" s="3395" t="s">
        <v>3439</v>
      </c>
      <c r="AB48" s="3395" t="s">
        <v>3435</v>
      </c>
      <c r="AC48" s="3395" t="s">
        <v>3435</v>
      </c>
      <c r="AD48" s="3395" t="s">
        <v>3904</v>
      </c>
      <c r="AE48" s="3395" t="s">
        <v>3905</v>
      </c>
      <c r="AF48" s="3395" t="s">
        <v>3906</v>
      </c>
      <c r="AG48" s="3395" t="s">
        <v>3906</v>
      </c>
      <c r="AH48" s="3395" t="s">
        <v>3444</v>
      </c>
      <c r="AI48" s="3395" t="s">
        <v>3481</v>
      </c>
      <c r="AJ48" s="3395" t="s">
        <v>3928</v>
      </c>
      <c r="AK48" s="3395" t="s">
        <v>3929</v>
      </c>
      <c r="AL48" s="3395" t="s">
        <v>3448</v>
      </c>
      <c r="AM48" s="3395" t="s">
        <v>3435</v>
      </c>
      <c r="AN48" s="3395">
        <v>143000</v>
      </c>
      <c r="AO48" s="3395">
        <v>28600</v>
      </c>
      <c r="AP48" s="3395" t="s">
        <v>3435</v>
      </c>
      <c r="AQ48" s="3395">
        <v>143000</v>
      </c>
      <c r="AR48" s="3395">
        <v>43192.38</v>
      </c>
      <c r="AS48" s="3395">
        <v>43192.38</v>
      </c>
      <c r="AT48" s="3395">
        <v>2879.49</v>
      </c>
      <c r="AU48" s="3395">
        <v>2879.49</v>
      </c>
      <c r="AV48" s="3395">
        <v>19402</v>
      </c>
      <c r="AW48" s="3395">
        <v>19402</v>
      </c>
      <c r="AX48" s="3395" t="s">
        <v>3435</v>
      </c>
      <c r="AY48" s="3395" t="s">
        <v>3435</v>
      </c>
      <c r="AZ48" s="3395">
        <v>0</v>
      </c>
      <c r="BA48" s="3395">
        <v>164450</v>
      </c>
      <c r="BB48" s="3395" t="s">
        <v>3450</v>
      </c>
      <c r="BC48" s="3395">
        <v>62000</v>
      </c>
      <c r="BD48" s="3395">
        <v>62000</v>
      </c>
      <c r="BE48" s="3395">
        <v>22312</v>
      </c>
      <c r="BF48" s="3395">
        <v>15</v>
      </c>
      <c r="BG48" s="3395">
        <v>21784</v>
      </c>
      <c r="BH48" s="3395" t="s">
        <v>3521</v>
      </c>
      <c r="BI48" s="3395" t="s">
        <v>3930</v>
      </c>
      <c r="BJ48" s="3395" t="s">
        <v>3325</v>
      </c>
      <c r="BK48" s="3395" t="s">
        <v>3931</v>
      </c>
      <c r="BL48" s="3395" t="s">
        <v>3435</v>
      </c>
      <c r="BM48" s="3395" t="s">
        <v>3435</v>
      </c>
    </row>
    <row r="49" spans="1:65">
      <c r="A49" s="3395" t="s">
        <v>3932</v>
      </c>
      <c r="B49" s="3395" t="s">
        <v>3426</v>
      </c>
      <c r="C49" s="3395" t="s">
        <v>1465</v>
      </c>
      <c r="D49" s="3395" t="s">
        <v>3507</v>
      </c>
      <c r="E49" s="3395" t="s">
        <v>3933</v>
      </c>
      <c r="F49" s="3395" t="s">
        <v>3934</v>
      </c>
      <c r="G49" s="3395" t="s">
        <v>3934</v>
      </c>
      <c r="H49" s="3395" t="s">
        <v>3935</v>
      </c>
      <c r="I49" s="3395">
        <v>77391.100000000006</v>
      </c>
      <c r="J49" s="3395">
        <v>177999.53</v>
      </c>
      <c r="K49" s="3395" t="s">
        <v>3435</v>
      </c>
      <c r="L49" s="3395" t="s">
        <v>3435</v>
      </c>
      <c r="M49" s="3395">
        <v>0</v>
      </c>
      <c r="N49" s="3395">
        <v>0</v>
      </c>
      <c r="O49" s="3395" t="s">
        <v>3431</v>
      </c>
      <c r="P49" s="3395" t="s">
        <v>3668</v>
      </c>
      <c r="Q49" s="3395" t="s">
        <v>3545</v>
      </c>
      <c r="R49" s="3395" t="s">
        <v>3433</v>
      </c>
      <c r="S49" s="3395" t="s">
        <v>3936</v>
      </c>
      <c r="T49" s="3395">
        <v>2.2999999999999998</v>
      </c>
      <c r="U49" s="3395" t="s">
        <v>3435</v>
      </c>
      <c r="V49" s="3395" t="s">
        <v>3937</v>
      </c>
      <c r="W49" s="3395" t="s">
        <v>3938</v>
      </c>
      <c r="X49" s="3395" t="s">
        <v>3460</v>
      </c>
      <c r="Y49" s="3395" t="s">
        <v>3435</v>
      </c>
      <c r="Z49" s="3395" t="s">
        <v>3461</v>
      </c>
      <c r="AA49" s="3395" t="s">
        <v>3939</v>
      </c>
      <c r="AB49" s="3395" t="s">
        <v>3435</v>
      </c>
      <c r="AC49" s="3395" t="s">
        <v>3435</v>
      </c>
      <c r="AD49" s="3395" t="s">
        <v>3940</v>
      </c>
      <c r="AE49" s="3395" t="s">
        <v>3941</v>
      </c>
      <c r="AF49" s="3395" t="s">
        <v>3942</v>
      </c>
      <c r="AG49" s="3395" t="s">
        <v>3942</v>
      </c>
      <c r="AH49" s="3395" t="s">
        <v>3444</v>
      </c>
      <c r="AI49" s="3395" t="s">
        <v>3481</v>
      </c>
      <c r="AJ49" s="3395" t="s">
        <v>3943</v>
      </c>
      <c r="AK49" s="3395" t="s">
        <v>3944</v>
      </c>
      <c r="AL49" s="3395" t="s">
        <v>3448</v>
      </c>
      <c r="AM49" s="3395" t="s">
        <v>3484</v>
      </c>
      <c r="AN49" s="3395">
        <v>688000</v>
      </c>
      <c r="AO49" s="3395">
        <v>138000</v>
      </c>
      <c r="AP49" s="3395" t="s">
        <v>3435</v>
      </c>
      <c r="AQ49" s="3395">
        <v>791200</v>
      </c>
      <c r="AR49" s="3395">
        <v>88899.11</v>
      </c>
      <c r="AS49" s="3395">
        <v>102233.98</v>
      </c>
      <c r="AT49" s="3395">
        <v>5926.61</v>
      </c>
      <c r="AU49" s="3395">
        <v>6815.6</v>
      </c>
      <c r="AV49" s="3395">
        <v>38652</v>
      </c>
      <c r="AW49" s="3395">
        <v>44450</v>
      </c>
      <c r="AX49" s="3395" t="s">
        <v>3435</v>
      </c>
      <c r="AY49" s="3395" t="s">
        <v>3435</v>
      </c>
      <c r="AZ49" s="3395">
        <v>15</v>
      </c>
      <c r="BA49" s="3395">
        <v>791200</v>
      </c>
      <c r="BB49" s="3395" t="s">
        <v>3637</v>
      </c>
      <c r="BC49" s="3395">
        <v>77000</v>
      </c>
      <c r="BD49" s="3395">
        <v>77000</v>
      </c>
      <c r="BE49" s="3395">
        <v>44450</v>
      </c>
      <c r="BF49" s="3395">
        <v>15</v>
      </c>
      <c r="BG49" s="3395">
        <v>31878</v>
      </c>
      <c r="BH49" s="3395" t="s">
        <v>3504</v>
      </c>
      <c r="BI49" s="3395" t="s">
        <v>3945</v>
      </c>
      <c r="BJ49" s="3395" t="s">
        <v>3325</v>
      </c>
      <c r="BK49" s="3395" t="s">
        <v>3946</v>
      </c>
      <c r="BL49" s="3395" t="s">
        <v>3435</v>
      </c>
      <c r="BM49" s="3395" t="s">
        <v>3435</v>
      </c>
    </row>
    <row r="50" spans="1:65">
      <c r="A50" s="3395" t="s">
        <v>3947</v>
      </c>
      <c r="B50" s="3395" t="s">
        <v>3426</v>
      </c>
      <c r="C50" s="3395" t="s">
        <v>1465</v>
      </c>
      <c r="D50" s="3395" t="s">
        <v>3523</v>
      </c>
      <c r="E50" s="3395" t="s">
        <v>3948</v>
      </c>
      <c r="F50" s="3395" t="s">
        <v>3949</v>
      </c>
      <c r="G50" s="3395" t="s">
        <v>3949</v>
      </c>
      <c r="H50" s="3395" t="s">
        <v>3950</v>
      </c>
      <c r="I50" s="3395">
        <v>20354.939999999999</v>
      </c>
      <c r="J50" s="3395">
        <v>47549.3</v>
      </c>
      <c r="K50" s="3395" t="s">
        <v>3435</v>
      </c>
      <c r="L50" s="3395" t="s">
        <v>3435</v>
      </c>
      <c r="M50" s="3395">
        <v>0</v>
      </c>
      <c r="N50" s="3395">
        <v>0</v>
      </c>
      <c r="O50" s="3395" t="s">
        <v>3431</v>
      </c>
      <c r="P50" s="3395" t="s">
        <v>3668</v>
      </c>
      <c r="Q50" s="3395" t="s">
        <v>3545</v>
      </c>
      <c r="R50" s="3395" t="s">
        <v>3433</v>
      </c>
      <c r="S50" s="3395" t="s">
        <v>3951</v>
      </c>
      <c r="T50" s="3395">
        <v>2.4</v>
      </c>
      <c r="U50" s="3395" t="s">
        <v>3435</v>
      </c>
      <c r="V50" s="3395">
        <v>0.4</v>
      </c>
      <c r="W50" s="3395">
        <v>45</v>
      </c>
      <c r="X50" s="3395" t="s">
        <v>3460</v>
      </c>
      <c r="Y50" s="3395" t="s">
        <v>3435</v>
      </c>
      <c r="Z50" s="3395" t="s">
        <v>3461</v>
      </c>
      <c r="AA50" s="3395" t="s">
        <v>3852</v>
      </c>
      <c r="AB50" s="3395" t="s">
        <v>3435</v>
      </c>
      <c r="AC50" s="3395" t="s">
        <v>3435</v>
      </c>
      <c r="AD50" s="3395" t="s">
        <v>3952</v>
      </c>
      <c r="AE50" s="3395" t="s">
        <v>3953</v>
      </c>
      <c r="AF50" s="3395" t="s">
        <v>3954</v>
      </c>
      <c r="AG50" s="3395" t="s">
        <v>3954</v>
      </c>
      <c r="AH50" s="3395" t="s">
        <v>3444</v>
      </c>
      <c r="AI50" s="3395" t="s">
        <v>3481</v>
      </c>
      <c r="AJ50" s="3395" t="s">
        <v>3955</v>
      </c>
      <c r="AK50" s="3395" t="s">
        <v>3956</v>
      </c>
      <c r="AL50" s="3395" t="s">
        <v>3536</v>
      </c>
      <c r="AM50" s="3395" t="s">
        <v>3435</v>
      </c>
      <c r="AN50" s="3395">
        <v>96000</v>
      </c>
      <c r="AO50" s="3395">
        <v>20000</v>
      </c>
      <c r="AP50" s="3395" t="s">
        <v>3435</v>
      </c>
      <c r="AQ50" s="3395">
        <v>110400</v>
      </c>
      <c r="AR50" s="3395">
        <v>47163</v>
      </c>
      <c r="AS50" s="3395">
        <v>54237.45</v>
      </c>
      <c r="AT50" s="3395">
        <v>3144.2</v>
      </c>
      <c r="AU50" s="3395">
        <v>3615.83</v>
      </c>
      <c r="AV50" s="3395">
        <v>20190</v>
      </c>
      <c r="AW50" s="3395">
        <v>23218</v>
      </c>
      <c r="AX50" s="3395" t="s">
        <v>3435</v>
      </c>
      <c r="AY50" s="3395" t="s">
        <v>3435</v>
      </c>
      <c r="AZ50" s="3395">
        <v>15</v>
      </c>
      <c r="BA50" s="3395">
        <v>110400</v>
      </c>
      <c r="BB50" s="3395" t="s">
        <v>3637</v>
      </c>
      <c r="BC50" s="3395">
        <v>46000</v>
      </c>
      <c r="BD50" s="3395">
        <v>46000</v>
      </c>
      <c r="BE50" s="3395">
        <v>23218</v>
      </c>
      <c r="BF50" s="3395">
        <v>15</v>
      </c>
      <c r="BG50" s="3395">
        <v>22585</v>
      </c>
      <c r="BH50" s="3395" t="s">
        <v>3504</v>
      </c>
      <c r="BI50" s="3395" t="s">
        <v>3957</v>
      </c>
      <c r="BJ50" s="3395" t="s">
        <v>3325</v>
      </c>
      <c r="BK50" s="3395" t="s">
        <v>3947</v>
      </c>
      <c r="BL50" s="3396">
        <v>45121.000497685185</v>
      </c>
      <c r="BM50" s="3395">
        <v>110400</v>
      </c>
    </row>
    <row r="51" spans="1:65">
      <c r="A51" s="3395" t="s">
        <v>3958</v>
      </c>
      <c r="B51" s="3395" t="s">
        <v>3426</v>
      </c>
      <c r="C51" s="3395" t="s">
        <v>1465</v>
      </c>
      <c r="D51" s="3395" t="s">
        <v>3523</v>
      </c>
      <c r="E51" s="3395" t="s">
        <v>3959</v>
      </c>
      <c r="F51" s="3395" t="s">
        <v>3960</v>
      </c>
      <c r="G51" s="3395" t="s">
        <v>3960</v>
      </c>
      <c r="H51" s="3395" t="s">
        <v>3961</v>
      </c>
      <c r="I51" s="3395">
        <v>34099.22</v>
      </c>
      <c r="J51" s="3395">
        <v>61378.59</v>
      </c>
      <c r="K51" s="3395" t="s">
        <v>3435</v>
      </c>
      <c r="L51" s="3395" t="s">
        <v>3435</v>
      </c>
      <c r="M51" s="3395">
        <v>0</v>
      </c>
      <c r="N51" s="3395">
        <v>0</v>
      </c>
      <c r="O51" s="3395" t="s">
        <v>3431</v>
      </c>
      <c r="P51" s="3395" t="s">
        <v>3668</v>
      </c>
      <c r="Q51" s="3395" t="s">
        <v>3545</v>
      </c>
      <c r="R51" s="3395" t="s">
        <v>3433</v>
      </c>
      <c r="S51" s="3395" t="s">
        <v>3803</v>
      </c>
      <c r="T51" s="3395">
        <v>1.8</v>
      </c>
      <c r="U51" s="3395" t="s">
        <v>3435</v>
      </c>
      <c r="V51" s="3395">
        <v>0.3</v>
      </c>
      <c r="W51" s="3395" t="s">
        <v>3435</v>
      </c>
      <c r="X51" s="3395" t="s">
        <v>3460</v>
      </c>
      <c r="Y51" s="3395" t="s">
        <v>3435</v>
      </c>
      <c r="Z51" s="3395" t="s">
        <v>3461</v>
      </c>
      <c r="AA51" s="3395" t="s">
        <v>3962</v>
      </c>
      <c r="AB51" s="3395" t="s">
        <v>3435</v>
      </c>
      <c r="AC51" s="3395" t="s">
        <v>3435</v>
      </c>
      <c r="AD51" s="3395" t="s">
        <v>3963</v>
      </c>
      <c r="AE51" s="3395" t="s">
        <v>3964</v>
      </c>
      <c r="AF51" s="3395" t="s">
        <v>3965</v>
      </c>
      <c r="AG51" s="3395" t="s">
        <v>3965</v>
      </c>
      <c r="AH51" s="3395" t="s">
        <v>3444</v>
      </c>
      <c r="AI51" s="3395" t="s">
        <v>3481</v>
      </c>
      <c r="AJ51" s="3395" t="s">
        <v>3966</v>
      </c>
      <c r="AK51" s="3395" t="s">
        <v>3967</v>
      </c>
      <c r="AL51" s="3395" t="s">
        <v>3467</v>
      </c>
      <c r="AM51" s="3395" t="s">
        <v>3435</v>
      </c>
      <c r="AN51" s="3395">
        <v>150500</v>
      </c>
      <c r="AO51" s="3395">
        <v>31000</v>
      </c>
      <c r="AP51" s="3395" t="s">
        <v>3968</v>
      </c>
      <c r="AQ51" s="3395">
        <v>173075</v>
      </c>
      <c r="AR51" s="3395">
        <v>44135.9</v>
      </c>
      <c r="AS51" s="3395">
        <v>50756.29</v>
      </c>
      <c r="AT51" s="3395">
        <v>2942.39</v>
      </c>
      <c r="AU51" s="3395">
        <v>3383.75</v>
      </c>
      <c r="AV51" s="3395">
        <v>24520</v>
      </c>
      <c r="AW51" s="3395">
        <v>28198</v>
      </c>
      <c r="AX51" s="3395" t="s">
        <v>3435</v>
      </c>
      <c r="AY51" s="3395" t="s">
        <v>3435</v>
      </c>
      <c r="AZ51" s="3395">
        <v>15</v>
      </c>
      <c r="BA51" s="3395">
        <v>173075</v>
      </c>
      <c r="BB51" s="3395" t="s">
        <v>3637</v>
      </c>
      <c r="BC51" s="3395">
        <v>58000</v>
      </c>
      <c r="BD51" s="3395">
        <v>58000</v>
      </c>
      <c r="BE51" s="3395">
        <v>28198</v>
      </c>
      <c r="BF51" s="3395">
        <v>15</v>
      </c>
      <c r="BG51" s="3395">
        <v>29429</v>
      </c>
      <c r="BH51" s="3395" t="s">
        <v>3521</v>
      </c>
      <c r="BI51" s="3395" t="s">
        <v>3969</v>
      </c>
      <c r="BJ51" s="3395" t="s">
        <v>3325</v>
      </c>
      <c r="BK51" s="3395" t="s">
        <v>3970</v>
      </c>
      <c r="BL51" s="3395" t="s">
        <v>3435</v>
      </c>
      <c r="BM51" s="3395" t="s">
        <v>3435</v>
      </c>
    </row>
    <row r="52" spans="1:65">
      <c r="A52" s="3395" t="s">
        <v>3971</v>
      </c>
      <c r="B52" s="3395" t="s">
        <v>3426</v>
      </c>
      <c r="C52" s="3395" t="s">
        <v>1465</v>
      </c>
      <c r="D52" s="3395" t="s">
        <v>3507</v>
      </c>
      <c r="E52" s="3395" t="s">
        <v>3972</v>
      </c>
      <c r="F52" s="3395" t="s">
        <v>3973</v>
      </c>
      <c r="G52" s="3395" t="s">
        <v>3973</v>
      </c>
      <c r="H52" s="3395" t="s">
        <v>3974</v>
      </c>
      <c r="I52" s="3395">
        <v>43400</v>
      </c>
      <c r="J52" s="3395">
        <v>86800</v>
      </c>
      <c r="K52" s="3395" t="s">
        <v>3435</v>
      </c>
      <c r="L52" s="3395" t="s">
        <v>3435</v>
      </c>
      <c r="M52" s="3395">
        <v>0</v>
      </c>
      <c r="N52" s="3395">
        <v>0</v>
      </c>
      <c r="O52" s="3395" t="s">
        <v>3431</v>
      </c>
      <c r="P52" s="3395" t="s">
        <v>3668</v>
      </c>
      <c r="Q52" s="3395" t="s">
        <v>3545</v>
      </c>
      <c r="R52" s="3395" t="s">
        <v>3433</v>
      </c>
      <c r="S52" s="3395" t="s">
        <v>3633</v>
      </c>
      <c r="T52" s="3395">
        <v>2</v>
      </c>
      <c r="U52" s="3395" t="s">
        <v>3435</v>
      </c>
      <c r="V52" s="3395">
        <v>0.3</v>
      </c>
      <c r="W52" s="3395">
        <v>45</v>
      </c>
      <c r="X52" s="3395" t="s">
        <v>3460</v>
      </c>
      <c r="Y52" s="3395" t="s">
        <v>3435</v>
      </c>
      <c r="Z52" s="3395" t="s">
        <v>3461</v>
      </c>
      <c r="AA52" s="3395" t="s">
        <v>3477</v>
      </c>
      <c r="AB52" s="3395" t="s">
        <v>3435</v>
      </c>
      <c r="AC52" s="3395" t="s">
        <v>3435</v>
      </c>
      <c r="AD52" s="3395" t="s">
        <v>3963</v>
      </c>
      <c r="AE52" s="3395" t="s">
        <v>3964</v>
      </c>
      <c r="AF52" s="3395" t="s">
        <v>3965</v>
      </c>
      <c r="AG52" s="3395" t="s">
        <v>3965</v>
      </c>
      <c r="AH52" s="3395" t="s">
        <v>3444</v>
      </c>
      <c r="AI52" s="3395" t="s">
        <v>3481</v>
      </c>
      <c r="AJ52" s="3395" t="s">
        <v>3465</v>
      </c>
      <c r="AK52" s="3395" t="s">
        <v>3466</v>
      </c>
      <c r="AL52" s="3395" t="s">
        <v>3467</v>
      </c>
      <c r="AM52" s="3395" t="s">
        <v>3435</v>
      </c>
      <c r="AN52" s="3395">
        <v>287000</v>
      </c>
      <c r="AO52" s="3395">
        <v>58000</v>
      </c>
      <c r="AP52" s="3395" t="s">
        <v>3435</v>
      </c>
      <c r="AQ52" s="3395">
        <v>330050</v>
      </c>
      <c r="AR52" s="3395">
        <v>66129.03</v>
      </c>
      <c r="AS52" s="3395">
        <v>76048.39</v>
      </c>
      <c r="AT52" s="3395">
        <v>4408.6000000000004</v>
      </c>
      <c r="AU52" s="3395">
        <v>5069.8900000000003</v>
      </c>
      <c r="AV52" s="3395">
        <v>33065</v>
      </c>
      <c r="AW52" s="3395">
        <v>38024</v>
      </c>
      <c r="AX52" s="3395" t="s">
        <v>3435</v>
      </c>
      <c r="AY52" s="3395" t="s">
        <v>3435</v>
      </c>
      <c r="AZ52" s="3395">
        <v>15</v>
      </c>
      <c r="BA52" s="3395">
        <v>330050</v>
      </c>
      <c r="BB52" s="3395" t="s">
        <v>3637</v>
      </c>
      <c r="BC52" s="3395">
        <v>58000</v>
      </c>
      <c r="BD52" s="3395">
        <v>58000</v>
      </c>
      <c r="BE52" s="3395">
        <v>38024</v>
      </c>
      <c r="BF52" s="3395">
        <v>15</v>
      </c>
      <c r="BG52" s="3395">
        <v>19975</v>
      </c>
      <c r="BH52" s="3395" t="s">
        <v>3504</v>
      </c>
      <c r="BI52" s="3395" t="s">
        <v>3975</v>
      </c>
      <c r="BJ52" s="3395" t="s">
        <v>3325</v>
      </c>
      <c r="BK52" s="3395" t="s">
        <v>3976</v>
      </c>
      <c r="BL52" s="3395" t="s">
        <v>3435</v>
      </c>
      <c r="BM52" s="3395" t="s">
        <v>3435</v>
      </c>
    </row>
    <row r="53" spans="1:65">
      <c r="A53" s="3395" t="s">
        <v>3977</v>
      </c>
      <c r="B53" s="3395" t="s">
        <v>3426</v>
      </c>
      <c r="C53" s="3395" t="s">
        <v>1465</v>
      </c>
      <c r="D53" s="3395" t="s">
        <v>3523</v>
      </c>
      <c r="E53" s="3395" t="s">
        <v>3959</v>
      </c>
      <c r="F53" s="3395" t="s">
        <v>3978</v>
      </c>
      <c r="G53" s="3395" t="s">
        <v>3978</v>
      </c>
      <c r="H53" s="3395" t="s">
        <v>3979</v>
      </c>
      <c r="I53" s="3395">
        <v>31562.01</v>
      </c>
      <c r="J53" s="3395">
        <v>56811.61</v>
      </c>
      <c r="K53" s="3395" t="s">
        <v>3435</v>
      </c>
      <c r="L53" s="3395" t="s">
        <v>3435</v>
      </c>
      <c r="M53" s="3395">
        <v>0</v>
      </c>
      <c r="N53" s="3395">
        <v>0</v>
      </c>
      <c r="O53" s="3395" t="s">
        <v>3431</v>
      </c>
      <c r="P53" s="3395" t="s">
        <v>3668</v>
      </c>
      <c r="Q53" s="3395" t="s">
        <v>3545</v>
      </c>
      <c r="R53" s="3395" t="s">
        <v>3433</v>
      </c>
      <c r="S53" s="3395" t="s">
        <v>3803</v>
      </c>
      <c r="T53" s="3395">
        <v>1.8</v>
      </c>
      <c r="U53" s="3395" t="s">
        <v>3435</v>
      </c>
      <c r="V53" s="3395">
        <v>0.3</v>
      </c>
      <c r="W53" s="3395" t="s">
        <v>3435</v>
      </c>
      <c r="X53" s="3395" t="s">
        <v>3460</v>
      </c>
      <c r="Y53" s="3395" t="s">
        <v>3435</v>
      </c>
      <c r="Z53" s="3395" t="s">
        <v>3461</v>
      </c>
      <c r="AA53" s="3395" t="s">
        <v>3962</v>
      </c>
      <c r="AB53" s="3395" t="s">
        <v>3435</v>
      </c>
      <c r="AC53" s="3395" t="s">
        <v>3435</v>
      </c>
      <c r="AD53" s="3395" t="s">
        <v>3963</v>
      </c>
      <c r="AE53" s="3395" t="s">
        <v>3964</v>
      </c>
      <c r="AF53" s="3395" t="s">
        <v>3965</v>
      </c>
      <c r="AG53" s="3395" t="s">
        <v>3965</v>
      </c>
      <c r="AH53" s="3395" t="s">
        <v>3444</v>
      </c>
      <c r="AI53" s="3395" t="s">
        <v>3481</v>
      </c>
      <c r="AJ53" s="3395" t="s">
        <v>3980</v>
      </c>
      <c r="AK53" s="3395" t="s">
        <v>3980</v>
      </c>
      <c r="AL53" s="3395" t="s">
        <v>3536</v>
      </c>
      <c r="AM53" s="3395" t="s">
        <v>3435</v>
      </c>
      <c r="AN53" s="3395">
        <v>144000</v>
      </c>
      <c r="AO53" s="3395">
        <v>29000</v>
      </c>
      <c r="AP53" s="3395" t="s">
        <v>3968</v>
      </c>
      <c r="AQ53" s="3395">
        <v>165600</v>
      </c>
      <c r="AR53" s="3395">
        <v>45624.47</v>
      </c>
      <c r="AS53" s="3395">
        <v>52468.14</v>
      </c>
      <c r="AT53" s="3395">
        <v>3041.63</v>
      </c>
      <c r="AU53" s="3395">
        <v>3497.88</v>
      </c>
      <c r="AV53" s="3395">
        <v>25347</v>
      </c>
      <c r="AW53" s="3395">
        <v>29149</v>
      </c>
      <c r="AX53" s="3395" t="s">
        <v>3435</v>
      </c>
      <c r="AY53" s="3395" t="s">
        <v>3435</v>
      </c>
      <c r="AZ53" s="3395">
        <v>15</v>
      </c>
      <c r="BA53" s="3395">
        <v>165600</v>
      </c>
      <c r="BB53" s="3395" t="s">
        <v>3637</v>
      </c>
      <c r="BC53" s="3395">
        <v>58000</v>
      </c>
      <c r="BD53" s="3395">
        <v>58000</v>
      </c>
      <c r="BE53" s="3395">
        <v>29149</v>
      </c>
      <c r="BF53" s="3395">
        <v>15</v>
      </c>
      <c r="BG53" s="3395">
        <v>28168</v>
      </c>
      <c r="BH53" s="3395" t="s">
        <v>3521</v>
      </c>
      <c r="BI53" s="3395" t="s">
        <v>3981</v>
      </c>
      <c r="BJ53" s="3395" t="s">
        <v>3325</v>
      </c>
      <c r="BK53" s="3395" t="s">
        <v>3982</v>
      </c>
      <c r="BL53" s="3395" t="s">
        <v>3435</v>
      </c>
      <c r="BM53" s="3395" t="s">
        <v>3435</v>
      </c>
    </row>
    <row r="54" spans="1:65">
      <c r="A54" s="3395" t="s">
        <v>3983</v>
      </c>
      <c r="B54" s="3395" t="s">
        <v>3426</v>
      </c>
      <c r="C54" s="3395" t="s">
        <v>1465</v>
      </c>
      <c r="D54" s="3395" t="s">
        <v>3507</v>
      </c>
      <c r="E54" s="3395" t="s">
        <v>3508</v>
      </c>
      <c r="F54" s="3395" t="s">
        <v>3984</v>
      </c>
      <c r="G54" s="3395" t="s">
        <v>3984</v>
      </c>
      <c r="H54" s="3395" t="s">
        <v>3985</v>
      </c>
      <c r="I54" s="3395">
        <v>41091.4</v>
      </c>
      <c r="J54" s="3395">
        <v>93718.5</v>
      </c>
      <c r="K54" s="3395" t="s">
        <v>3435</v>
      </c>
      <c r="L54" s="3395" t="s">
        <v>3435</v>
      </c>
      <c r="M54" s="3395">
        <v>0</v>
      </c>
      <c r="N54" s="3395">
        <v>0</v>
      </c>
      <c r="O54" s="3395" t="s">
        <v>3492</v>
      </c>
      <c r="P54" s="3395" t="s">
        <v>3493</v>
      </c>
      <c r="Q54" s="3395" t="s">
        <v>3494</v>
      </c>
      <c r="R54" s="3395" t="s">
        <v>3986</v>
      </c>
      <c r="S54" s="3395" t="s">
        <v>3987</v>
      </c>
      <c r="T54" s="3395">
        <v>0.8</v>
      </c>
      <c r="U54" s="3395" t="s">
        <v>3435</v>
      </c>
      <c r="V54" s="3395">
        <v>0.3</v>
      </c>
      <c r="W54" s="3395" t="s">
        <v>3435</v>
      </c>
      <c r="X54" s="3395" t="s">
        <v>3460</v>
      </c>
      <c r="Y54" s="3395" t="s">
        <v>3435</v>
      </c>
      <c r="Z54" s="3395" t="s">
        <v>3988</v>
      </c>
      <c r="AA54" s="3395" t="s">
        <v>3939</v>
      </c>
      <c r="AB54" s="3395" t="s">
        <v>3435</v>
      </c>
      <c r="AC54" s="3395" t="s">
        <v>3435</v>
      </c>
      <c r="AD54" s="3395" t="s">
        <v>3989</v>
      </c>
      <c r="AE54" s="3395" t="s">
        <v>3990</v>
      </c>
      <c r="AF54" s="3395" t="s">
        <v>3991</v>
      </c>
      <c r="AG54" s="3395" t="s">
        <v>3991</v>
      </c>
      <c r="AH54" s="3395" t="s">
        <v>3444</v>
      </c>
      <c r="AI54" s="3395" t="s">
        <v>3481</v>
      </c>
      <c r="AJ54" s="3395" t="s">
        <v>3992</v>
      </c>
      <c r="AK54" s="3395" t="s">
        <v>3993</v>
      </c>
      <c r="AL54" s="3395" t="s">
        <v>3994</v>
      </c>
      <c r="AM54" s="3395" t="s">
        <v>3435</v>
      </c>
      <c r="AN54" s="3395">
        <v>324000</v>
      </c>
      <c r="AO54" s="3395">
        <v>65000</v>
      </c>
      <c r="AP54" s="3395" t="s">
        <v>3435</v>
      </c>
      <c r="AQ54" s="3395">
        <v>372600</v>
      </c>
      <c r="AR54" s="3395">
        <v>78848.62</v>
      </c>
      <c r="AS54" s="3395">
        <v>90675.91</v>
      </c>
      <c r="AT54" s="3395">
        <v>5256.57</v>
      </c>
      <c r="AU54" s="3395">
        <v>6045.06</v>
      </c>
      <c r="AV54" s="3395">
        <v>34572</v>
      </c>
      <c r="AW54" s="3395">
        <v>39757</v>
      </c>
      <c r="AX54" s="3395" t="s">
        <v>3435</v>
      </c>
      <c r="AY54" s="3395" t="s">
        <v>3435</v>
      </c>
      <c r="AZ54" s="3395">
        <v>15</v>
      </c>
      <c r="BA54" s="3395">
        <v>372600</v>
      </c>
      <c r="BB54" s="3395" t="s">
        <v>3637</v>
      </c>
      <c r="BC54" s="3395">
        <v>66000</v>
      </c>
      <c r="BD54" s="3395">
        <v>66000</v>
      </c>
      <c r="BE54" s="3395">
        <v>39757</v>
      </c>
      <c r="BF54" s="3395">
        <v>15</v>
      </c>
      <c r="BG54" s="3395">
        <v>24350</v>
      </c>
      <c r="BH54" s="3395" t="s">
        <v>3521</v>
      </c>
      <c r="BI54" s="3395" t="s">
        <v>3995</v>
      </c>
      <c r="BJ54" s="3395" t="s">
        <v>3325</v>
      </c>
      <c r="BK54" s="3395" t="s">
        <v>3983</v>
      </c>
      <c r="BL54" s="3395" t="s">
        <v>3435</v>
      </c>
      <c r="BM54" s="3395" t="s">
        <v>3435</v>
      </c>
    </row>
    <row r="55" spans="1:65">
      <c r="A55" s="3395" t="s">
        <v>3996</v>
      </c>
      <c r="B55" s="3395" t="s">
        <v>3426</v>
      </c>
      <c r="C55" s="3395" t="s">
        <v>1465</v>
      </c>
      <c r="D55" s="3395" t="s">
        <v>3427</v>
      </c>
      <c r="E55" s="3395" t="s">
        <v>3921</v>
      </c>
      <c r="F55" s="3395" t="s">
        <v>3997</v>
      </c>
      <c r="G55" s="3395" t="s">
        <v>3997</v>
      </c>
      <c r="H55" s="3395" t="s">
        <v>3457</v>
      </c>
      <c r="I55" s="3395">
        <v>29561.58</v>
      </c>
      <c r="J55" s="3395">
        <v>65035.47</v>
      </c>
      <c r="K55" s="3395" t="s">
        <v>3435</v>
      </c>
      <c r="L55" s="3395" t="s">
        <v>3435</v>
      </c>
      <c r="M55" s="3395">
        <v>0</v>
      </c>
      <c r="N55" s="3395">
        <v>0</v>
      </c>
      <c r="O55" s="3395" t="s">
        <v>3431</v>
      </c>
      <c r="P55" s="3395" t="s">
        <v>3432</v>
      </c>
      <c r="Q55" s="3395" t="s">
        <v>3432</v>
      </c>
      <c r="R55" s="3395" t="s">
        <v>3998</v>
      </c>
      <c r="S55" s="3395" t="s">
        <v>3434</v>
      </c>
      <c r="T55" s="3395">
        <v>2.2000000000000002</v>
      </c>
      <c r="U55" s="3395" t="s">
        <v>3435</v>
      </c>
      <c r="V55" s="3395" t="s">
        <v>3435</v>
      </c>
      <c r="W55" s="3395">
        <v>36</v>
      </c>
      <c r="X55" s="3395" t="s">
        <v>3460</v>
      </c>
      <c r="Y55" s="3395" t="s">
        <v>3435</v>
      </c>
      <c r="Z55" s="3395" t="s">
        <v>3999</v>
      </c>
      <c r="AA55" s="3395" t="s">
        <v>3962</v>
      </c>
      <c r="AB55" s="3395" t="s">
        <v>3435</v>
      </c>
      <c r="AC55" s="3395" t="s">
        <v>3435</v>
      </c>
      <c r="AD55" s="3395" t="s">
        <v>4000</v>
      </c>
      <c r="AE55" s="3395" t="s">
        <v>4001</v>
      </c>
      <c r="AF55" s="3395" t="s">
        <v>3963</v>
      </c>
      <c r="AG55" s="3395" t="s">
        <v>3963</v>
      </c>
      <c r="AH55" s="3395" t="s">
        <v>3444</v>
      </c>
      <c r="AI55" s="3395" t="s">
        <v>3481</v>
      </c>
      <c r="AJ55" s="3395" t="s">
        <v>3465</v>
      </c>
      <c r="AK55" s="3395" t="s">
        <v>3466</v>
      </c>
      <c r="AL55" s="3395" t="s">
        <v>3467</v>
      </c>
      <c r="AM55" s="3395" t="s">
        <v>3435</v>
      </c>
      <c r="AN55" s="3395">
        <v>202000</v>
      </c>
      <c r="AO55" s="3395">
        <v>41000</v>
      </c>
      <c r="AP55" s="3395" t="s">
        <v>4002</v>
      </c>
      <c r="AQ55" s="3395">
        <v>232000</v>
      </c>
      <c r="AR55" s="3395">
        <v>68331.94</v>
      </c>
      <c r="AS55" s="3395">
        <v>78480.240000000005</v>
      </c>
      <c r="AT55" s="3395">
        <v>4555.46</v>
      </c>
      <c r="AU55" s="3395">
        <v>5232.0200000000004</v>
      </c>
      <c r="AV55" s="3395">
        <v>31060</v>
      </c>
      <c r="AW55" s="3395">
        <v>35673</v>
      </c>
      <c r="AX55" s="3395" t="s">
        <v>3435</v>
      </c>
      <c r="AY55" s="3395" t="s">
        <v>3435</v>
      </c>
      <c r="AZ55" s="3395">
        <v>14.85</v>
      </c>
      <c r="BA55" s="3395">
        <v>232000</v>
      </c>
      <c r="BB55" s="3395" t="s">
        <v>3637</v>
      </c>
      <c r="BC55" s="3395">
        <v>62000</v>
      </c>
      <c r="BD55" s="3395">
        <v>62000</v>
      </c>
      <c r="BE55" s="3395">
        <v>35673</v>
      </c>
      <c r="BF55" s="3395">
        <v>14.85</v>
      </c>
      <c r="BG55" s="3395">
        <v>25854</v>
      </c>
      <c r="BH55" s="3395" t="s">
        <v>3521</v>
      </c>
      <c r="BI55" s="3395" t="s">
        <v>4003</v>
      </c>
      <c r="BJ55" s="3395" t="s">
        <v>3325</v>
      </c>
      <c r="BK55" s="3395" t="s">
        <v>4004</v>
      </c>
      <c r="BL55" s="3395" t="s">
        <v>3435</v>
      </c>
      <c r="BM55" s="3395" t="s">
        <v>3435</v>
      </c>
    </row>
    <row r="56" spans="1:65">
      <c r="A56" s="3395" t="s">
        <v>4005</v>
      </c>
      <c r="B56" s="3395" t="s">
        <v>3426</v>
      </c>
      <c r="C56" s="3395" t="s">
        <v>1465</v>
      </c>
      <c r="D56" s="3395" t="s">
        <v>3507</v>
      </c>
      <c r="E56" s="3395" t="s">
        <v>4006</v>
      </c>
      <c r="F56" s="3395" t="s">
        <v>4007</v>
      </c>
      <c r="G56" s="3395" t="s">
        <v>4007</v>
      </c>
      <c r="H56" s="3395" t="s">
        <v>3692</v>
      </c>
      <c r="I56" s="3395">
        <v>59523.360000000001</v>
      </c>
      <c r="J56" s="3395">
        <v>130951.38</v>
      </c>
      <c r="K56" s="3395" t="s">
        <v>3435</v>
      </c>
      <c r="L56" s="3395" t="s">
        <v>3435</v>
      </c>
      <c r="M56" s="3395">
        <v>0</v>
      </c>
      <c r="N56" s="3395">
        <v>0</v>
      </c>
      <c r="O56" s="3395" t="s">
        <v>3431</v>
      </c>
      <c r="P56" s="3395" t="s">
        <v>4008</v>
      </c>
      <c r="Q56" s="3395" t="s">
        <v>3545</v>
      </c>
      <c r="R56" s="3395" t="s">
        <v>3433</v>
      </c>
      <c r="S56" s="3395" t="s">
        <v>3434</v>
      </c>
      <c r="T56" s="3395">
        <v>2.2000000000000002</v>
      </c>
      <c r="U56" s="3395" t="s">
        <v>3435</v>
      </c>
      <c r="V56" s="3395" t="s">
        <v>3435</v>
      </c>
      <c r="W56" s="3395" t="s">
        <v>3435</v>
      </c>
      <c r="X56" s="3395" t="s">
        <v>3460</v>
      </c>
      <c r="Y56" s="3395" t="s">
        <v>3435</v>
      </c>
      <c r="Z56" s="3395" t="s">
        <v>3435</v>
      </c>
      <c r="AA56" s="3395" t="s">
        <v>3435</v>
      </c>
      <c r="AB56" s="3395" t="s">
        <v>3435</v>
      </c>
      <c r="AC56" s="3395" t="s">
        <v>3435</v>
      </c>
      <c r="AD56" s="3395" t="s">
        <v>4009</v>
      </c>
      <c r="AE56" s="3395" t="s">
        <v>4010</v>
      </c>
      <c r="AF56" s="3395" t="s">
        <v>4011</v>
      </c>
      <c r="AG56" s="3395" t="s">
        <v>4011</v>
      </c>
      <c r="AH56" s="3395" t="s">
        <v>3444</v>
      </c>
      <c r="AI56" s="3395" t="s">
        <v>3481</v>
      </c>
      <c r="AJ56" s="3395" t="s">
        <v>4012</v>
      </c>
      <c r="AK56" s="3395" t="s">
        <v>4013</v>
      </c>
      <c r="AL56" s="3395" t="s">
        <v>3909</v>
      </c>
      <c r="AM56" s="3395" t="s">
        <v>3582</v>
      </c>
      <c r="AN56" s="3395">
        <v>188205.82</v>
      </c>
      <c r="AO56" s="3395">
        <v>57000</v>
      </c>
      <c r="AP56" s="3395" t="s">
        <v>3435</v>
      </c>
      <c r="AQ56" s="3395">
        <v>188205.82</v>
      </c>
      <c r="AR56" s="3395">
        <v>31618.81</v>
      </c>
      <c r="AS56" s="3395">
        <v>31618.81</v>
      </c>
      <c r="AT56" s="3395">
        <v>2107.92</v>
      </c>
      <c r="AU56" s="3395">
        <v>2107.92</v>
      </c>
      <c r="AV56" s="3395">
        <v>14372</v>
      </c>
      <c r="AW56" s="3395">
        <v>14372</v>
      </c>
      <c r="AX56" s="3395" t="s">
        <v>3435</v>
      </c>
      <c r="AY56" s="3395" t="s">
        <v>3435</v>
      </c>
      <c r="AZ56" s="3395">
        <v>0</v>
      </c>
      <c r="BA56" s="3395" t="s">
        <v>3435</v>
      </c>
      <c r="BB56" s="3395" t="s">
        <v>3435</v>
      </c>
      <c r="BC56" s="3395">
        <v>29000</v>
      </c>
      <c r="BD56" s="3395">
        <v>29000</v>
      </c>
      <c r="BE56" s="3395" t="s">
        <v>3435</v>
      </c>
      <c r="BF56" s="3395" t="s">
        <v>3435</v>
      </c>
      <c r="BG56" s="3395" t="s">
        <v>3435</v>
      </c>
      <c r="BH56" s="3395" t="s">
        <v>3504</v>
      </c>
      <c r="BI56" s="3395" t="s">
        <v>3435</v>
      </c>
      <c r="BJ56" s="3395" t="s">
        <v>3276</v>
      </c>
      <c r="BK56" s="3395" t="s">
        <v>3435</v>
      </c>
      <c r="BL56" s="3395" t="s">
        <v>3435</v>
      </c>
      <c r="BM56" s="3395" t="s">
        <v>3435</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FFC000"/>
    <pageSetUpPr fitToPage="1"/>
  </sheetPr>
  <dimension ref="A1:AE490"/>
  <sheetViews>
    <sheetView view="pageBreakPreview" zoomScale="90" zoomScaleNormal="80" zoomScaleSheetLayoutView="90" workbookViewId="0">
      <selection activeCell="E39" sqref="E39"/>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11</v>
      </c>
      <c r="L1" s="237"/>
      <c r="M1" s="237"/>
      <c r="N1" s="237"/>
      <c r="O1" s="237"/>
      <c r="P1" s="237"/>
      <c r="Q1" s="237"/>
      <c r="R1" s="237"/>
      <c r="S1" s="237"/>
      <c r="T1" s="237"/>
      <c r="U1" s="237"/>
      <c r="V1" s="237"/>
      <c r="W1" s="237"/>
      <c r="X1" s="237"/>
      <c r="Y1" s="237"/>
      <c r="Z1" s="237"/>
    </row>
    <row r="2" spans="1:31" s="1654" customFormat="1" ht="18" customHeight="1">
      <c r="A2" s="1709" t="s">
        <v>427</v>
      </c>
      <c r="B2" s="1713">
        <f ca="1">C36</f>
        <v>48807</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8417</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25006</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1667</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109143.52994318996</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3305</v>
      </c>
      <c r="E7" s="406" t="s">
        <v>2732</v>
      </c>
      <c r="F7" s="406" t="s">
        <v>4089</v>
      </c>
      <c r="G7" s="406" t="s">
        <v>4091</v>
      </c>
      <c r="H7" s="406"/>
      <c r="I7" s="406"/>
      <c r="J7" s="406"/>
      <c r="K7" s="407"/>
      <c r="AA7" s="1720"/>
      <c r="AB7" s="1720"/>
      <c r="AC7" s="1720"/>
      <c r="AD7" s="1720"/>
      <c r="AE7" s="1720"/>
    </row>
    <row r="8" spans="1:31" s="1723" customFormat="1" ht="13.5" customHeight="1">
      <c r="A8" s="738" t="s">
        <v>1374</v>
      </c>
      <c r="B8" s="241" t="s">
        <v>432</v>
      </c>
      <c r="C8" s="2140">
        <f>'不动产比较法-住宅'!B3</f>
        <v>27417</v>
      </c>
      <c r="D8" s="2140">
        <f ca="1">'不动产收益法-酒店模型'!B3</f>
        <v>11227</v>
      </c>
      <c r="E8" s="2140">
        <f ca="1">'不动产收益法-商业'!B3</f>
        <v>13332</v>
      </c>
      <c r="F8" s="2140">
        <f>'不动产比较法-车位'!B3</f>
        <v>3423</v>
      </c>
      <c r="G8" s="2140">
        <f ca="1">'不动产收益法-机械车位'!B3</f>
        <v>6148</v>
      </c>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34475.879999999997</v>
      </c>
      <c r="D9" s="411">
        <f>SUMIF('数据-汇总表'!$C19:$C33,'剩余法-待开发'!D7,'数据-汇总表'!$E19:$E33)</f>
        <v>5896.96</v>
      </c>
      <c r="E9" s="411">
        <f>SUMIF('数据-汇总表'!$C19:$C33,'剩余法-待开发'!E7,'数据-汇总表'!$E19:$E33)</f>
        <v>2172.2399999999998</v>
      </c>
      <c r="F9" s="411">
        <f>SUMIF('数据-汇总表'!$C19:$C33,'剩余法-待开发'!F7,'数据-汇总表'!$E19:$E33)</f>
        <v>6827.6900000000005</v>
      </c>
      <c r="G9" s="411">
        <f>SUMIF('数据-汇总表'!$C19:$C33,'剩余法-待开发'!G7,'数据-汇总表'!$E19:$E33)</f>
        <v>4500.93</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'不动产比较法-住宅'!B2</f>
        <v>94523</v>
      </c>
      <c r="D10" s="2314">
        <f ca="1">'不动产收益法-酒店模型'!B2</f>
        <v>6620.5299431899621</v>
      </c>
      <c r="E10" s="2314">
        <f ca="1">'不动产收益法-商业'!B2</f>
        <v>2896</v>
      </c>
      <c r="F10" s="2314">
        <f>'不动产比较法-车位'!B2</f>
        <v>2337</v>
      </c>
      <c r="G10" s="2143">
        <f ca="1">'不动产收益法-机械车位'!B2</f>
        <v>2767</v>
      </c>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28379</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1419</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862</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1160</v>
      </c>
      <c r="D16" s="2150">
        <f ca="1">IF(B1="",'数据-汇总表'!E3,INDIRECT("'数据-取费表'!K"&amp;$K$1)+INDIRECT("'数据-取费表'!S"&amp;$K$1))</f>
        <v>57989.509999999995</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568</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32388</v>
      </c>
      <c r="D18" s="2158"/>
      <c r="E18" s="437"/>
      <c r="F18" s="437"/>
      <c r="G18" s="1041" t="s">
        <v>1779</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870</v>
      </c>
      <c r="D19" s="2159">
        <f ca="1">D16</f>
        <v>57989.509999999995</v>
      </c>
      <c r="E19" s="1631">
        <f>'数据-取费表'!B32</f>
        <v>150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1022</v>
      </c>
      <c r="D20" s="2159"/>
      <c r="E20" s="1631"/>
      <c r="F20" s="2160"/>
      <c r="G20" s="2343"/>
      <c r="H20" s="2120"/>
      <c r="I20" s="2121" t="s">
        <v>1931</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552</v>
      </c>
      <c r="D21" s="2150">
        <f ca="1">IF(B1="",'数据-汇总表'!E5,IF(INDIRECT("'数据-取费表'!c"&amp;$K$1)="住宅",INDIRECT("'数据-取费表'!k"&amp;$K$1),0))</f>
        <v>34475.879999999997</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470</v>
      </c>
      <c r="D22" s="2150">
        <f ca="1">IF(B1="",'数据-汇总表'!E6,IF(INDIRECT("'数据-取费表'!c"&amp;$K$1)="住宅",INDIRECT("'数据-取费表'!s"&amp;$K$1),INDIRECT("'数据-取费表'!k"&amp;$K$1)+INDIRECT("'数据-取费表'!s"&amp;$K$1)))</f>
        <v>23513.629999999997</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2107</v>
      </c>
      <c r="C23" s="2157">
        <f ca="1">ROUND((C18+C19+C20)*F23,0)</f>
        <v>686</v>
      </c>
      <c r="D23" s="437"/>
      <c r="E23" s="437"/>
      <c r="F23" s="2161">
        <f>'数据-取费表'!B37</f>
        <v>0.02</v>
      </c>
      <c r="G23" s="2122" t="s">
        <v>1780</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2110</v>
      </c>
      <c r="C24" s="2157">
        <f ca="1">ROUND(C6*F24,0)</f>
        <v>3274</v>
      </c>
      <c r="D24" s="444"/>
      <c r="E24" s="442"/>
      <c r="F24" s="2161">
        <f>'数据-取费表'!B38</f>
        <v>0.03</v>
      </c>
      <c r="G24" s="2127" t="s">
        <v>459</v>
      </c>
      <c r="H24" s="1060"/>
      <c r="I24" s="1060"/>
      <c r="J24" s="1060"/>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2108</v>
      </c>
      <c r="C25" s="436">
        <f>ROUND(F25/(1+'数据-取费表'!C42),4)</f>
        <v>2.9000000000000001E-2</v>
      </c>
      <c r="D25" s="431" t="s">
        <v>2103</v>
      </c>
      <c r="E25" s="438"/>
      <c r="F25" s="2161">
        <f>IF(项目基本情况!B8="出让",0,'数据-取费表'!B48+'数据-取费表'!B49)</f>
        <v>3.0499999999999999E-2</v>
      </c>
      <c r="G25" s="2126" t="s">
        <v>1645</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2109</v>
      </c>
      <c r="C26" s="2162">
        <f ca="1">C28</f>
        <v>1185</v>
      </c>
      <c r="D26" s="436">
        <f ca="1">C27</f>
        <v>6.4799999999999996E-2</v>
      </c>
      <c r="E26" s="438" t="s">
        <v>455</v>
      </c>
      <c r="F26" s="440">
        <f ca="1">'数据-取费表'!B40</f>
        <v>3.1E-2</v>
      </c>
      <c r="G26" s="2045" t="str">
        <f>IF('数据-取费表'!B22&lt;=1,"单利计息。","复利计息。")&amp;"后续开发成本、管理费用及销售费用产生的利息。"</f>
        <v>复利计息。后续开发成本、管理费用及销售费用产生的利息。</v>
      </c>
      <c r="H26" s="1042"/>
      <c r="I26" s="1042"/>
      <c r="J26" s="1042"/>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6.4799999999999996E-2</v>
      </c>
      <c r="D27" s="441"/>
      <c r="E27" s="442"/>
      <c r="F27" s="443"/>
      <c r="G27" s="2045" t="str">
        <f>IF('数据-取费表'!B22&lt;=1,"（1+取得税费率/(1+5%)）×年利率×建设期","（1+取得税费率）/(1+5%)×((1+年利率)^建设期-1)")</f>
        <v>（1+取得税费率）/(1+5%)×((1+年利率)^建设期-1)</v>
      </c>
      <c r="H27" s="1060"/>
      <c r="I27" s="1060"/>
      <c r="J27" s="1060"/>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2111</v>
      </c>
      <c r="C28" s="2165">
        <f ca="1">ROUND(IF('数据-取费表'!B22&lt;=1,(C18+C19+C20+C23+C24)*F26*'数据-取费表'!B24/2,(C18+C19+C20+C23+C24)*(POWER((1+F26),'数据-取费表'!B24/2)-1)),0)</f>
        <v>1185</v>
      </c>
      <c r="D28" s="441"/>
      <c r="E28" s="442"/>
      <c r="F28" s="443"/>
      <c r="G28" s="2045" t="str">
        <f>IF('数据-取费表'!B22&lt;=1,"（1）-（4）项×年利率×建设期÷2","（1）-（4）项×((1+年利率)^(建设期÷2)-1)")</f>
        <v>（1）-（4）项×((1+年利率)^(建设期÷2)-1)</v>
      </c>
      <c r="H28" s="1060"/>
      <c r="I28" s="1060"/>
      <c r="J28" s="1060"/>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 ca="1">ROUND(C6*F29/(1+'数据-取费表'!C42),0)</f>
        <v>5717</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45142</v>
      </c>
      <c r="D30" s="446">
        <f ca="1">C32</f>
        <v>9.3799999999999994E-2</v>
      </c>
      <c r="E30" s="438" t="s">
        <v>455</v>
      </c>
      <c r="F30" s="440"/>
      <c r="G30" s="2126" t="s">
        <v>2223</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45142</v>
      </c>
      <c r="D31" s="441"/>
      <c r="E31" s="442"/>
      <c r="F31" s="443"/>
      <c r="G31" s="241"/>
      <c r="H31" s="1060"/>
      <c r="I31" s="1060"/>
      <c r="J31" s="1060"/>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9.3799999999999994E-2</v>
      </c>
      <c r="D32" s="441"/>
      <c r="E32" s="442"/>
      <c r="F32" s="443"/>
      <c r="G32" s="241"/>
      <c r="H32" s="1060"/>
      <c r="I32" s="1060"/>
      <c r="J32" s="1060"/>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2106</v>
      </c>
      <c r="B33" s="2315" t="s">
        <v>2104</v>
      </c>
      <c r="C33" s="447">
        <f ca="1">C35</f>
        <v>4589</v>
      </c>
      <c r="D33" s="436">
        <f ca="1">C34</f>
        <v>0.1235</v>
      </c>
      <c r="E33" s="438" t="s">
        <v>455</v>
      </c>
      <c r="F33" s="448">
        <f ca="1">IF(B1="",'数据-取费表'!Q16,INDIRECT("'数据-取费表'!q"&amp;$K$1))</f>
        <v>0.12</v>
      </c>
      <c r="G33" s="1041"/>
      <c r="H33" s="1042"/>
      <c r="I33" s="1042"/>
      <c r="J33" s="1042"/>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0.1235</v>
      </c>
      <c r="D34" s="441"/>
      <c r="E34" s="442"/>
      <c r="F34" s="449"/>
      <c r="G34" s="241" t="s">
        <v>1646</v>
      </c>
      <c r="H34" s="1060"/>
      <c r="I34" s="1060"/>
      <c r="J34" s="1060"/>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2112</v>
      </c>
      <c r="C35" s="1350">
        <f ca="1">ROUND((C18+C19+C20+C23+C24)*F33,0)</f>
        <v>4589</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48807</v>
      </c>
      <c r="D36" s="2132"/>
      <c r="E36" s="2132"/>
      <c r="F36" s="2132"/>
      <c r="G36" s="2131" t="s">
        <v>2113</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11</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1932</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28379</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1419</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862</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1160</v>
      </c>
      <c r="D16" s="420">
        <f ca="1">IF(B1="",'数据-汇总表'!E3,INDIRECT("'数据-取费表'!K"&amp;$K$1)+INDIRECT("'数据-取费表'!S"&amp;$K$1))</f>
        <v>57989.509999999995</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568</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32388</v>
      </c>
      <c r="D18" s="430"/>
      <c r="E18" s="431"/>
      <c r="F18" s="431"/>
      <c r="G18" s="1129" t="s">
        <v>1781</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648</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1024</v>
      </c>
      <c r="D20" s="431">
        <f ca="1">ROUND(((1+F20)^'数据-取费表'!B20)-1,4)</f>
        <v>6.3E-2</v>
      </c>
      <c r="E20" s="431"/>
      <c r="F20" s="440">
        <f ca="1">'数据-取费表'!B40</f>
        <v>3.1E-2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1798</v>
      </c>
      <c r="M20" s="2714"/>
      <c r="N20" s="2714"/>
      <c r="O20" s="2714"/>
      <c r="P20" s="2714"/>
      <c r="Q20" s="2707"/>
      <c r="R20" s="2707"/>
      <c r="S20" s="2707"/>
      <c r="T20" s="2707"/>
      <c r="U20" s="2707"/>
      <c r="V20" s="2707"/>
      <c r="W20" s="2707"/>
      <c r="X20" s="2707"/>
      <c r="Y20" s="2707"/>
      <c r="Z20" s="2707"/>
    </row>
    <row r="21" spans="1:26" s="1728" customFormat="1" ht="13.5" customHeight="1">
      <c r="A21" s="1356" t="s">
        <v>2290</v>
      </c>
      <c r="B21" s="2315" t="s">
        <v>2105</v>
      </c>
      <c r="C21" s="447">
        <f ca="1">ROUND((C18+C19)*F21,0)</f>
        <v>3964</v>
      </c>
      <c r="D21" s="2784"/>
      <c r="E21" s="431"/>
      <c r="F21" s="448">
        <f ca="1">IF(B1="",'数据-取费表'!Q16,INDIRECT("'数据-取费表'!q"&amp;$K$1))</f>
        <v>0.12</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2291</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39" t="s">
        <v>1394</v>
      </c>
      <c r="B24" s="3640"/>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39" t="s">
        <v>2288</v>
      </c>
      <c r="B25" s="3640"/>
      <c r="C25" s="2794">
        <f>ROUND(C6*F25,0)</f>
        <v>0</v>
      </c>
      <c r="D25" s="2795"/>
      <c r="E25" s="2796"/>
      <c r="F25" s="2800">
        <f>'数据-取费表'!B38</f>
        <v>0.03</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39" t="s">
        <v>2289</v>
      </c>
      <c r="B26" s="3640"/>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41" t="s">
        <v>2287</v>
      </c>
      <c r="B27" s="3642"/>
      <c r="C27" s="2802">
        <f ca="1">(C6-C23-C24-C25)/((1+F26)*(1+D20+F21))</f>
        <v>0</v>
      </c>
      <c r="D27" s="2803"/>
      <c r="E27" s="2803"/>
      <c r="F27" s="2803"/>
      <c r="G27" s="2804" t="s">
        <v>2224</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605" t="s">
        <v>471</v>
      </c>
      <c r="D6" s="3606"/>
      <c r="E6" s="3645" t="s">
        <v>472</v>
      </c>
      <c r="F6" s="3646"/>
      <c r="G6" s="3605" t="s">
        <v>473</v>
      </c>
      <c r="H6" s="3606"/>
      <c r="I6" s="3605" t="s">
        <v>474</v>
      </c>
      <c r="J6" s="3606"/>
      <c r="K6" s="465" t="s">
        <v>475</v>
      </c>
      <c r="L6" s="1741"/>
      <c r="M6" s="1742"/>
      <c r="N6" s="1742"/>
      <c r="O6" s="1742"/>
      <c r="P6" s="3607" t="s">
        <v>476</v>
      </c>
      <c r="Q6" s="3608"/>
      <c r="R6" s="3613" t="s">
        <v>472</v>
      </c>
      <c r="S6" s="3614"/>
      <c r="T6" s="3613" t="s">
        <v>473</v>
      </c>
      <c r="U6" s="3614"/>
      <c r="V6" s="3600" t="s">
        <v>474</v>
      </c>
      <c r="W6" s="3600"/>
      <c r="X6" s="1302"/>
      <c r="Y6" s="3613" t="s">
        <v>476</v>
      </c>
      <c r="Z6" s="3614"/>
      <c r="AA6" s="3602" t="s">
        <v>472</v>
      </c>
      <c r="AB6" s="3603" t="s">
        <v>473</v>
      </c>
      <c r="AC6" s="3602" t="s">
        <v>474</v>
      </c>
    </row>
    <row r="7" spans="1:29" ht="15">
      <c r="A7" s="466"/>
      <c r="B7" s="467"/>
      <c r="C7" s="3621" t="s">
        <v>2185</v>
      </c>
      <c r="D7" s="3622"/>
      <c r="E7" s="3647" t="s">
        <v>2186</v>
      </c>
      <c r="F7" s="3648"/>
      <c r="G7" s="3621" t="s">
        <v>2187</v>
      </c>
      <c r="H7" s="3622"/>
      <c r="I7" s="3621" t="s">
        <v>2188</v>
      </c>
      <c r="J7" s="3622"/>
      <c r="K7" s="465"/>
      <c r="L7" s="1741"/>
      <c r="M7" s="1742"/>
      <c r="N7" s="1742"/>
      <c r="O7" s="1742"/>
      <c r="P7" s="3609"/>
      <c r="Q7" s="3610"/>
      <c r="R7" s="3615"/>
      <c r="S7" s="3616"/>
      <c r="T7" s="3615"/>
      <c r="U7" s="3616"/>
      <c r="V7" s="3600"/>
      <c r="W7" s="3600"/>
      <c r="X7" s="1302"/>
      <c r="Y7" s="3615"/>
      <c r="Z7" s="3616"/>
      <c r="AA7" s="3603"/>
      <c r="AB7" s="3603"/>
      <c r="AC7" s="3603"/>
    </row>
    <row r="8" spans="1:29" ht="15.75" thickBot="1">
      <c r="A8" s="468"/>
      <c r="B8" s="469"/>
      <c r="C8" s="3619" t="s">
        <v>2189</v>
      </c>
      <c r="D8" s="3620"/>
      <c r="E8" s="3643" t="s">
        <v>2189</v>
      </c>
      <c r="F8" s="3644"/>
      <c r="G8" s="3619" t="s">
        <v>2189</v>
      </c>
      <c r="H8" s="3620"/>
      <c r="I8" s="3619" t="s">
        <v>2189</v>
      </c>
      <c r="J8" s="3620"/>
      <c r="K8" s="465" t="s">
        <v>477</v>
      </c>
      <c r="L8" s="1741"/>
      <c r="M8" s="1742"/>
      <c r="N8" s="1742"/>
      <c r="O8" s="1742"/>
      <c r="P8" s="3611"/>
      <c r="Q8" s="3612"/>
      <c r="R8" s="3615"/>
      <c r="S8" s="3616"/>
      <c r="T8" s="3617"/>
      <c r="U8" s="3618"/>
      <c r="V8" s="3600"/>
      <c r="W8" s="3600"/>
      <c r="X8" s="1302"/>
      <c r="Y8" s="3617"/>
      <c r="Z8" s="3618"/>
      <c r="AA8" s="3604"/>
      <c r="AB8" s="3604"/>
      <c r="AC8" s="3604"/>
    </row>
    <row r="9" spans="1:29" s="1059" customFormat="1" ht="15.75" thickBot="1">
      <c r="A9" s="2208"/>
      <c r="B9" s="2215" t="s">
        <v>478</v>
      </c>
      <c r="C9" s="470">
        <f>'数据-取费表'!B2</f>
        <v>45617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30" t="s">
        <v>479</v>
      </c>
      <c r="Q9" s="3632"/>
      <c r="R9" s="1303" t="s">
        <v>5</v>
      </c>
      <c r="S9" s="1304">
        <f t="shared" ref="S9:S17" si="0">F9</f>
        <v>0</v>
      </c>
      <c r="T9" s="1303" t="s">
        <v>5</v>
      </c>
      <c r="U9" s="1304">
        <f t="shared" ref="U9:U17" si="1">H9</f>
        <v>0</v>
      </c>
      <c r="V9" s="1303" t="s">
        <v>5</v>
      </c>
      <c r="W9" s="1304">
        <f t="shared" ref="W9:W17" si="2">J9</f>
        <v>0</v>
      </c>
      <c r="X9" s="1305"/>
      <c r="Y9" s="3630" t="s">
        <v>479</v>
      </c>
      <c r="Z9" s="3631"/>
      <c r="AA9" s="996" t="e">
        <f>D9/F9</f>
        <v>#DIV/0!</v>
      </c>
      <c r="AB9" s="996" t="e">
        <f>D9/H9</f>
        <v>#DIV/0!</v>
      </c>
      <c r="AC9" s="996" t="e">
        <f>D9/J9</f>
        <v>#DIV/0!</v>
      </c>
    </row>
    <row r="10" spans="1:29" s="1059"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30" t="s">
        <v>482</v>
      </c>
      <c r="Q10" s="3631"/>
      <c r="R10" s="1303" t="s">
        <v>5</v>
      </c>
      <c r="S10" s="1304">
        <f t="shared" si="0"/>
        <v>0</v>
      </c>
      <c r="T10" s="1303" t="s">
        <v>5</v>
      </c>
      <c r="U10" s="1304">
        <f t="shared" si="1"/>
        <v>0</v>
      </c>
      <c r="V10" s="1303" t="s">
        <v>5</v>
      </c>
      <c r="W10" s="1304">
        <f t="shared" si="2"/>
        <v>0</v>
      </c>
      <c r="X10" s="1305"/>
      <c r="Y10" s="3630" t="s">
        <v>482</v>
      </c>
      <c r="Z10" s="3631"/>
      <c r="AA10" s="996" t="e">
        <f t="shared" ref="AA10:AA42" si="3">D10/F10</f>
        <v>#DIV/0!</v>
      </c>
      <c r="AB10" s="996" t="e">
        <f t="shared" ref="AB10:AB42" si="4">D10/H10</f>
        <v>#DIV/0!</v>
      </c>
      <c r="AC10" s="996" t="e">
        <f t="shared" ref="AC10:AC42" si="5">D10/J10</f>
        <v>#DIV/0!</v>
      </c>
    </row>
    <row r="11" spans="1:29" s="1059" customFormat="1" ht="15">
      <c r="A11" s="2210"/>
      <c r="B11" s="2217" t="s">
        <v>2036</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9" t="s">
        <v>484</v>
      </c>
      <c r="Q11" s="817" t="str">
        <f t="shared" ref="Q11:Q17" si="6">B11</f>
        <v>用途</v>
      </c>
      <c r="R11" s="1303" t="s">
        <v>5</v>
      </c>
      <c r="S11" s="1304">
        <f t="shared" si="0"/>
        <v>100</v>
      </c>
      <c r="T11" s="1303" t="s">
        <v>5</v>
      </c>
      <c r="U11" s="1304">
        <f t="shared" si="1"/>
        <v>100</v>
      </c>
      <c r="V11" s="1303" t="s">
        <v>5</v>
      </c>
      <c r="W11" s="1304">
        <f t="shared" si="2"/>
        <v>100</v>
      </c>
      <c r="X11" s="1305"/>
      <c r="Y11" s="3547" t="s">
        <v>485</v>
      </c>
      <c r="Z11" s="996" t="str">
        <f t="shared" ref="Z11:Z17" si="7">Q11</f>
        <v>用途</v>
      </c>
      <c r="AA11" s="996">
        <f t="shared" si="3"/>
        <v>1</v>
      </c>
      <c r="AB11" s="996">
        <f t="shared" si="4"/>
        <v>1</v>
      </c>
      <c r="AC11" s="996">
        <f t="shared" si="5"/>
        <v>1</v>
      </c>
    </row>
    <row r="12" spans="1:29" s="1132" customFormat="1" ht="27">
      <c r="A12" s="2211"/>
      <c r="B12" s="2216" t="s">
        <v>2037</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599"/>
      <c r="Q12" s="817" t="str">
        <f t="shared" si="6"/>
        <v>土地使用年限（年）</v>
      </c>
      <c r="R12" s="1303" t="s">
        <v>5</v>
      </c>
      <c r="S12" s="1304">
        <f t="shared" si="0"/>
        <v>100</v>
      </c>
      <c r="T12" s="1303" t="s">
        <v>5</v>
      </c>
      <c r="U12" s="1304">
        <f t="shared" si="1"/>
        <v>100</v>
      </c>
      <c r="V12" s="1303" t="s">
        <v>5</v>
      </c>
      <c r="W12" s="1304">
        <f t="shared" si="2"/>
        <v>100</v>
      </c>
      <c r="X12" s="1305"/>
      <c r="Y12" s="3547"/>
      <c r="Z12" s="996" t="str">
        <f t="shared" si="7"/>
        <v>土地使用年限（年）</v>
      </c>
      <c r="AA12" s="996">
        <f t="shared" si="3"/>
        <v>1</v>
      </c>
      <c r="AB12" s="996">
        <f t="shared" si="4"/>
        <v>1</v>
      </c>
      <c r="AC12" s="996">
        <f t="shared" si="5"/>
        <v>1</v>
      </c>
    </row>
    <row r="13" spans="1:29" ht="15">
      <c r="A13" s="2212"/>
      <c r="B13" s="2216" t="s">
        <v>2038</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9"/>
      <c r="Q13" s="817" t="str">
        <f t="shared" si="6"/>
        <v>容积率</v>
      </c>
      <c r="R13" s="1303" t="s">
        <v>5</v>
      </c>
      <c r="S13" s="1304" t="e">
        <f t="shared" si="0"/>
        <v>#N/A</v>
      </c>
      <c r="T13" s="1303" t="s">
        <v>5</v>
      </c>
      <c r="U13" s="1304" t="e">
        <f t="shared" si="1"/>
        <v>#N/A</v>
      </c>
      <c r="V13" s="1303" t="s">
        <v>5</v>
      </c>
      <c r="W13" s="1304" t="e">
        <f t="shared" si="2"/>
        <v>#N/A</v>
      </c>
      <c r="X13" s="1305"/>
      <c r="Y13" s="3547"/>
      <c r="Z13" s="996" t="str">
        <f t="shared" si="7"/>
        <v>容积率</v>
      </c>
      <c r="AA13" s="996" t="e">
        <f t="shared" si="3"/>
        <v>#N/A</v>
      </c>
      <c r="AB13" s="996" t="e">
        <f t="shared" si="4"/>
        <v>#N/A</v>
      </c>
      <c r="AC13" s="996" t="e">
        <f t="shared" si="5"/>
        <v>#N/A</v>
      </c>
    </row>
    <row r="14" spans="1:29" s="1059"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9"/>
      <c r="Q14" s="817">
        <f t="shared" si="6"/>
        <v>111</v>
      </c>
      <c r="R14" s="1303" t="s">
        <v>5</v>
      </c>
      <c r="S14" s="1304">
        <f t="shared" si="0"/>
        <v>100</v>
      </c>
      <c r="T14" s="1303" t="s">
        <v>5</v>
      </c>
      <c r="U14" s="1304">
        <f t="shared" si="1"/>
        <v>100</v>
      </c>
      <c r="V14" s="1303" t="s">
        <v>5</v>
      </c>
      <c r="W14" s="1304">
        <f t="shared" si="2"/>
        <v>100</v>
      </c>
      <c r="X14" s="1305"/>
      <c r="Y14" s="3547"/>
      <c r="Z14" s="996">
        <f t="shared" si="7"/>
        <v>111</v>
      </c>
      <c r="AA14" s="996">
        <f>D14/F14</f>
        <v>1</v>
      </c>
      <c r="AB14" s="996">
        <f>D14/H14</f>
        <v>1</v>
      </c>
      <c r="AC14" s="996">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9"/>
      <c r="Q15" s="817">
        <f t="shared" si="6"/>
        <v>111</v>
      </c>
      <c r="R15" s="1303" t="s">
        <v>5</v>
      </c>
      <c r="S15" s="1304">
        <f t="shared" si="0"/>
        <v>100</v>
      </c>
      <c r="T15" s="1303" t="s">
        <v>5</v>
      </c>
      <c r="U15" s="1304">
        <f t="shared" si="1"/>
        <v>100</v>
      </c>
      <c r="V15" s="1303" t="s">
        <v>5</v>
      </c>
      <c r="W15" s="1304">
        <f t="shared" si="2"/>
        <v>100</v>
      </c>
      <c r="X15" s="1305"/>
      <c r="Y15" s="3547"/>
      <c r="Z15" s="996">
        <f t="shared" si="7"/>
        <v>111</v>
      </c>
      <c r="AA15" s="996">
        <f t="shared" si="3"/>
        <v>1</v>
      </c>
      <c r="AB15" s="996">
        <f t="shared" si="4"/>
        <v>1</v>
      </c>
      <c r="AC15" s="996">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9"/>
      <c r="Q16" s="817">
        <f t="shared" si="6"/>
        <v>111</v>
      </c>
      <c r="R16" s="1303" t="s">
        <v>5</v>
      </c>
      <c r="S16" s="1304">
        <f t="shared" si="0"/>
        <v>100</v>
      </c>
      <c r="T16" s="1303" t="s">
        <v>5</v>
      </c>
      <c r="U16" s="1304">
        <f t="shared" si="1"/>
        <v>100</v>
      </c>
      <c r="V16" s="1303" t="s">
        <v>5</v>
      </c>
      <c r="W16" s="1304">
        <f t="shared" si="2"/>
        <v>100</v>
      </c>
      <c r="X16" s="1305"/>
      <c r="Y16" s="3547"/>
      <c r="Z16" s="996">
        <f t="shared" si="7"/>
        <v>111</v>
      </c>
      <c r="AA16" s="996">
        <f t="shared" si="3"/>
        <v>1</v>
      </c>
      <c r="AB16" s="996">
        <f t="shared" si="4"/>
        <v>1</v>
      </c>
      <c r="AC16" s="996">
        <f t="shared" si="5"/>
        <v>1</v>
      </c>
    </row>
    <row r="17" spans="1:29" ht="57">
      <c r="A17" s="2206" t="s">
        <v>2034</v>
      </c>
      <c r="B17" s="150" t="s">
        <v>546</v>
      </c>
      <c r="C17" s="842"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33" t="s">
        <v>489</v>
      </c>
      <c r="Q17" s="1306" t="str">
        <f t="shared" si="6"/>
        <v>产业集聚程度</v>
      </c>
      <c r="R17" s="1307" t="s">
        <v>5</v>
      </c>
      <c r="S17" s="1308">
        <f t="shared" si="0"/>
        <v>100</v>
      </c>
      <c r="T17" s="1307" t="s">
        <v>5</v>
      </c>
      <c r="U17" s="1308">
        <f t="shared" si="1"/>
        <v>100</v>
      </c>
      <c r="V17" s="1307" t="s">
        <v>5</v>
      </c>
      <c r="W17" s="1308">
        <f t="shared" si="2"/>
        <v>100</v>
      </c>
      <c r="X17" s="1302"/>
      <c r="Y17" s="3633"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34"/>
      <c r="Q18" s="1306"/>
      <c r="R18" s="1307"/>
      <c r="S18" s="1308"/>
      <c r="T18" s="1307"/>
      <c r="U18" s="1308"/>
      <c r="V18" s="1307"/>
      <c r="W18" s="1308"/>
      <c r="X18" s="1302"/>
      <c r="Y18" s="3634"/>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34"/>
      <c r="Q19" s="1306" t="str">
        <f>B19</f>
        <v>交通便捷度</v>
      </c>
      <c r="R19" s="1307" t="s">
        <v>5</v>
      </c>
      <c r="S19" s="1308">
        <f>F19</f>
        <v>100</v>
      </c>
      <c r="T19" s="1307" t="s">
        <v>5</v>
      </c>
      <c r="U19" s="1308">
        <f>H19</f>
        <v>100</v>
      </c>
      <c r="V19" s="1307" t="s">
        <v>5</v>
      </c>
      <c r="W19" s="1308">
        <f>J19</f>
        <v>100</v>
      </c>
      <c r="X19" s="1302"/>
      <c r="Y19" s="3634"/>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34"/>
      <c r="Q20" s="1306"/>
      <c r="R20" s="1307"/>
      <c r="S20" s="1308"/>
      <c r="T20" s="1307"/>
      <c r="U20" s="1308"/>
      <c r="V20" s="1307"/>
      <c r="W20" s="1308"/>
      <c r="X20" s="1302"/>
      <c r="Y20" s="3634"/>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34"/>
      <c r="Q21" s="1306" t="str">
        <f t="shared" ref="Q21:Q35" si="8">B21</f>
        <v>区域土地利用方向</v>
      </c>
      <c r="R21" s="1307" t="s">
        <v>5</v>
      </c>
      <c r="S21" s="1308">
        <f>F21</f>
        <v>100</v>
      </c>
      <c r="T21" s="1307" t="s">
        <v>5</v>
      </c>
      <c r="U21" s="1308">
        <f>H21</f>
        <v>100</v>
      </c>
      <c r="V21" s="1307" t="s">
        <v>5</v>
      </c>
      <c r="W21" s="1308">
        <f>J21</f>
        <v>100</v>
      </c>
      <c r="X21" s="1302"/>
      <c r="Y21" s="3634"/>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34"/>
      <c r="Q22" s="1306"/>
      <c r="R22" s="1307"/>
      <c r="S22" s="1308"/>
      <c r="T22" s="1307"/>
      <c r="U22" s="1308"/>
      <c r="V22" s="1307"/>
      <c r="W22" s="1308"/>
      <c r="X22" s="1302"/>
      <c r="Y22" s="3634"/>
      <c r="Z22" s="1309"/>
      <c r="AA22" s="1309"/>
      <c r="AB22" s="1309"/>
      <c r="AC22" s="1309"/>
    </row>
    <row r="23" spans="1:29" ht="71.25">
      <c r="A23" s="466"/>
      <c r="B23" s="843"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34"/>
      <c r="Q23" s="1306" t="str">
        <f t="shared" si="8"/>
        <v>环境状况</v>
      </c>
      <c r="R23" s="1307" t="s">
        <v>5</v>
      </c>
      <c r="S23" s="1308">
        <f>F23</f>
        <v>100</v>
      </c>
      <c r="T23" s="1307" t="s">
        <v>5</v>
      </c>
      <c r="U23" s="1308">
        <f>H23</f>
        <v>100</v>
      </c>
      <c r="V23" s="1307" t="s">
        <v>5</v>
      </c>
      <c r="W23" s="1308">
        <f>J23</f>
        <v>100</v>
      </c>
      <c r="X23" s="1302"/>
      <c r="Y23" s="3634"/>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34"/>
      <c r="Q24" s="1306"/>
      <c r="R24" s="1307"/>
      <c r="S24" s="1308"/>
      <c r="T24" s="1307"/>
      <c r="U24" s="1308"/>
      <c r="V24" s="1307"/>
      <c r="W24" s="1308"/>
      <c r="X24" s="1302"/>
      <c r="Y24" s="3634"/>
      <c r="Z24" s="1309"/>
      <c r="AA24" s="1309">
        <v>1</v>
      </c>
      <c r="AB24" s="1309">
        <v>1</v>
      </c>
      <c r="AC24" s="1309">
        <v>1</v>
      </c>
    </row>
    <row r="25" spans="1:29" s="1059" customFormat="1" ht="42.75">
      <c r="A25" s="527"/>
      <c r="B25" s="2052" t="s">
        <v>1829</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34"/>
      <c r="Q25" s="817" t="str">
        <f t="shared" si="8"/>
        <v>公共配套设施</v>
      </c>
      <c r="R25" s="1303" t="s">
        <v>5</v>
      </c>
      <c r="S25" s="1304">
        <f>F25</f>
        <v>100</v>
      </c>
      <c r="T25" s="1303" t="s">
        <v>5</v>
      </c>
      <c r="U25" s="1304">
        <f>H25</f>
        <v>100</v>
      </c>
      <c r="V25" s="1303" t="s">
        <v>5</v>
      </c>
      <c r="W25" s="1304">
        <f>J25</f>
        <v>100</v>
      </c>
      <c r="X25" s="1305"/>
      <c r="Y25" s="3634"/>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34"/>
      <c r="Q26" s="817"/>
      <c r="R26" s="1303"/>
      <c r="S26" s="1304"/>
      <c r="T26" s="1303"/>
      <c r="U26" s="1304"/>
      <c r="V26" s="1303"/>
      <c r="W26" s="1304"/>
      <c r="X26" s="1305"/>
      <c r="Y26" s="3634"/>
      <c r="Z26" s="996"/>
      <c r="AA26" s="996">
        <v>1</v>
      </c>
      <c r="AB26" s="996">
        <v>1</v>
      </c>
      <c r="AC26" s="996">
        <v>1</v>
      </c>
    </row>
    <row r="27" spans="1:29" s="1059" customFormat="1" ht="28.5">
      <c r="A27" s="527"/>
      <c r="B27" s="2052" t="s">
        <v>1830</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34"/>
      <c r="Q27" s="817" t="str">
        <f>B27</f>
        <v>基础设施水平</v>
      </c>
      <c r="R27" s="1303" t="s">
        <v>5</v>
      </c>
      <c r="S27" s="1304">
        <f>F27</f>
        <v>100</v>
      </c>
      <c r="T27" s="1303" t="s">
        <v>5</v>
      </c>
      <c r="U27" s="1304">
        <f>H27</f>
        <v>100</v>
      </c>
      <c r="V27" s="1303" t="s">
        <v>5</v>
      </c>
      <c r="W27" s="1304">
        <f>J27</f>
        <v>100</v>
      </c>
      <c r="X27" s="1305"/>
      <c r="Y27" s="3634"/>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34"/>
      <c r="Q28" s="817"/>
      <c r="R28" s="1303"/>
      <c r="S28" s="1304"/>
      <c r="T28" s="1303"/>
      <c r="U28" s="1304"/>
      <c r="V28" s="1303"/>
      <c r="W28" s="1304"/>
      <c r="X28" s="1305"/>
      <c r="Y28" s="3634"/>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34"/>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4"/>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34"/>
      <c r="Q30" s="1306" t="str">
        <f t="shared" si="8"/>
        <v>毗邻道路的类型与等级</v>
      </c>
      <c r="R30" s="1307" t="s">
        <v>5</v>
      </c>
      <c r="S30" s="1308">
        <f t="shared" si="9"/>
        <v>100</v>
      </c>
      <c r="T30" s="1307" t="s">
        <v>5</v>
      </c>
      <c r="U30" s="1308">
        <f t="shared" si="10"/>
        <v>100</v>
      </c>
      <c r="V30" s="1307" t="s">
        <v>5</v>
      </c>
      <c r="W30" s="1308">
        <f t="shared" si="11"/>
        <v>100</v>
      </c>
      <c r="X30" s="1302"/>
      <c r="Y30" s="3634"/>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34"/>
      <c r="Q31" s="1306"/>
      <c r="R31" s="1307"/>
      <c r="S31" s="1308"/>
      <c r="T31" s="1307"/>
      <c r="U31" s="1308"/>
      <c r="V31" s="1307"/>
      <c r="W31" s="1308"/>
      <c r="X31" s="1302"/>
      <c r="Y31" s="3634"/>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34"/>
      <c r="Q32" s="1306" t="str">
        <f t="shared" si="8"/>
        <v>土地级别</v>
      </c>
      <c r="R32" s="1307" t="s">
        <v>5</v>
      </c>
      <c r="S32" s="1308">
        <f t="shared" si="9"/>
        <v>100</v>
      </c>
      <c r="T32" s="1307" t="s">
        <v>5</v>
      </c>
      <c r="U32" s="1308">
        <f t="shared" si="10"/>
        <v>100</v>
      </c>
      <c r="V32" s="1307" t="s">
        <v>5</v>
      </c>
      <c r="W32" s="1308">
        <f t="shared" si="11"/>
        <v>100</v>
      </c>
      <c r="X32" s="1302"/>
      <c r="Y32" s="3634"/>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34"/>
      <c r="Q33" s="1306">
        <f t="shared" si="8"/>
        <v>111</v>
      </c>
      <c r="R33" s="1307" t="s">
        <v>5</v>
      </c>
      <c r="S33" s="1308">
        <f t="shared" si="9"/>
        <v>100</v>
      </c>
      <c r="T33" s="1307" t="s">
        <v>5</v>
      </c>
      <c r="U33" s="1308">
        <f t="shared" si="10"/>
        <v>100</v>
      </c>
      <c r="V33" s="1307" t="s">
        <v>5</v>
      </c>
      <c r="W33" s="1308">
        <f t="shared" si="11"/>
        <v>100</v>
      </c>
      <c r="X33" s="1302"/>
      <c r="Y33" s="3634"/>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35" t="s">
        <v>499</v>
      </c>
      <c r="Q34" s="1306">
        <f t="shared" si="8"/>
        <v>111</v>
      </c>
      <c r="R34" s="1307" t="s">
        <v>5</v>
      </c>
      <c r="S34" s="1308">
        <f t="shared" si="9"/>
        <v>100</v>
      </c>
      <c r="T34" s="1307" t="s">
        <v>5</v>
      </c>
      <c r="U34" s="1308">
        <f t="shared" si="10"/>
        <v>100</v>
      </c>
      <c r="V34" s="1307" t="s">
        <v>5</v>
      </c>
      <c r="W34" s="1308">
        <f t="shared" si="11"/>
        <v>100</v>
      </c>
      <c r="X34" s="1302"/>
      <c r="Y34" s="3636"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36"/>
      <c r="Q35" s="1306">
        <f t="shared" si="8"/>
        <v>111</v>
      </c>
      <c r="R35" s="1310" t="s">
        <v>5</v>
      </c>
      <c r="S35" s="1311">
        <f t="shared" si="9"/>
        <v>100</v>
      </c>
      <c r="T35" s="1310" t="s">
        <v>5</v>
      </c>
      <c r="U35" s="1311">
        <f t="shared" si="10"/>
        <v>100</v>
      </c>
      <c r="V35" s="1310" t="s">
        <v>5</v>
      </c>
      <c r="W35" s="1311">
        <f t="shared" si="11"/>
        <v>100</v>
      </c>
      <c r="X35" s="1312"/>
      <c r="Y35" s="3636"/>
      <c r="Z35" s="1313">
        <f t="shared" si="12"/>
        <v>111</v>
      </c>
      <c r="AA35" s="1309">
        <f t="shared" si="3"/>
        <v>1</v>
      </c>
      <c r="AB35" s="1309">
        <f t="shared" si="4"/>
        <v>1</v>
      </c>
      <c r="AC35" s="1309">
        <f t="shared" si="5"/>
        <v>1</v>
      </c>
    </row>
    <row r="36" spans="1:29" ht="15">
      <c r="A36" s="2204"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36"/>
      <c r="Q36" s="1306" t="str">
        <f>B36</f>
        <v>宗地面积</v>
      </c>
      <c r="R36" s="1307" t="s">
        <v>5</v>
      </c>
      <c r="S36" s="1308" t="e">
        <f t="shared" si="9"/>
        <v>#N/A</v>
      </c>
      <c r="T36" s="1307" t="s">
        <v>5</v>
      </c>
      <c r="U36" s="1308" t="e">
        <f t="shared" si="10"/>
        <v>#N/A</v>
      </c>
      <c r="V36" s="1307" t="s">
        <v>5</v>
      </c>
      <c r="W36" s="1308" t="e">
        <f t="shared" si="11"/>
        <v>#N/A</v>
      </c>
      <c r="X36" s="1302"/>
      <c r="Y36" s="3636"/>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36"/>
      <c r="Q37" s="1306" t="str">
        <f t="shared" ref="Q37:Q42" si="13">B37</f>
        <v>宗地形状</v>
      </c>
      <c r="R37" s="1307" t="s">
        <v>5</v>
      </c>
      <c r="S37" s="1308">
        <f t="shared" si="9"/>
        <v>100</v>
      </c>
      <c r="T37" s="1307" t="s">
        <v>5</v>
      </c>
      <c r="U37" s="1308">
        <f t="shared" si="10"/>
        <v>100</v>
      </c>
      <c r="V37" s="1307" t="s">
        <v>5</v>
      </c>
      <c r="W37" s="1308">
        <f t="shared" si="11"/>
        <v>100</v>
      </c>
      <c r="X37" s="1302"/>
      <c r="Y37" s="3636"/>
      <c r="Z37" s="1309" t="str">
        <f t="shared" si="12"/>
        <v>宗地形状</v>
      </c>
      <c r="AA37" s="1309">
        <f t="shared" si="3"/>
        <v>1</v>
      </c>
      <c r="AB37" s="1309">
        <f t="shared" si="4"/>
        <v>1</v>
      </c>
      <c r="AC37" s="1309">
        <f t="shared" si="5"/>
        <v>1</v>
      </c>
    </row>
    <row r="38" spans="1:29" s="1059" customFormat="1" ht="15">
      <c r="A38" s="549"/>
      <c r="B38" s="1554"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36"/>
      <c r="Q38" s="1306" t="str">
        <f t="shared" si="13"/>
        <v>宗地开发程度</v>
      </c>
      <c r="R38" s="1303" t="s">
        <v>5</v>
      </c>
      <c r="S38" s="1304">
        <f t="shared" si="9"/>
        <v>100</v>
      </c>
      <c r="T38" s="1303" t="s">
        <v>5</v>
      </c>
      <c r="U38" s="1304">
        <f t="shared" si="10"/>
        <v>100</v>
      </c>
      <c r="V38" s="1303" t="s">
        <v>5</v>
      </c>
      <c r="W38" s="1304">
        <f t="shared" si="11"/>
        <v>100</v>
      </c>
      <c r="X38" s="1305"/>
      <c r="Y38" s="3636"/>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36" t="s">
        <v>549</v>
      </c>
      <c r="Q39" s="1306" t="str">
        <f t="shared" si="13"/>
        <v>工程地质条件</v>
      </c>
      <c r="R39" s="1307" t="s">
        <v>5</v>
      </c>
      <c r="S39" s="1308">
        <f t="shared" si="9"/>
        <v>100</v>
      </c>
      <c r="T39" s="1307" t="s">
        <v>5</v>
      </c>
      <c r="U39" s="1308">
        <f t="shared" si="10"/>
        <v>100</v>
      </c>
      <c r="V39" s="1307" t="s">
        <v>5</v>
      </c>
      <c r="W39" s="1308">
        <f t="shared" si="11"/>
        <v>100</v>
      </c>
      <c r="X39" s="1302"/>
      <c r="Y39" s="3636"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36"/>
      <c r="Q40" s="1306">
        <f t="shared" si="13"/>
        <v>111</v>
      </c>
      <c r="R40" s="1307" t="s">
        <v>5</v>
      </c>
      <c r="S40" s="1308">
        <f t="shared" si="9"/>
        <v>100</v>
      </c>
      <c r="T40" s="1307" t="s">
        <v>5</v>
      </c>
      <c r="U40" s="1308">
        <f t="shared" si="10"/>
        <v>100</v>
      </c>
      <c r="V40" s="1307" t="s">
        <v>5</v>
      </c>
      <c r="W40" s="1308">
        <f t="shared" si="11"/>
        <v>100</v>
      </c>
      <c r="X40" s="1302"/>
      <c r="Y40" s="3636"/>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36"/>
      <c r="Q41" s="1306">
        <f t="shared" si="13"/>
        <v>111</v>
      </c>
      <c r="R41" s="1307" t="s">
        <v>5</v>
      </c>
      <c r="S41" s="1308">
        <f t="shared" si="9"/>
        <v>100</v>
      </c>
      <c r="T41" s="1307" t="s">
        <v>5</v>
      </c>
      <c r="U41" s="1308">
        <f t="shared" si="10"/>
        <v>100</v>
      </c>
      <c r="V41" s="1307" t="s">
        <v>5</v>
      </c>
      <c r="W41" s="1308">
        <f t="shared" si="11"/>
        <v>100</v>
      </c>
      <c r="X41" s="1302"/>
      <c r="Y41" s="3636"/>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36"/>
      <c r="Q42" s="1306">
        <f t="shared" si="13"/>
        <v>111</v>
      </c>
      <c r="R42" s="1310" t="s">
        <v>5</v>
      </c>
      <c r="S42" s="1311">
        <f t="shared" si="9"/>
        <v>100</v>
      </c>
      <c r="T42" s="1310" t="s">
        <v>5</v>
      </c>
      <c r="U42" s="1311">
        <f t="shared" si="10"/>
        <v>100</v>
      </c>
      <c r="V42" s="1310" t="s">
        <v>5</v>
      </c>
      <c r="W42" s="1311">
        <f t="shared" si="11"/>
        <v>100</v>
      </c>
      <c r="X42" s="1312"/>
      <c r="Y42" s="3636"/>
      <c r="Z42" s="1313">
        <f t="shared" si="12"/>
        <v>111</v>
      </c>
      <c r="AA42" s="1309">
        <f t="shared" si="3"/>
        <v>1</v>
      </c>
      <c r="AB42" s="1309">
        <f t="shared" si="4"/>
        <v>1</v>
      </c>
      <c r="AC42" s="1309">
        <f t="shared" si="5"/>
        <v>1</v>
      </c>
    </row>
    <row r="43" spans="1:29" ht="15">
      <c r="A43" s="556" t="s">
        <v>505</v>
      </c>
      <c r="B43" s="557" t="s">
        <v>2190</v>
      </c>
      <c r="C43" s="558" t="s">
        <v>0</v>
      </c>
      <c r="D43" s="559"/>
      <c r="E43" s="560"/>
      <c r="F43" s="561"/>
      <c r="G43" s="562"/>
      <c r="H43" s="563"/>
      <c r="I43" s="560"/>
      <c r="J43" s="563"/>
      <c r="K43" s="1134"/>
      <c r="L43" s="1751"/>
      <c r="M43" s="1742"/>
      <c r="N43" s="1742"/>
      <c r="O43" s="1742"/>
      <c r="P43" s="3599" t="str">
        <f>A43</f>
        <v>成交单价</v>
      </c>
      <c r="Q43" s="3599"/>
      <c r="R43" s="3600">
        <f>E43</f>
        <v>0</v>
      </c>
      <c r="S43" s="3600"/>
      <c r="T43" s="3600">
        <f>G43</f>
        <v>0</v>
      </c>
      <c r="U43" s="3600"/>
      <c r="V43" s="3600">
        <f>I43</f>
        <v>0</v>
      </c>
      <c r="W43" s="3600"/>
      <c r="X43" s="799"/>
      <c r="Y43" s="1314"/>
      <c r="Z43" s="799"/>
      <c r="AA43" s="799"/>
      <c r="AB43" s="799"/>
      <c r="AC43" s="799"/>
    </row>
    <row r="44" spans="1:29" ht="15.75" thickBot="1">
      <c r="A44" s="564" t="s">
        <v>1973</v>
      </c>
      <c r="B44" s="565"/>
      <c r="C44" s="566" t="e">
        <f>R45</f>
        <v>#DIV/0!</v>
      </c>
      <c r="D44" s="2549" t="s">
        <v>2254</v>
      </c>
      <c r="E44" s="566" t="e">
        <f>R44</f>
        <v>#DIV/0!</v>
      </c>
      <c r="F44" s="2550"/>
      <c r="G44" s="567" t="e">
        <f>T44</f>
        <v>#DIV/0!</v>
      </c>
      <c r="H44" s="2550"/>
      <c r="I44" s="566" t="e">
        <f>V44</f>
        <v>#DIV/0!</v>
      </c>
      <c r="J44" s="2550"/>
      <c r="K44" s="2551">
        <f>F44+H44+J44</f>
        <v>0</v>
      </c>
      <c r="L44" s="1751"/>
      <c r="M44" s="1742"/>
      <c r="N44" s="1742"/>
      <c r="O44" s="1742"/>
      <c r="P44" s="3599" t="str">
        <f>A44</f>
        <v>比较价格（元/平方米）</v>
      </c>
      <c r="Q44" s="3599"/>
      <c r="R44" s="3601" t="e">
        <f>ROUND(PRODUCT(R43,AA9:AA42),0)</f>
        <v>#DIV/0!</v>
      </c>
      <c r="S44" s="3601"/>
      <c r="T44" s="3601" t="e">
        <f>ROUND(PRODUCT(T43,AB9:AB42),0)</f>
        <v>#DIV/0!</v>
      </c>
      <c r="U44" s="3601"/>
      <c r="V44" s="3601" t="e">
        <f>ROUND(PRODUCT(V43,AC9:AC42),0)</f>
        <v>#DIV/0!</v>
      </c>
      <c r="W44" s="3601"/>
      <c r="X44" s="799"/>
      <c r="Y44" s="799"/>
      <c r="Z44" s="799"/>
      <c r="AA44" s="799"/>
      <c r="AB44" s="799"/>
      <c r="AC44" s="799"/>
    </row>
    <row r="45" spans="1:29" ht="15.75" thickBot="1">
      <c r="A45" s="568" t="s">
        <v>2191</v>
      </c>
      <c r="B45" s="569"/>
      <c r="C45" s="570" t="e">
        <f>R45</f>
        <v>#DIV/0!</v>
      </c>
      <c r="D45" s="570"/>
      <c r="E45" s="570"/>
      <c r="F45" s="570"/>
      <c r="G45" s="570"/>
      <c r="H45" s="570"/>
      <c r="I45" s="570"/>
      <c r="J45" s="570"/>
      <c r="K45" s="1135"/>
      <c r="L45" s="1751"/>
      <c r="M45" s="1742"/>
      <c r="N45" s="1742"/>
      <c r="O45" s="1742"/>
      <c r="P45" s="3637" t="str">
        <f>A45</f>
        <v>估价对象XX用房的比较价格（楼面单价，元/平方米）</v>
      </c>
      <c r="Q45" s="3638"/>
      <c r="R45" s="3653" t="e">
        <f>ROUND(IF(D44="简单平均",AVERAGE(R44:W44),R44*F44+T44*H44+V44*J44),0)</f>
        <v>#DIV/0!</v>
      </c>
      <c r="S45" s="3653"/>
      <c r="T45" s="3653"/>
      <c r="U45" s="3653"/>
      <c r="V45" s="3653"/>
      <c r="W45" s="3653"/>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1648</v>
      </c>
      <c r="E52" s="578" t="s">
        <v>511</v>
      </c>
      <c r="F52" s="1610" t="s">
        <v>512</v>
      </c>
      <c r="G52" s="3649" t="s">
        <v>1640</v>
      </c>
      <c r="H52" s="3650"/>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42645.099999999991</v>
      </c>
      <c r="F53" s="1609" t="e">
        <f t="shared" ref="F53:F61" si="14">ROUND(B53*E53/10000,0)</f>
        <v>#DIV/0!</v>
      </c>
      <c r="G53" s="3651"/>
      <c r="H53" s="3652"/>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0.5</v>
      </c>
      <c r="D54" s="1823">
        <v>0.25</v>
      </c>
      <c r="E54" s="586"/>
      <c r="F54" s="1609" t="e">
        <f t="shared" si="14"/>
        <v>#DIV/0!</v>
      </c>
      <c r="G54" s="3027" t="s">
        <v>1641</v>
      </c>
      <c r="H54" s="1613" t="str">
        <f>项目基本情况!B43</f>
        <v>九级</v>
      </c>
      <c r="I54" s="1612">
        <f>SUMIF(修正!$A$57:$A$68,H54,修正!B57:B68)</f>
        <v>0.5</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0.2</v>
      </c>
      <c r="D55" s="1823">
        <v>0.25</v>
      </c>
      <c r="E55" s="586"/>
      <c r="F55" s="1609" t="e">
        <f t="shared" si="14"/>
        <v>#DIV/0!</v>
      </c>
      <c r="G55" s="3028"/>
      <c r="H55" s="1614" t="str">
        <f>项目基本情况!B43</f>
        <v>九级</v>
      </c>
      <c r="I55" s="1612">
        <f>SUMIF(修正!$A$57:$A$68,H55,修正!C57:C68)</f>
        <v>0.2</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0.2</v>
      </c>
      <c r="D56" s="1823">
        <v>0.25</v>
      </c>
      <c r="E56" s="586"/>
      <c r="F56" s="1609" t="e">
        <f t="shared" si="14"/>
        <v>#DIV/0!</v>
      </c>
      <c r="G56" s="3028"/>
      <c r="H56" s="1614" t="str">
        <f>项目基本情况!B43</f>
        <v>九级</v>
      </c>
      <c r="I56" s="1612">
        <f>SUMIF(修正!$A$57:$A$68,H56,修正!D57:D68)</f>
        <v>0.2</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1683</v>
      </c>
      <c r="B57" s="585" t="e">
        <f t="shared" si="16"/>
        <v>#DIV/0!</v>
      </c>
      <c r="C57" s="348">
        <f t="shared" si="15"/>
        <v>0.2</v>
      </c>
      <c r="D57" s="1823">
        <v>0.25</v>
      </c>
      <c r="E57" s="588">
        <f>'数据-汇总表'!E11</f>
        <v>50.08</v>
      </c>
      <c r="F57" s="1609" t="e">
        <f t="shared" si="14"/>
        <v>#DIV/0!</v>
      </c>
      <c r="G57" s="1615" t="s">
        <v>1642</v>
      </c>
      <c r="H57" s="1614" t="str">
        <f>项目基本情况!C43</f>
        <v>九级</v>
      </c>
      <c r="I57" s="1612">
        <f>SUMIF(修正!$A$57:$A$68,H57,修正!E57:E68)</f>
        <v>0.2</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0.2</v>
      </c>
      <c r="D58" s="1823">
        <v>0.25</v>
      </c>
      <c r="E58" s="588">
        <f>'数据-汇总表'!E12</f>
        <v>0</v>
      </c>
      <c r="F58" s="1609" t="e">
        <f t="shared" si="14"/>
        <v>#DIV/0!</v>
      </c>
      <c r="G58" s="1605" t="s">
        <v>1212</v>
      </c>
      <c r="H58" s="1613" t="str">
        <f>IF(G58="商业",项目基本情况!B43,IF(G58="办公",项目基本情况!C43,IF(G58="住宅",项目基本情况!D43,项目基本情况!E43)))</f>
        <v>九级</v>
      </c>
      <c r="I58" s="1612">
        <f>SUMIF(修正!$A$57:$A$68,H58,修正!F57:F68)</f>
        <v>0.2</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0.1</v>
      </c>
      <c r="D59" s="1823">
        <v>0.25</v>
      </c>
      <c r="E59" s="588">
        <f>'数据-汇总表'!E13</f>
        <v>11328.62</v>
      </c>
      <c r="F59" s="1609" t="e">
        <f t="shared" si="14"/>
        <v>#DIV/0!</v>
      </c>
      <c r="G59" s="1605" t="s">
        <v>851</v>
      </c>
      <c r="H59" s="1613" t="str">
        <f>IF(G59="商业",项目基本情况!B43,IF(G59="办公",项目基本情况!C43,IF(G59="住宅",项目基本情况!D43,项目基本情况!E43)))</f>
        <v>九级</v>
      </c>
      <c r="I59" s="1612">
        <f>SUMIF(修正!$A$57:$A$68,H59,修正!G57:G68)</f>
        <v>0.1</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0.1</v>
      </c>
      <c r="D60" s="1823">
        <v>0.25</v>
      </c>
      <c r="E60" s="588">
        <f>'数据-汇总表'!E14</f>
        <v>0</v>
      </c>
      <c r="F60" s="1609" t="e">
        <f t="shared" si="14"/>
        <v>#DIV/0!</v>
      </c>
      <c r="G60" s="1615" t="s">
        <v>1641</v>
      </c>
      <c r="H60" s="1614" t="str">
        <f>项目基本情况!B43</f>
        <v>九级</v>
      </c>
      <c r="I60" s="1612">
        <f>SUMIF(修正!$A$57:$A$68,H60,修正!G57:G68)</f>
        <v>0.1</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0.1</v>
      </c>
      <c r="D61" s="1823">
        <v>0.25</v>
      </c>
      <c r="E61" s="588">
        <f>'数据-汇总表'!E15</f>
        <v>0</v>
      </c>
      <c r="F61" s="1609" t="e">
        <f t="shared" si="14"/>
        <v>#DIV/0!</v>
      </c>
      <c r="G61" s="1616" t="s">
        <v>1642</v>
      </c>
      <c r="H61" s="1617" t="str">
        <f>项目基本情况!C43</f>
        <v>九级</v>
      </c>
      <c r="I61" s="1612">
        <f>SUMIF(修正!$A$57:$A$68,H61,修正!G57:G68)</f>
        <v>0.1</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1649</v>
      </c>
      <c r="E62" s="590">
        <f>IF(B43="楼面地价",SUM(E53:E61),'数据-汇总表'!D3)</f>
        <v>19518.45</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2024-11-1</v>
      </c>
      <c r="D64" s="2111">
        <f>EDATE(C64,-3)</f>
        <v>45505</v>
      </c>
      <c r="E64" s="2111">
        <f t="shared" ref="E64:N64" si="17">EDATE(D64,-3)</f>
        <v>45413</v>
      </c>
      <c r="F64" s="2111">
        <f t="shared" si="17"/>
        <v>45323</v>
      </c>
      <c r="G64" s="2111">
        <f t="shared" si="17"/>
        <v>45231</v>
      </c>
      <c r="H64" s="2111">
        <f t="shared" si="17"/>
        <v>45139</v>
      </c>
      <c r="I64" s="2111">
        <f t="shared" si="17"/>
        <v>45047</v>
      </c>
      <c r="J64" s="2111">
        <f t="shared" si="17"/>
        <v>44958</v>
      </c>
      <c r="K64" s="2111">
        <f t="shared" si="17"/>
        <v>44866</v>
      </c>
      <c r="L64" s="2111">
        <f t="shared" si="17"/>
        <v>44774</v>
      </c>
      <c r="M64" s="2111">
        <f t="shared" si="17"/>
        <v>44682</v>
      </c>
      <c r="N64" s="2111">
        <f t="shared" si="17"/>
        <v>44593</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1814</v>
      </c>
      <c r="B66" s="593"/>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1929</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1829</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1831</v>
      </c>
      <c r="C94" s="2057" t="s">
        <v>1832</v>
      </c>
      <c r="D94" s="2057" t="s">
        <v>1833</v>
      </c>
      <c r="E94" s="2057" t="s">
        <v>1834</v>
      </c>
      <c r="F94" s="2057" t="s">
        <v>1835</v>
      </c>
      <c r="G94" s="2057" t="s">
        <v>1836</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1775</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43" priority="13" stopIfTrue="1">
      <formula>$F$48="超过30%"</formula>
    </cfRule>
  </conditionalFormatting>
  <conditionalFormatting sqref="E49">
    <cfRule type="expression" dxfId="142" priority="51" stopIfTrue="1">
      <formula>#REF!+$F$49="超过20%"</formula>
    </cfRule>
  </conditionalFormatting>
  <conditionalFormatting sqref="E50">
    <cfRule type="expression" dxfId="141" priority="10" stopIfTrue="1">
      <formula>$F$50="超过30%"</formula>
    </cfRule>
  </conditionalFormatting>
  <conditionalFormatting sqref="F9:F42 H9:H42 J9:J42">
    <cfRule type="cellIs" dxfId="140" priority="1" operator="notEqual">
      <formula>100</formula>
    </cfRule>
  </conditionalFormatting>
  <conditionalFormatting sqref="F44">
    <cfRule type="expression" dxfId="139" priority="4">
      <formula>$D$44="简单平均"</formula>
    </cfRule>
  </conditionalFormatting>
  <conditionalFormatting sqref="F48:F50 H48:H50 J48:J50">
    <cfRule type="containsText" dxfId="138" priority="14" stopIfTrue="1" operator="containsText" text="超过">
      <formula>NOT(ISERROR(SEARCH("超过",F48)))</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G50">
    <cfRule type="expression" dxfId="135" priority="12" stopIfTrue="1">
      <formula>$H$50="超过30%"</formula>
    </cfRule>
  </conditionalFormatting>
  <conditionalFormatting sqref="H44">
    <cfRule type="expression" dxfId="134" priority="3">
      <formula>$D$44="简单平均"</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J44">
    <cfRule type="expression" dxfId="130"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268"/>
  <sheetViews>
    <sheetView view="pageBreakPreview" topLeftCell="A7" zoomScale="80" zoomScaleNormal="60" zoomScaleSheetLayoutView="80" workbookViewId="0">
      <selection activeCell="I5" sqref="I5:J5"/>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6.25" style="1131" customWidth="1"/>
    <col min="6" max="6" width="12.25" style="1131" customWidth="1"/>
    <col min="7" max="7" width="15.875" style="1131" customWidth="1"/>
    <col min="8" max="8" width="12.25" style="1131" customWidth="1"/>
    <col min="9" max="9" width="16.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4080</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5" customFormat="1" ht="28.5" customHeight="1">
      <c r="A2" s="393" t="s">
        <v>427</v>
      </c>
      <c r="B2" s="2077">
        <f>ROUND(B3*D3/10000,0)</f>
        <v>94523</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27417</v>
      </c>
      <c r="C3" s="786" t="s">
        <v>669</v>
      </c>
      <c r="D3" s="785">
        <f>SUMIF('数据-汇总表'!$C19:$C33,D1,'数据-汇总表'!$E19:$E33)</f>
        <v>34475.879999999997</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5" t="s">
        <v>471</v>
      </c>
      <c r="D4" s="3606"/>
      <c r="E4" s="3645" t="s">
        <v>472</v>
      </c>
      <c r="F4" s="3646"/>
      <c r="G4" s="3605" t="s">
        <v>473</v>
      </c>
      <c r="H4" s="3606"/>
      <c r="I4" s="3605" t="s">
        <v>474</v>
      </c>
      <c r="J4" s="3606"/>
      <c r="K4" s="787" t="s">
        <v>475</v>
      </c>
      <c r="L4" s="1741"/>
      <c r="M4" s="1742"/>
      <c r="N4" s="1742"/>
      <c r="O4" s="1742"/>
      <c r="P4" s="3607" t="s">
        <v>476</v>
      </c>
      <c r="Q4" s="3608"/>
      <c r="R4" s="3613" t="s">
        <v>472</v>
      </c>
      <c r="S4" s="3614"/>
      <c r="T4" s="3613" t="s">
        <v>473</v>
      </c>
      <c r="U4" s="3614"/>
      <c r="V4" s="3600" t="s">
        <v>474</v>
      </c>
      <c r="W4" s="3600"/>
      <c r="X4" s="1302"/>
      <c r="Y4" s="3613" t="s">
        <v>476</v>
      </c>
      <c r="Z4" s="3614"/>
      <c r="AA4" s="3602" t="s">
        <v>472</v>
      </c>
      <c r="AB4" s="3602" t="s">
        <v>473</v>
      </c>
      <c r="AC4" s="3602" t="s">
        <v>474</v>
      </c>
    </row>
    <row r="5" spans="1:29" ht="15">
      <c r="A5" s="466"/>
      <c r="B5" s="467"/>
      <c r="C5" s="3621" t="s">
        <v>2185</v>
      </c>
      <c r="D5" s="3622"/>
      <c r="E5" s="3647" t="str">
        <f>案例!B6</f>
        <v>中海云筑</v>
      </c>
      <c r="F5" s="3648"/>
      <c r="G5" s="3621" t="str">
        <f>案例!B7</f>
        <v>和悦璞云</v>
      </c>
      <c r="H5" s="3622"/>
      <c r="I5" s="3621" t="str">
        <f>案例!B9</f>
        <v>航城壹号</v>
      </c>
      <c r="J5" s="3622"/>
      <c r="K5" s="788"/>
      <c r="L5" s="1741"/>
      <c r="M5" s="1742"/>
      <c r="N5" s="1742"/>
      <c r="O5" s="1742"/>
      <c r="P5" s="3609"/>
      <c r="Q5" s="3610"/>
      <c r="R5" s="3615"/>
      <c r="S5" s="3616"/>
      <c r="T5" s="3615"/>
      <c r="U5" s="3616"/>
      <c r="V5" s="3600"/>
      <c r="W5" s="3600"/>
      <c r="X5" s="1302"/>
      <c r="Y5" s="3615"/>
      <c r="Z5" s="3616"/>
      <c r="AA5" s="3603"/>
      <c r="AB5" s="3603"/>
      <c r="AC5" s="3603"/>
    </row>
    <row r="6" spans="1:29" ht="15.75" thickBot="1">
      <c r="A6" s="468"/>
      <c r="B6" s="469"/>
      <c r="C6" s="3619" t="s">
        <v>2189</v>
      </c>
      <c r="D6" s="3620"/>
      <c r="E6" s="3643" t="s">
        <v>2189</v>
      </c>
      <c r="F6" s="3644"/>
      <c r="G6" s="3619" t="s">
        <v>2189</v>
      </c>
      <c r="H6" s="3620"/>
      <c r="I6" s="3619" t="s">
        <v>2189</v>
      </c>
      <c r="J6" s="3620"/>
      <c r="K6" s="788" t="s">
        <v>477</v>
      </c>
      <c r="L6" s="1741"/>
      <c r="M6" s="1742"/>
      <c r="N6" s="1742"/>
      <c r="O6" s="1742"/>
      <c r="P6" s="3611"/>
      <c r="Q6" s="3612"/>
      <c r="R6" s="3615"/>
      <c r="S6" s="3616"/>
      <c r="T6" s="3617"/>
      <c r="U6" s="3618"/>
      <c r="V6" s="3600"/>
      <c r="W6" s="3600"/>
      <c r="X6" s="1302"/>
      <c r="Y6" s="3617"/>
      <c r="Z6" s="3618"/>
      <c r="AA6" s="3604"/>
      <c r="AB6" s="3604"/>
      <c r="AC6" s="3604"/>
    </row>
    <row r="7" spans="1:29" s="1059" customFormat="1" ht="15.75" thickBot="1">
      <c r="A7" s="2208"/>
      <c r="B7" s="2215" t="s">
        <v>478</v>
      </c>
      <c r="C7" s="470">
        <f>'数据-取费表'!B2</f>
        <v>45617</v>
      </c>
      <c r="D7" s="471">
        <v>100</v>
      </c>
      <c r="E7" s="472">
        <f>C7</f>
        <v>45617</v>
      </c>
      <c r="F7" s="473">
        <f>SUMIF(58:58,YEAR(E7)&amp;"-"&amp;MONTH(E7),59:59)</f>
        <v>100</v>
      </c>
      <c r="G7" s="474">
        <f>C7</f>
        <v>45617</v>
      </c>
      <c r="H7" s="471">
        <f>SUMIF(58:58,YEAR(G7)&amp;"-"&amp;MONTH(G7),59:59)</f>
        <v>100</v>
      </c>
      <c r="I7" s="474">
        <f>C7</f>
        <v>45617</v>
      </c>
      <c r="J7" s="471">
        <f>SUMIF(58:58,YEAR(I7)&amp;"-"&amp;MONTH(I7),59:59)</f>
        <v>100</v>
      </c>
      <c r="K7" s="789"/>
      <c r="L7" s="1743"/>
      <c r="M7" s="1640"/>
      <c r="N7" s="1640"/>
      <c r="O7" s="1640"/>
      <c r="P7" s="3630" t="s">
        <v>479</v>
      </c>
      <c r="Q7" s="3632"/>
      <c r="R7" s="1303" t="s">
        <v>10</v>
      </c>
      <c r="S7" s="1304">
        <f t="shared" ref="S7:S15" si="0">F7</f>
        <v>100</v>
      </c>
      <c r="T7" s="1303" t="s">
        <v>10</v>
      </c>
      <c r="U7" s="1304">
        <f t="shared" ref="U7:U15" si="1">H7</f>
        <v>100</v>
      </c>
      <c r="V7" s="1303" t="s">
        <v>10</v>
      </c>
      <c r="W7" s="1304">
        <f t="shared" ref="W7:W15" si="2">J7</f>
        <v>100</v>
      </c>
      <c r="X7" s="1305"/>
      <c r="Y7" s="3630" t="s">
        <v>479</v>
      </c>
      <c r="Z7" s="3631"/>
      <c r="AA7" s="996">
        <f>D7/F7</f>
        <v>1</v>
      </c>
      <c r="AB7" s="996">
        <f>D7/H7</f>
        <v>1</v>
      </c>
      <c r="AC7" s="996">
        <f>D7/J7</f>
        <v>1</v>
      </c>
    </row>
    <row r="8" spans="1:29" s="1059"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630" t="s">
        <v>482</v>
      </c>
      <c r="Q8" s="3631"/>
      <c r="R8" s="1303" t="s">
        <v>10</v>
      </c>
      <c r="S8" s="1304">
        <f t="shared" si="0"/>
        <v>100</v>
      </c>
      <c r="T8" s="1303" t="s">
        <v>10</v>
      </c>
      <c r="U8" s="1304">
        <f t="shared" si="1"/>
        <v>100</v>
      </c>
      <c r="V8" s="1303" t="s">
        <v>10</v>
      </c>
      <c r="W8" s="1304">
        <f t="shared" si="2"/>
        <v>100</v>
      </c>
      <c r="X8" s="1305"/>
      <c r="Y8" s="3630" t="s">
        <v>482</v>
      </c>
      <c r="Z8" s="3631"/>
      <c r="AA8" s="996">
        <f t="shared" ref="AA8:AA46" si="3">D8/F8</f>
        <v>1</v>
      </c>
      <c r="AB8" s="996">
        <f t="shared" ref="AB8:AB46" si="4">D8/H8</f>
        <v>1</v>
      </c>
      <c r="AC8" s="996">
        <f t="shared" ref="AC8:AC46" si="5">D8/J8</f>
        <v>1</v>
      </c>
    </row>
    <row r="9" spans="1:29" s="1059" customFormat="1" ht="15">
      <c r="A9" s="2210"/>
      <c r="B9" s="2217" t="s">
        <v>2036</v>
      </c>
      <c r="C9" s="3410" t="s">
        <v>4056</v>
      </c>
      <c r="D9" s="154">
        <v>100</v>
      </c>
      <c r="E9" s="792" t="s">
        <v>851</v>
      </c>
      <c r="F9" s="156">
        <f>SUMIF(63:63,E9,64:64)-SUMIF(63:63,C9,64:64)+100</f>
        <v>100</v>
      </c>
      <c r="G9" s="792" t="s">
        <v>851</v>
      </c>
      <c r="H9" s="154">
        <f>SUMIF(63:63,G9,64:64)-SUMIF(63:63,C9,64:64)+100</f>
        <v>100</v>
      </c>
      <c r="I9" s="792" t="s">
        <v>851</v>
      </c>
      <c r="J9" s="154">
        <f>SUMIF(63:63,I9,64:64)-SUMIF(63:63,C9,64:64)+100</f>
        <v>100</v>
      </c>
      <c r="K9" s="789"/>
      <c r="L9" s="1743"/>
      <c r="M9" s="1640"/>
      <c r="N9" s="1640"/>
      <c r="O9" s="1744"/>
      <c r="P9" s="3599" t="s">
        <v>484</v>
      </c>
      <c r="Q9" s="817" t="str">
        <f t="shared" ref="Q9:Q15" si="6">B9</f>
        <v>用途</v>
      </c>
      <c r="R9" s="1303" t="s">
        <v>5</v>
      </c>
      <c r="S9" s="1304">
        <f t="shared" si="0"/>
        <v>100</v>
      </c>
      <c r="T9" s="1303" t="s">
        <v>5</v>
      </c>
      <c r="U9" s="1304">
        <f t="shared" si="1"/>
        <v>100</v>
      </c>
      <c r="V9" s="1303" t="s">
        <v>5</v>
      </c>
      <c r="W9" s="1304">
        <f t="shared" si="2"/>
        <v>100</v>
      </c>
      <c r="X9" s="1305"/>
      <c r="Y9" s="3547"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599"/>
      <c r="Q10" s="817" t="str">
        <f t="shared" si="6"/>
        <v>土地使用年限（年）</v>
      </c>
      <c r="R10" s="1303" t="s">
        <v>5</v>
      </c>
      <c r="S10" s="1304">
        <f t="shared" si="0"/>
        <v>100</v>
      </c>
      <c r="T10" s="1303" t="s">
        <v>5</v>
      </c>
      <c r="U10" s="1304">
        <f t="shared" si="1"/>
        <v>100</v>
      </c>
      <c r="V10" s="1303" t="s">
        <v>5</v>
      </c>
      <c r="W10" s="1304">
        <f t="shared" si="2"/>
        <v>100</v>
      </c>
      <c r="X10" s="1305"/>
      <c r="Y10" s="3547"/>
      <c r="Z10" s="996" t="str">
        <f t="shared" si="7"/>
        <v>土地使用年限（年）</v>
      </c>
      <c r="AA10" s="996">
        <f t="shared" si="3"/>
        <v>1</v>
      </c>
      <c r="AB10" s="996">
        <f t="shared" si="4"/>
        <v>1</v>
      </c>
      <c r="AC10" s="996">
        <f t="shared" si="5"/>
        <v>1</v>
      </c>
    </row>
    <row r="11" spans="1:29" ht="15.75" thickBot="1">
      <c r="A11" s="2212"/>
      <c r="B11" s="2216" t="s">
        <v>2038</v>
      </c>
      <c r="C11" s="483"/>
      <c r="D11" s="235">
        <v>100</v>
      </c>
      <c r="E11" s="484"/>
      <c r="F11" s="477">
        <f>LOOKUP(E11,68:68,69:69)-LOOKUP(C11,68:68,69:69)+100</f>
        <v>100</v>
      </c>
      <c r="G11" s="483"/>
      <c r="H11" s="235">
        <f>LOOKUP(G11,68:68,69:69)-LOOKUP(C11,68:68,69:69)+100</f>
        <v>100</v>
      </c>
      <c r="I11" s="483"/>
      <c r="J11" s="235">
        <f>LOOKUP(I11,68:68,69:69)-LOOKUP(C11,68:68,69:69)+100</f>
        <v>100</v>
      </c>
      <c r="K11" s="794"/>
      <c r="L11" s="1747"/>
      <c r="M11" s="1742"/>
      <c r="N11" s="1742"/>
      <c r="O11" s="1748"/>
      <c r="P11" s="3599"/>
      <c r="Q11" s="817" t="str">
        <f t="shared" si="6"/>
        <v>容积率</v>
      </c>
      <c r="R11" s="1303" t="s">
        <v>8</v>
      </c>
      <c r="S11" s="1304">
        <f t="shared" si="0"/>
        <v>100</v>
      </c>
      <c r="T11" s="1303" t="s">
        <v>8</v>
      </c>
      <c r="U11" s="1304">
        <f t="shared" si="1"/>
        <v>100</v>
      </c>
      <c r="V11" s="1303" t="s">
        <v>8</v>
      </c>
      <c r="W11" s="1304">
        <f t="shared" si="2"/>
        <v>100</v>
      </c>
      <c r="X11" s="1305"/>
      <c r="Y11" s="3547"/>
      <c r="Z11" s="996" t="str">
        <f t="shared" si="7"/>
        <v>容积率</v>
      </c>
      <c r="AA11" s="996">
        <f t="shared" si="3"/>
        <v>1</v>
      </c>
      <c r="AB11" s="996">
        <f t="shared" si="4"/>
        <v>1</v>
      </c>
      <c r="AC11" s="996">
        <f t="shared" si="5"/>
        <v>1</v>
      </c>
    </row>
    <row r="12" spans="1:29" s="1059" customFormat="1" ht="15" hidden="1">
      <c r="A12" s="2213"/>
      <c r="B12" s="3413" t="s">
        <v>4112</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9"/>
      <c r="Q12" s="817" t="str">
        <f t="shared" si="6"/>
        <v>限价</v>
      </c>
      <c r="R12" s="1303" t="s">
        <v>8</v>
      </c>
      <c r="S12" s="1304">
        <f t="shared" si="0"/>
        <v>100</v>
      </c>
      <c r="T12" s="1303" t="s">
        <v>8</v>
      </c>
      <c r="U12" s="1304">
        <f t="shared" si="1"/>
        <v>100</v>
      </c>
      <c r="V12" s="1303" t="s">
        <v>8</v>
      </c>
      <c r="W12" s="1304">
        <f t="shared" si="2"/>
        <v>100</v>
      </c>
      <c r="X12" s="1305"/>
      <c r="Y12" s="3547"/>
      <c r="Z12" s="996" t="str">
        <f t="shared" si="7"/>
        <v>限价</v>
      </c>
      <c r="AA12" s="996">
        <f>D12/F12</f>
        <v>1</v>
      </c>
      <c r="AB12" s="996">
        <f>D12/H12</f>
        <v>1</v>
      </c>
      <c r="AC12" s="996">
        <f>D12/J12</f>
        <v>1</v>
      </c>
    </row>
    <row r="13" spans="1:29" ht="15" hidden="1">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9"/>
      <c r="Q13" s="817">
        <f t="shared" si="6"/>
        <v>111</v>
      </c>
      <c r="R13" s="1303" t="s">
        <v>8</v>
      </c>
      <c r="S13" s="1304">
        <f t="shared" si="0"/>
        <v>100</v>
      </c>
      <c r="T13" s="1303" t="s">
        <v>8</v>
      </c>
      <c r="U13" s="1304">
        <f t="shared" si="1"/>
        <v>100</v>
      </c>
      <c r="V13" s="1303" t="s">
        <v>8</v>
      </c>
      <c r="W13" s="1304">
        <f t="shared" si="2"/>
        <v>100</v>
      </c>
      <c r="X13" s="1305"/>
      <c r="Y13" s="3547"/>
      <c r="Z13" s="996">
        <f t="shared" si="7"/>
        <v>111</v>
      </c>
      <c r="AA13" s="996">
        <f t="shared" si="3"/>
        <v>1</v>
      </c>
      <c r="AB13" s="996">
        <f t="shared" si="4"/>
        <v>1</v>
      </c>
      <c r="AC13" s="996">
        <f t="shared" si="5"/>
        <v>1</v>
      </c>
    </row>
    <row r="14" spans="1:29" ht="15.75" hidden="1"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9"/>
      <c r="Q14" s="817">
        <f t="shared" si="6"/>
        <v>111</v>
      </c>
      <c r="R14" s="1303" t="s">
        <v>8</v>
      </c>
      <c r="S14" s="1304">
        <f t="shared" si="0"/>
        <v>100</v>
      </c>
      <c r="T14" s="1303" t="s">
        <v>8</v>
      </c>
      <c r="U14" s="1304">
        <f t="shared" si="1"/>
        <v>100</v>
      </c>
      <c r="V14" s="1303" t="s">
        <v>8</v>
      </c>
      <c r="W14" s="1304">
        <f t="shared" si="2"/>
        <v>100</v>
      </c>
      <c r="X14" s="1305"/>
      <c r="Y14" s="3547"/>
      <c r="Z14" s="996">
        <f t="shared" si="7"/>
        <v>111</v>
      </c>
      <c r="AA14" s="996">
        <f t="shared" si="3"/>
        <v>1</v>
      </c>
      <c r="AB14" s="996">
        <f t="shared" si="4"/>
        <v>1</v>
      </c>
      <c r="AC14" s="996">
        <f t="shared" si="5"/>
        <v>1</v>
      </c>
    </row>
    <row r="15" spans="1:29" ht="15">
      <c r="A15" s="2206" t="s">
        <v>2034</v>
      </c>
      <c r="B15" s="150" t="s">
        <v>261</v>
      </c>
      <c r="C15" s="797" t="str">
        <f>估价对象房地状况!C3</f>
        <v>较差</v>
      </c>
      <c r="D15" s="499">
        <v>100</v>
      </c>
      <c r="E15" s="3411" t="s">
        <v>4068</v>
      </c>
      <c r="F15" s="501">
        <f>SUMIF(76:76,E16,77:77)-SUMIF(76:76,C16,77:77)+100</f>
        <v>101</v>
      </c>
      <c r="G15" s="502" t="s">
        <v>3343</v>
      </c>
      <c r="H15" s="499">
        <f>SUMIF(76:76,G16,77:77)-SUMIF(76:76,C16,77:77)+100</f>
        <v>101</v>
      </c>
      <c r="I15" s="502" t="s">
        <v>3343</v>
      </c>
      <c r="J15" s="499">
        <f>SUMIF(76:76,I16,77:77)-SUMIF(76:76,C16,77:77)+100</f>
        <v>101</v>
      </c>
      <c r="K15" s="798">
        <v>1</v>
      </c>
      <c r="L15" s="1749"/>
      <c r="M15" s="1742"/>
      <c r="N15" s="1742"/>
      <c r="O15" s="1748"/>
      <c r="P15" s="3633" t="s">
        <v>489</v>
      </c>
      <c r="Q15" s="1306" t="str">
        <f t="shared" si="6"/>
        <v>居住社区成熟度</v>
      </c>
      <c r="R15" s="1307" t="s">
        <v>8</v>
      </c>
      <c r="S15" s="1308">
        <f t="shared" si="0"/>
        <v>101</v>
      </c>
      <c r="T15" s="1307" t="s">
        <v>8</v>
      </c>
      <c r="U15" s="1308">
        <f t="shared" si="1"/>
        <v>101</v>
      </c>
      <c r="V15" s="1307" t="s">
        <v>8</v>
      </c>
      <c r="W15" s="1308">
        <f t="shared" si="2"/>
        <v>101</v>
      </c>
      <c r="X15" s="1302"/>
      <c r="Y15" s="3633" t="s">
        <v>489</v>
      </c>
      <c r="Z15" s="1309" t="str">
        <f t="shared" si="7"/>
        <v>居住社区成熟度</v>
      </c>
      <c r="AA15" s="1309">
        <f t="shared" si="3"/>
        <v>0.99009900990099009</v>
      </c>
      <c r="AB15" s="1309">
        <f t="shared" si="4"/>
        <v>0.99009900990099009</v>
      </c>
      <c r="AC15" s="1309">
        <f t="shared" si="5"/>
        <v>0.99009900990099009</v>
      </c>
    </row>
    <row r="16" spans="1:29" ht="15.75" thickBot="1">
      <c r="A16" s="482"/>
      <c r="B16" s="799"/>
      <c r="C16" s="526" t="s">
        <v>3344</v>
      </c>
      <c r="D16" s="505"/>
      <c r="E16" s="506" t="s">
        <v>3343</v>
      </c>
      <c r="F16" s="507"/>
      <c r="G16" s="508" t="s">
        <v>3343</v>
      </c>
      <c r="H16" s="509"/>
      <c r="I16" s="508" t="s">
        <v>3343</v>
      </c>
      <c r="J16" s="505"/>
      <c r="K16" s="800"/>
      <c r="L16" s="1749"/>
      <c r="M16" s="1742"/>
      <c r="N16" s="1742"/>
      <c r="O16" s="1748"/>
      <c r="P16" s="3634"/>
      <c r="Q16" s="1306"/>
      <c r="R16" s="1307"/>
      <c r="S16" s="1308"/>
      <c r="T16" s="1307"/>
      <c r="U16" s="1308"/>
      <c r="V16" s="1307"/>
      <c r="W16" s="1308"/>
      <c r="X16" s="1302"/>
      <c r="Y16" s="3634"/>
      <c r="Z16" s="1309"/>
      <c r="AA16" s="1309">
        <v>1</v>
      </c>
      <c r="AB16" s="1309">
        <v>1</v>
      </c>
      <c r="AC16" s="1309">
        <v>1</v>
      </c>
    </row>
    <row r="17" spans="1:29" ht="15">
      <c r="A17" s="482"/>
      <c r="B17" s="677" t="s">
        <v>262</v>
      </c>
      <c r="C17" s="801" t="str">
        <f>估价对象房地状况!C6</f>
        <v>较差</v>
      </c>
      <c r="D17" s="509">
        <v>100</v>
      </c>
      <c r="E17" s="3411" t="s">
        <v>4068</v>
      </c>
      <c r="F17" s="513">
        <f>SUMIF(78:78,E18,79:79)-SUMIF(78:78,C18,79:79)+100</f>
        <v>101</v>
      </c>
      <c r="G17" s="514" t="s">
        <v>3343</v>
      </c>
      <c r="H17" s="515">
        <f>SUMIF(78:78,G18,79:79)-SUMIF(78:78,C18,79:79)+100</f>
        <v>101</v>
      </c>
      <c r="I17" s="514" t="s">
        <v>3343</v>
      </c>
      <c r="J17" s="515">
        <f>SUMIF(78:78,I18,79:79)-SUMIF(78:78,C18,79:79)+100</f>
        <v>101</v>
      </c>
      <c r="K17" s="798">
        <v>1</v>
      </c>
      <c r="L17" s="1749"/>
      <c r="M17" s="1742"/>
      <c r="N17" s="1742"/>
      <c r="O17" s="1748"/>
      <c r="P17" s="3634"/>
      <c r="Q17" s="1306" t="str">
        <f>B17</f>
        <v>交通便捷度</v>
      </c>
      <c r="R17" s="1307" t="s">
        <v>8</v>
      </c>
      <c r="S17" s="1308">
        <f>F17</f>
        <v>101</v>
      </c>
      <c r="T17" s="1307" t="s">
        <v>8</v>
      </c>
      <c r="U17" s="1308">
        <f>H17</f>
        <v>101</v>
      </c>
      <c r="V17" s="1307" t="s">
        <v>8</v>
      </c>
      <c r="W17" s="1308">
        <f>J17</f>
        <v>101</v>
      </c>
      <c r="X17" s="1302"/>
      <c r="Y17" s="3634"/>
      <c r="Z17" s="1309" t="str">
        <f>Q17</f>
        <v>交通便捷度</v>
      </c>
      <c r="AA17" s="1309">
        <f t="shared" si="3"/>
        <v>0.99009900990099009</v>
      </c>
      <c r="AB17" s="1309">
        <f t="shared" si="4"/>
        <v>0.99009900990099009</v>
      </c>
      <c r="AC17" s="1309">
        <f t="shared" si="5"/>
        <v>0.99009900990099009</v>
      </c>
    </row>
    <row r="18" spans="1:29" ht="15.75" thickBot="1">
      <c r="A18" s="482"/>
      <c r="B18" s="544"/>
      <c r="C18" s="802" t="s">
        <v>3344</v>
      </c>
      <c r="D18" s="509"/>
      <c r="E18" s="506" t="s">
        <v>3343</v>
      </c>
      <c r="F18" s="513"/>
      <c r="G18" s="519" t="s">
        <v>3343</v>
      </c>
      <c r="H18" s="505"/>
      <c r="I18" s="519" t="s">
        <v>3343</v>
      </c>
      <c r="J18" s="505"/>
      <c r="K18" s="800"/>
      <c r="L18" s="1749"/>
      <c r="M18" s="1742"/>
      <c r="N18" s="1742"/>
      <c r="O18" s="1748"/>
      <c r="P18" s="3634"/>
      <c r="Q18" s="1306"/>
      <c r="R18" s="1307"/>
      <c r="S18" s="1308"/>
      <c r="T18" s="1307"/>
      <c r="U18" s="1308"/>
      <c r="V18" s="1307"/>
      <c r="W18" s="1308"/>
      <c r="X18" s="1302"/>
      <c r="Y18" s="3634"/>
      <c r="Z18" s="1309"/>
      <c r="AA18" s="1309">
        <v>1</v>
      </c>
      <c r="AB18" s="1309">
        <v>1</v>
      </c>
      <c r="AC18" s="1309">
        <v>1</v>
      </c>
    </row>
    <row r="19" spans="1:29" ht="15">
      <c r="A19" s="482"/>
      <c r="B19" s="2059" t="s">
        <v>1827</v>
      </c>
      <c r="C19" s="801" t="str">
        <f>估价对象房地状况!C7</f>
        <v>较差</v>
      </c>
      <c r="D19" s="515">
        <v>100</v>
      </c>
      <c r="E19" s="3411" t="s">
        <v>4068</v>
      </c>
      <c r="F19" s="521">
        <f>SUMIF(80:80,E20,81:81)-SUMIF(80:80,C20,81:81)+100</f>
        <v>101</v>
      </c>
      <c r="G19" s="522" t="s">
        <v>3343</v>
      </c>
      <c r="H19" s="509">
        <f>SUMIF(80:80,G20,81:81)-SUMIF(80:80,C20,81:81)+100</f>
        <v>101</v>
      </c>
      <c r="I19" s="522" t="s">
        <v>3343</v>
      </c>
      <c r="J19" s="509">
        <f>SUMIF(80:80,I20,81:81)-SUMIF(80:80,C20,81:81)+100</f>
        <v>101</v>
      </c>
      <c r="K19" s="798">
        <v>1</v>
      </c>
      <c r="L19" s="1749"/>
      <c r="M19" s="1742"/>
      <c r="N19" s="1742"/>
      <c r="O19" s="1748"/>
      <c r="P19" s="3634"/>
      <c r="Q19" s="1306" t="str">
        <f>B19</f>
        <v>公共配套设施</v>
      </c>
      <c r="R19" s="1307" t="s">
        <v>8</v>
      </c>
      <c r="S19" s="1308">
        <f>F19</f>
        <v>101</v>
      </c>
      <c r="T19" s="1307" t="s">
        <v>8</v>
      </c>
      <c r="U19" s="1308">
        <f>H19</f>
        <v>101</v>
      </c>
      <c r="V19" s="1307" t="s">
        <v>8</v>
      </c>
      <c r="W19" s="1308">
        <f>J19</f>
        <v>101</v>
      </c>
      <c r="X19" s="1302"/>
      <c r="Y19" s="3634"/>
      <c r="Z19" s="1309" t="str">
        <f>Q19</f>
        <v>公共配套设施</v>
      </c>
      <c r="AA19" s="1309">
        <f t="shared" si="3"/>
        <v>0.99009900990099009</v>
      </c>
      <c r="AB19" s="1309">
        <f t="shared" si="4"/>
        <v>0.99009900990099009</v>
      </c>
      <c r="AC19" s="1309">
        <f t="shared" si="5"/>
        <v>0.99009900990099009</v>
      </c>
    </row>
    <row r="20" spans="1:29" ht="15">
      <c r="A20" s="482"/>
      <c r="B20" s="544"/>
      <c r="C20" s="526" t="s">
        <v>3344</v>
      </c>
      <c r="D20" s="505"/>
      <c r="E20" s="506" t="s">
        <v>3343</v>
      </c>
      <c r="F20" s="507"/>
      <c r="G20" s="508" t="s">
        <v>3343</v>
      </c>
      <c r="H20" s="505"/>
      <c r="I20" s="508" t="s">
        <v>3343</v>
      </c>
      <c r="J20" s="505"/>
      <c r="K20" s="800"/>
      <c r="L20" s="1749"/>
      <c r="M20" s="1742"/>
      <c r="N20" s="1742"/>
      <c r="O20" s="1748"/>
      <c r="P20" s="3634"/>
      <c r="Q20" s="1306"/>
      <c r="R20" s="1307"/>
      <c r="S20" s="1308"/>
      <c r="T20" s="1307"/>
      <c r="U20" s="1308"/>
      <c r="V20" s="1307"/>
      <c r="W20" s="1308"/>
      <c r="X20" s="1302"/>
      <c r="Y20" s="3634"/>
      <c r="Z20" s="1309"/>
      <c r="AA20" s="1309">
        <v>1</v>
      </c>
      <c r="AB20" s="1309">
        <v>1</v>
      </c>
      <c r="AC20" s="1309">
        <v>1</v>
      </c>
    </row>
    <row r="21" spans="1:29" ht="15">
      <c r="A21" s="482"/>
      <c r="B21" s="2052" t="s">
        <v>1839</v>
      </c>
      <c r="C21" s="801" t="str">
        <f>估价对象房地状况!C8</f>
        <v>七通</v>
      </c>
      <c r="D21" s="515">
        <v>100</v>
      </c>
      <c r="E21" s="522" t="s">
        <v>3346</v>
      </c>
      <c r="F21" s="521">
        <f>SUMIF(82:82,E22,83:83)-SUMIF(82:82,C22,83:83)+100</f>
        <v>100</v>
      </c>
      <c r="G21" s="522" t="s">
        <v>3346</v>
      </c>
      <c r="H21" s="515">
        <f>SUMIF(82:82,G22,83:83)-SUMIF(82:82,C22,83:83)+100</f>
        <v>100</v>
      </c>
      <c r="I21" s="522" t="s">
        <v>3346</v>
      </c>
      <c r="J21" s="515">
        <f>SUMIF(82:82,I22,83:83)-SUMIF(82:82,C22,83:83)+100</f>
        <v>100</v>
      </c>
      <c r="K21" s="798">
        <v>1</v>
      </c>
      <c r="L21" s="1749"/>
      <c r="M21" s="1742"/>
      <c r="N21" s="1742"/>
      <c r="O21" s="1748"/>
      <c r="P21" s="3634"/>
      <c r="Q21" s="1306" t="str">
        <f>B21</f>
        <v>基础设施水平</v>
      </c>
      <c r="R21" s="1307" t="s">
        <v>8</v>
      </c>
      <c r="S21" s="1308">
        <f>F21</f>
        <v>100</v>
      </c>
      <c r="T21" s="1307" t="s">
        <v>8</v>
      </c>
      <c r="U21" s="1308">
        <f>H21</f>
        <v>100</v>
      </c>
      <c r="V21" s="1307" t="s">
        <v>8</v>
      </c>
      <c r="W21" s="1308">
        <f>J21</f>
        <v>100</v>
      </c>
      <c r="X21" s="1302"/>
      <c r="Y21" s="3634"/>
      <c r="Z21" s="1309" t="str">
        <f>Q21</f>
        <v>基础设施水平</v>
      </c>
      <c r="AA21" s="1309">
        <f>D21/F21</f>
        <v>1</v>
      </c>
      <c r="AB21" s="1309">
        <f>D21/H21</f>
        <v>1</v>
      </c>
      <c r="AC21" s="1309">
        <f>D21/J21</f>
        <v>1</v>
      </c>
    </row>
    <row r="22" spans="1:29" ht="15.75" thickBot="1">
      <c r="A22" s="482"/>
      <c r="B22" s="843"/>
      <c r="C22" s="802" t="s">
        <v>3346</v>
      </c>
      <c r="D22" s="505"/>
      <c r="E22" s="526" t="s">
        <v>3346</v>
      </c>
      <c r="F22" s="507"/>
      <c r="G22" s="526" t="s">
        <v>3346</v>
      </c>
      <c r="H22" s="505"/>
      <c r="I22" s="526" t="s">
        <v>3346</v>
      </c>
      <c r="J22" s="505"/>
      <c r="K22" s="2058"/>
      <c r="L22" s="1749"/>
      <c r="M22" s="1742"/>
      <c r="N22" s="1742"/>
      <c r="O22" s="1748"/>
      <c r="P22" s="3634"/>
      <c r="Q22" s="1306"/>
      <c r="R22" s="1307"/>
      <c r="S22" s="1308"/>
      <c r="T22" s="1307"/>
      <c r="U22" s="1308"/>
      <c r="V22" s="1307"/>
      <c r="W22" s="1308"/>
      <c r="X22" s="1302"/>
      <c r="Y22" s="3634"/>
      <c r="Z22" s="1309"/>
      <c r="AA22" s="1309">
        <v>1</v>
      </c>
      <c r="AB22" s="1309">
        <v>1</v>
      </c>
      <c r="AC22" s="1309">
        <v>1</v>
      </c>
    </row>
    <row r="23" spans="1:29" ht="15">
      <c r="A23" s="482"/>
      <c r="B23" s="677" t="s">
        <v>263</v>
      </c>
      <c r="C23" s="801" t="str">
        <f>估价对象房地状况!C9</f>
        <v>较差</v>
      </c>
      <c r="D23" s="509">
        <v>100</v>
      </c>
      <c r="E23" s="3411" t="s">
        <v>4068</v>
      </c>
      <c r="F23" s="513">
        <f>SUMIF(84:84,E24,85:85)-SUMIF(84:84,C24,85:85)+100</f>
        <v>101</v>
      </c>
      <c r="G23" s="514" t="s">
        <v>3343</v>
      </c>
      <c r="H23" s="509">
        <f>SUMIF(84:84,G24,85:85)-SUMIF(84:84,C24,85:85)+100</f>
        <v>101</v>
      </c>
      <c r="I23" s="514" t="s">
        <v>3343</v>
      </c>
      <c r="J23" s="509">
        <f>SUMIF(84:84,I24,85:85)-SUMIF(84:84,C24,85:85)+100</f>
        <v>101</v>
      </c>
      <c r="K23" s="798">
        <v>1</v>
      </c>
      <c r="L23" s="1749"/>
      <c r="M23" s="1742"/>
      <c r="N23" s="1742"/>
      <c r="O23" s="1748"/>
      <c r="P23" s="3634"/>
      <c r="Q23" s="1306" t="str">
        <f>B23</f>
        <v>自然及人文环境</v>
      </c>
      <c r="R23" s="1307" t="s">
        <v>8</v>
      </c>
      <c r="S23" s="1308">
        <f>F23</f>
        <v>101</v>
      </c>
      <c r="T23" s="1307" t="s">
        <v>8</v>
      </c>
      <c r="U23" s="1308">
        <f>H23</f>
        <v>101</v>
      </c>
      <c r="V23" s="1307" t="s">
        <v>8</v>
      </c>
      <c r="W23" s="1308">
        <f>J23</f>
        <v>101</v>
      </c>
      <c r="X23" s="1302"/>
      <c r="Y23" s="3634"/>
      <c r="Z23" s="1309" t="str">
        <f>Q23</f>
        <v>自然及人文环境</v>
      </c>
      <c r="AA23" s="1309">
        <f t="shared" si="3"/>
        <v>0.99009900990099009</v>
      </c>
      <c r="AB23" s="1309">
        <f t="shared" si="4"/>
        <v>0.99009900990099009</v>
      </c>
      <c r="AC23" s="1309">
        <f t="shared" si="5"/>
        <v>0.99009900990099009</v>
      </c>
    </row>
    <row r="24" spans="1:29" ht="15.75" thickBot="1">
      <c r="A24" s="482"/>
      <c r="B24" s="544"/>
      <c r="C24" s="526" t="s">
        <v>3344</v>
      </c>
      <c r="D24" s="505"/>
      <c r="E24" s="506" t="s">
        <v>3343</v>
      </c>
      <c r="F24" s="507"/>
      <c r="G24" s="508" t="s">
        <v>3343</v>
      </c>
      <c r="H24" s="505"/>
      <c r="I24" s="508" t="s">
        <v>3343</v>
      </c>
      <c r="J24" s="505"/>
      <c r="K24" s="800"/>
      <c r="L24" s="1749"/>
      <c r="M24" s="1742"/>
      <c r="N24" s="1742"/>
      <c r="O24" s="1748"/>
      <c r="P24" s="3634"/>
      <c r="Q24" s="1306"/>
      <c r="R24" s="1307"/>
      <c r="S24" s="1308"/>
      <c r="T24" s="1307"/>
      <c r="U24" s="1308"/>
      <c r="V24" s="1307"/>
      <c r="W24" s="1308"/>
      <c r="X24" s="1302"/>
      <c r="Y24" s="3634"/>
      <c r="Z24" s="1309"/>
      <c r="AA24" s="1309">
        <v>1</v>
      </c>
      <c r="AB24" s="1309">
        <v>1</v>
      </c>
      <c r="AC24" s="1309">
        <v>1</v>
      </c>
    </row>
    <row r="25" spans="1:29" ht="15" hidden="1">
      <c r="A25" s="482"/>
      <c r="B25" s="1554" t="s">
        <v>1613</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34"/>
      <c r="Q25" s="1306" t="str">
        <f t="shared" ref="Q25:Q46" si="8">B25</f>
        <v>楼层-1</v>
      </c>
      <c r="R25" s="1307" t="s">
        <v>8</v>
      </c>
      <c r="S25" s="1308">
        <f>F25</f>
        <v>100</v>
      </c>
      <c r="T25" s="1307" t="s">
        <v>8</v>
      </c>
      <c r="U25" s="1308">
        <f>H25</f>
        <v>100</v>
      </c>
      <c r="V25" s="1307" t="s">
        <v>8</v>
      </c>
      <c r="W25" s="1308">
        <f>J25</f>
        <v>100</v>
      </c>
      <c r="X25" s="1302"/>
      <c r="Y25" s="3634"/>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34"/>
      <c r="Q26" s="1306" t="str">
        <f t="shared" si="8"/>
        <v>朝向</v>
      </c>
      <c r="R26" s="1307" t="s">
        <v>8</v>
      </c>
      <c r="S26" s="1308">
        <f>F26</f>
        <v>100</v>
      </c>
      <c r="T26" s="1307" t="s">
        <v>8</v>
      </c>
      <c r="U26" s="1308">
        <f>H26</f>
        <v>100</v>
      </c>
      <c r="V26" s="1307" t="s">
        <v>8</v>
      </c>
      <c r="W26" s="1308">
        <f>J26</f>
        <v>100</v>
      </c>
      <c r="X26" s="1302"/>
      <c r="Y26" s="3634"/>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34"/>
      <c r="Q27" s="817" t="str">
        <f t="shared" si="8"/>
        <v>道路级别</v>
      </c>
      <c r="R27" s="1303" t="s">
        <v>8</v>
      </c>
      <c r="S27" s="1304">
        <f>F27</f>
        <v>100</v>
      </c>
      <c r="T27" s="1303" t="s">
        <v>8</v>
      </c>
      <c r="U27" s="1304">
        <f>H27</f>
        <v>100</v>
      </c>
      <c r="V27" s="1303" t="s">
        <v>8</v>
      </c>
      <c r="W27" s="1304">
        <f>J27</f>
        <v>100</v>
      </c>
      <c r="X27" s="1305"/>
      <c r="Y27" s="3634"/>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34"/>
      <c r="Q28" s="1306">
        <f t="shared" si="8"/>
        <v>111</v>
      </c>
      <c r="R28" s="1307" t="s">
        <v>8</v>
      </c>
      <c r="S28" s="1308">
        <f t="shared" ref="S28:S46" si="9">F28</f>
        <v>100</v>
      </c>
      <c r="T28" s="1307" t="s">
        <v>8</v>
      </c>
      <c r="U28" s="1308">
        <f t="shared" ref="U28:U46" si="10">H28</f>
        <v>100</v>
      </c>
      <c r="V28" s="1307" t="s">
        <v>8</v>
      </c>
      <c r="W28" s="1308">
        <f t="shared" ref="W28:W46" si="11">J28</f>
        <v>100</v>
      </c>
      <c r="X28" s="1302"/>
      <c r="Y28" s="3634"/>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34"/>
      <c r="Q29" s="1306">
        <f t="shared" si="8"/>
        <v>111</v>
      </c>
      <c r="R29" s="1307" t="s">
        <v>8</v>
      </c>
      <c r="S29" s="1308">
        <f t="shared" si="9"/>
        <v>100</v>
      </c>
      <c r="T29" s="1307" t="s">
        <v>8</v>
      </c>
      <c r="U29" s="1308">
        <f t="shared" si="10"/>
        <v>100</v>
      </c>
      <c r="V29" s="1307" t="s">
        <v>8</v>
      </c>
      <c r="W29" s="1308">
        <f t="shared" si="11"/>
        <v>100</v>
      </c>
      <c r="X29" s="1302"/>
      <c r="Y29" s="3634"/>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34"/>
      <c r="Q30" s="1306">
        <f t="shared" si="8"/>
        <v>111</v>
      </c>
      <c r="R30" s="1307" t="s">
        <v>8</v>
      </c>
      <c r="S30" s="1308">
        <f t="shared" si="9"/>
        <v>100</v>
      </c>
      <c r="T30" s="1307" t="s">
        <v>8</v>
      </c>
      <c r="U30" s="1308">
        <f t="shared" si="10"/>
        <v>100</v>
      </c>
      <c r="V30" s="1307" t="s">
        <v>8</v>
      </c>
      <c r="W30" s="1308">
        <f t="shared" si="11"/>
        <v>100</v>
      </c>
      <c r="X30" s="1302"/>
      <c r="Y30" s="3634"/>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34"/>
      <c r="Q31" s="1306">
        <f t="shared" si="8"/>
        <v>111</v>
      </c>
      <c r="R31" s="1307" t="s">
        <v>8</v>
      </c>
      <c r="S31" s="1308">
        <f t="shared" si="9"/>
        <v>100</v>
      </c>
      <c r="T31" s="1307" t="s">
        <v>8</v>
      </c>
      <c r="U31" s="1308">
        <f t="shared" si="10"/>
        <v>100</v>
      </c>
      <c r="V31" s="1307" t="s">
        <v>8</v>
      </c>
      <c r="W31" s="1308">
        <f t="shared" si="11"/>
        <v>100</v>
      </c>
      <c r="X31" s="1302"/>
      <c r="Y31" s="3634"/>
      <c r="Z31" s="1309">
        <f t="shared" si="12"/>
        <v>111</v>
      </c>
      <c r="AA31" s="1309">
        <f t="shared" si="3"/>
        <v>1</v>
      </c>
      <c r="AB31" s="1309">
        <f t="shared" si="4"/>
        <v>1</v>
      </c>
      <c r="AC31" s="1309">
        <f t="shared" si="5"/>
        <v>1</v>
      </c>
    </row>
    <row r="32" spans="1:29" ht="15">
      <c r="A32" s="2204" t="s">
        <v>2035</v>
      </c>
      <c r="B32" s="156" t="s">
        <v>672</v>
      </c>
      <c r="C32" s="804" t="s">
        <v>4064</v>
      </c>
      <c r="D32" s="546">
        <v>100</v>
      </c>
      <c r="E32" s="804" t="s">
        <v>4064</v>
      </c>
      <c r="F32" s="525">
        <f>SUMIF(100:100,E32,101:101)-SUMIF(100:100,C32,101:101)+100</f>
        <v>100</v>
      </c>
      <c r="G32" s="804" t="s">
        <v>4064</v>
      </c>
      <c r="H32" s="546">
        <f>SUMIF(100:100,G32,101:101)-SUMIF(100:100,C32,101:101)+100</f>
        <v>100</v>
      </c>
      <c r="I32" s="804" t="s">
        <v>4064</v>
      </c>
      <c r="J32" s="490">
        <f>SUMIF(100:100,I32,101:101)-SUMIF(100:100,C32,101:101)+100</f>
        <v>100</v>
      </c>
      <c r="K32" s="794"/>
      <c r="L32" s="1749"/>
      <c r="M32" s="1742"/>
      <c r="N32" s="1742"/>
      <c r="O32" s="1748"/>
      <c r="P32" s="3635" t="s">
        <v>499</v>
      </c>
      <c r="Q32" s="1306" t="str">
        <f t="shared" si="8"/>
        <v>建筑类型</v>
      </c>
      <c r="R32" s="1307" t="s">
        <v>8</v>
      </c>
      <c r="S32" s="1308">
        <f t="shared" si="9"/>
        <v>100</v>
      </c>
      <c r="T32" s="1307" t="s">
        <v>8</v>
      </c>
      <c r="U32" s="1308">
        <f t="shared" si="10"/>
        <v>100</v>
      </c>
      <c r="V32" s="1307" t="s">
        <v>8</v>
      </c>
      <c r="W32" s="1308">
        <f t="shared" si="11"/>
        <v>100</v>
      </c>
      <c r="X32" s="1302"/>
      <c r="Y32" s="3636" t="s">
        <v>499</v>
      </c>
      <c r="Z32" s="1309" t="str">
        <f t="shared" si="12"/>
        <v>建筑类型</v>
      </c>
      <c r="AA32" s="1309">
        <f t="shared" si="3"/>
        <v>1</v>
      </c>
      <c r="AB32" s="1309">
        <f t="shared" si="4"/>
        <v>1</v>
      </c>
      <c r="AC32" s="1309">
        <f t="shared" si="5"/>
        <v>1</v>
      </c>
    </row>
    <row r="33" spans="1:29" s="1133" customFormat="1" ht="15">
      <c r="A33" s="552"/>
      <c r="B33" s="477" t="s">
        <v>673</v>
      </c>
      <c r="C33" s="805"/>
      <c r="D33" s="235">
        <v>100</v>
      </c>
      <c r="E33" s="805"/>
      <c r="F33" s="477">
        <f>LOOKUP(E33,103:103,104:104)-LOOKUP(C33,103:103,104:104)+100</f>
        <v>100</v>
      </c>
      <c r="G33" s="805"/>
      <c r="H33" s="235">
        <f>LOOKUP(G33,103:103,104:104)-LOOKUP(C33,103:103,104:104)+100</f>
        <v>100</v>
      </c>
      <c r="I33" s="805"/>
      <c r="J33" s="235">
        <f>LOOKUP(I33,103:103,104:104)-LOOKUP(C33,103:103,104:104)+100</f>
        <v>100</v>
      </c>
      <c r="K33" s="795"/>
      <c r="L33" s="1747"/>
      <c r="M33" s="1771"/>
      <c r="N33" s="1771"/>
      <c r="O33" s="1750"/>
      <c r="P33" s="3636"/>
      <c r="Q33" s="818" t="str">
        <f t="shared" si="8"/>
        <v>项目建筑规模</v>
      </c>
      <c r="R33" s="1310" t="s">
        <v>8</v>
      </c>
      <c r="S33" s="1311">
        <f t="shared" si="9"/>
        <v>100</v>
      </c>
      <c r="T33" s="1310" t="s">
        <v>8</v>
      </c>
      <c r="U33" s="1311">
        <f t="shared" si="10"/>
        <v>100</v>
      </c>
      <c r="V33" s="1310" t="s">
        <v>8</v>
      </c>
      <c r="W33" s="1311">
        <f t="shared" si="11"/>
        <v>100</v>
      </c>
      <c r="X33" s="1312"/>
      <c r="Y33" s="3636"/>
      <c r="Z33" s="1313" t="str">
        <f t="shared" si="12"/>
        <v>项目建筑规模</v>
      </c>
      <c r="AA33" s="1309">
        <f t="shared" si="3"/>
        <v>1</v>
      </c>
      <c r="AB33" s="1309">
        <f t="shared" si="4"/>
        <v>1</v>
      </c>
      <c r="AC33" s="1309">
        <f t="shared" si="5"/>
        <v>1</v>
      </c>
    </row>
    <row r="34" spans="1:29" ht="15">
      <c r="A34" s="543"/>
      <c r="B34" s="477" t="s">
        <v>674</v>
      </c>
      <c r="C34" s="524" t="s">
        <v>4070</v>
      </c>
      <c r="D34" s="490">
        <v>100</v>
      </c>
      <c r="E34" s="524" t="s">
        <v>4070</v>
      </c>
      <c r="F34" s="525">
        <f>SUMIF(105:105,E34,106:106)-SUMIF(105:105,C34,106:106)+100</f>
        <v>100</v>
      </c>
      <c r="G34" s="524" t="s">
        <v>4070</v>
      </c>
      <c r="H34" s="490">
        <f>SUMIF(105:105,G34,106:106)-SUMIF(105:105,C34,106:106)+100</f>
        <v>100</v>
      </c>
      <c r="I34" s="524" t="s">
        <v>4070</v>
      </c>
      <c r="J34" s="490">
        <f>SUMIF(105:105,I34,106:106)-SUMIF(105:105,C34,106:106)+100</f>
        <v>100</v>
      </c>
      <c r="K34" s="794">
        <v>1</v>
      </c>
      <c r="L34" s="1749"/>
      <c r="M34" s="1742"/>
      <c r="N34" s="1742"/>
      <c r="O34" s="1748"/>
      <c r="P34" s="3636"/>
      <c r="Q34" s="1306" t="str">
        <f t="shared" si="8"/>
        <v>建筑结构</v>
      </c>
      <c r="R34" s="1307" t="s">
        <v>8</v>
      </c>
      <c r="S34" s="1308">
        <f t="shared" si="9"/>
        <v>100</v>
      </c>
      <c r="T34" s="1307" t="s">
        <v>8</v>
      </c>
      <c r="U34" s="1308">
        <f t="shared" si="10"/>
        <v>100</v>
      </c>
      <c r="V34" s="1307" t="s">
        <v>8</v>
      </c>
      <c r="W34" s="1308">
        <f t="shared" si="11"/>
        <v>100</v>
      </c>
      <c r="X34" s="1302"/>
      <c r="Y34" s="3636"/>
      <c r="Z34" s="1309" t="str">
        <f t="shared" si="12"/>
        <v>建筑结构</v>
      </c>
      <c r="AA34" s="1309">
        <f t="shared" si="3"/>
        <v>1</v>
      </c>
      <c r="AB34" s="1309">
        <f t="shared" si="4"/>
        <v>1</v>
      </c>
      <c r="AC34" s="1309">
        <f t="shared" si="5"/>
        <v>1</v>
      </c>
    </row>
    <row r="35" spans="1:29" ht="15">
      <c r="A35" s="543"/>
      <c r="B35" s="477" t="s">
        <v>675</v>
      </c>
      <c r="C35" s="548"/>
      <c r="D35" s="490">
        <v>100</v>
      </c>
      <c r="E35" s="548"/>
      <c r="F35" s="525">
        <f>SUMIF(107:107,E35,108:108)-SUMIF(107:107,C35,108:108)+100</f>
        <v>100</v>
      </c>
      <c r="G35" s="548"/>
      <c r="H35" s="490">
        <f>SUMIF(107:107,G35,108:108)-SUMIF(107:107,C35,108:108)+100</f>
        <v>100</v>
      </c>
      <c r="I35" s="548"/>
      <c r="J35" s="490">
        <f>SUMIF(107:107,I35,108:108)-SUMIF(107:107,C35,108:108)+100</f>
        <v>100</v>
      </c>
      <c r="K35" s="794"/>
      <c r="L35" s="1749"/>
      <c r="M35" s="1742"/>
      <c r="N35" s="1742"/>
      <c r="O35" s="1748"/>
      <c r="P35" s="3636"/>
      <c r="Q35" s="1306" t="str">
        <f t="shared" si="8"/>
        <v>建筑品质</v>
      </c>
      <c r="R35" s="1307" t="s">
        <v>8</v>
      </c>
      <c r="S35" s="1308">
        <f t="shared" si="9"/>
        <v>100</v>
      </c>
      <c r="T35" s="1307" t="s">
        <v>8</v>
      </c>
      <c r="U35" s="1308">
        <f t="shared" si="10"/>
        <v>100</v>
      </c>
      <c r="V35" s="1307" t="s">
        <v>8</v>
      </c>
      <c r="W35" s="1308">
        <f t="shared" si="11"/>
        <v>100</v>
      </c>
      <c r="X35" s="1302"/>
      <c r="Y35" s="3636"/>
      <c r="Z35" s="1309" t="str">
        <f t="shared" si="12"/>
        <v>建筑品质</v>
      </c>
      <c r="AA35" s="1309">
        <f t="shared" si="3"/>
        <v>1</v>
      </c>
      <c r="AB35" s="1309">
        <f t="shared" si="4"/>
        <v>1</v>
      </c>
      <c r="AC35" s="1309">
        <f t="shared" si="5"/>
        <v>1</v>
      </c>
    </row>
    <row r="36" spans="1:29" ht="15">
      <c r="A36" s="543"/>
      <c r="B36" s="477" t="s">
        <v>676</v>
      </c>
      <c r="C36" s="548" t="s">
        <v>4072</v>
      </c>
      <c r="D36" s="490">
        <v>100</v>
      </c>
      <c r="E36" s="548" t="s">
        <v>4072</v>
      </c>
      <c r="F36" s="525">
        <f>SUMIF(109:109,E36,110:110)-SUMIF(109:109,C36,110:110)+100</f>
        <v>100</v>
      </c>
      <c r="G36" s="548" t="s">
        <v>4072</v>
      </c>
      <c r="H36" s="490">
        <f>SUMIF(109:109,G36,110:110)-SUMIF(109:109,C36,110:110)+100</f>
        <v>100</v>
      </c>
      <c r="I36" s="548" t="s">
        <v>4072</v>
      </c>
      <c r="J36" s="490">
        <f>SUMIF(109:109,I36,110:110)-SUMIF(109:109,C36,110:110)+100</f>
        <v>100</v>
      </c>
      <c r="K36" s="794">
        <v>1</v>
      </c>
      <c r="L36" s="1749"/>
      <c r="M36" s="1742"/>
      <c r="N36" s="1742"/>
      <c r="O36" s="1748"/>
      <c r="P36" s="3636"/>
      <c r="Q36" s="1306" t="str">
        <f t="shared" si="8"/>
        <v>公共部分装修</v>
      </c>
      <c r="R36" s="1307" t="s">
        <v>8</v>
      </c>
      <c r="S36" s="1308">
        <f t="shared" si="9"/>
        <v>100</v>
      </c>
      <c r="T36" s="1307" t="s">
        <v>8</v>
      </c>
      <c r="U36" s="1308">
        <f t="shared" si="10"/>
        <v>100</v>
      </c>
      <c r="V36" s="1307" t="s">
        <v>8</v>
      </c>
      <c r="W36" s="1308">
        <f t="shared" si="11"/>
        <v>100</v>
      </c>
      <c r="X36" s="1302"/>
      <c r="Y36" s="3636"/>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3"/>
      <c r="M37" s="1640"/>
      <c r="N37" s="1640"/>
      <c r="O37" s="1744"/>
      <c r="P37" s="3636"/>
      <c r="Q37" s="817" t="str">
        <f t="shared" si="8"/>
        <v>成新度</v>
      </c>
      <c r="R37" s="1303" t="s">
        <v>8</v>
      </c>
      <c r="S37" s="1304">
        <f t="shared" si="9"/>
        <v>100</v>
      </c>
      <c r="T37" s="1303" t="s">
        <v>8</v>
      </c>
      <c r="U37" s="1304">
        <f t="shared" si="10"/>
        <v>100</v>
      </c>
      <c r="V37" s="1303" t="s">
        <v>8</v>
      </c>
      <c r="W37" s="1304">
        <f t="shared" si="11"/>
        <v>100</v>
      </c>
      <c r="X37" s="1305"/>
      <c r="Y37" s="3636"/>
      <c r="Z37" s="996" t="str">
        <f t="shared" si="12"/>
        <v>成新度</v>
      </c>
      <c r="AA37" s="996">
        <f t="shared" si="3"/>
        <v>1</v>
      </c>
      <c r="AB37" s="996">
        <f t="shared" si="4"/>
        <v>1</v>
      </c>
      <c r="AC37" s="996">
        <f t="shared" si="5"/>
        <v>1</v>
      </c>
    </row>
    <row r="38" spans="1:29" ht="15">
      <c r="A38" s="543"/>
      <c r="B38" s="477" t="s">
        <v>678</v>
      </c>
      <c r="C38" s="548" t="s">
        <v>4074</v>
      </c>
      <c r="D38" s="490">
        <v>100</v>
      </c>
      <c r="E38" s="548" t="s">
        <v>4074</v>
      </c>
      <c r="F38" s="525">
        <f>SUMIF(114:114,E38,115:115)-SUMIF(114:114,C38,115:115)+100</f>
        <v>100</v>
      </c>
      <c r="G38" s="548" t="s">
        <v>4074</v>
      </c>
      <c r="H38" s="490">
        <f>SUMIF(114:114,G38,115:115)-SUMIF(114:114,C38,115:115)+100</f>
        <v>100</v>
      </c>
      <c r="I38" s="548" t="s">
        <v>4074</v>
      </c>
      <c r="J38" s="490">
        <f>SUMIF(114:114,I38,115:115)-SUMIF(114:114,C38,115:115)+100</f>
        <v>100</v>
      </c>
      <c r="K38" s="794">
        <v>1</v>
      </c>
      <c r="L38" s="1749"/>
      <c r="M38" s="1742"/>
      <c r="N38" s="1742"/>
      <c r="O38" s="1748"/>
      <c r="P38" s="3636" t="s">
        <v>499</v>
      </c>
      <c r="Q38" s="1306" t="str">
        <f t="shared" si="8"/>
        <v>物业管理</v>
      </c>
      <c r="R38" s="1307" t="s">
        <v>8</v>
      </c>
      <c r="S38" s="1308">
        <f t="shared" si="9"/>
        <v>100</v>
      </c>
      <c r="T38" s="1307" t="s">
        <v>8</v>
      </c>
      <c r="U38" s="1308">
        <f t="shared" si="10"/>
        <v>100</v>
      </c>
      <c r="V38" s="1307" t="s">
        <v>8</v>
      </c>
      <c r="W38" s="1308">
        <f t="shared" si="11"/>
        <v>100</v>
      </c>
      <c r="X38" s="1302"/>
      <c r="Y38" s="3636" t="s">
        <v>499</v>
      </c>
      <c r="Z38" s="1309" t="str">
        <f t="shared" si="12"/>
        <v>物业管理</v>
      </c>
      <c r="AA38" s="1309">
        <f t="shared" si="3"/>
        <v>1</v>
      </c>
      <c r="AB38" s="1309">
        <f t="shared" si="4"/>
        <v>1</v>
      </c>
      <c r="AC38" s="1309">
        <f t="shared" si="5"/>
        <v>1</v>
      </c>
    </row>
    <row r="39" spans="1:29" ht="15">
      <c r="A39" s="543"/>
      <c r="B39" s="1554" t="s">
        <v>1845</v>
      </c>
      <c r="C39" s="548" t="s">
        <v>3346</v>
      </c>
      <c r="D39" s="490">
        <v>100</v>
      </c>
      <c r="E39" s="548" t="s">
        <v>3346</v>
      </c>
      <c r="F39" s="525">
        <f>SUMIF(116:116,E39,117:117)-SUMIF(116:116,C39,117:117)+100</f>
        <v>100</v>
      </c>
      <c r="G39" s="548" t="s">
        <v>3346</v>
      </c>
      <c r="H39" s="490">
        <f>SUMIF(116:116,G39,117:117)-SUMIF(116:116,C39,117:117)+100</f>
        <v>100</v>
      </c>
      <c r="I39" s="548" t="s">
        <v>3346</v>
      </c>
      <c r="J39" s="490">
        <f>SUMIF(116:116,I39,117:117)-SUMIF(116:116,C39,117:117)+100</f>
        <v>100</v>
      </c>
      <c r="K39" s="794">
        <v>1</v>
      </c>
      <c r="L39" s="1749"/>
      <c r="M39" s="1742"/>
      <c r="N39" s="1742"/>
      <c r="O39" s="1748"/>
      <c r="P39" s="3636"/>
      <c r="Q39" s="1306" t="str">
        <f t="shared" si="8"/>
        <v>市政基础设施</v>
      </c>
      <c r="R39" s="1307" t="s">
        <v>8</v>
      </c>
      <c r="S39" s="1308">
        <f t="shared" si="9"/>
        <v>100</v>
      </c>
      <c r="T39" s="1307" t="s">
        <v>8</v>
      </c>
      <c r="U39" s="1308">
        <f t="shared" si="10"/>
        <v>100</v>
      </c>
      <c r="V39" s="1307" t="s">
        <v>8</v>
      </c>
      <c r="W39" s="1308">
        <f t="shared" si="11"/>
        <v>100</v>
      </c>
      <c r="X39" s="1302"/>
      <c r="Y39" s="3636"/>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36"/>
      <c r="Q40" s="1306" t="str">
        <f t="shared" si="8"/>
        <v>房型</v>
      </c>
      <c r="R40" s="1307" t="s">
        <v>8</v>
      </c>
      <c r="S40" s="1308">
        <f t="shared" si="9"/>
        <v>100</v>
      </c>
      <c r="T40" s="1307" t="s">
        <v>8</v>
      </c>
      <c r="U40" s="1308">
        <f t="shared" si="10"/>
        <v>100</v>
      </c>
      <c r="V40" s="1307" t="s">
        <v>8</v>
      </c>
      <c r="W40" s="1308">
        <f t="shared" si="11"/>
        <v>100</v>
      </c>
      <c r="X40" s="1302"/>
      <c r="Y40" s="3636"/>
      <c r="Z40" s="1309" t="str">
        <f t="shared" si="12"/>
        <v>房型</v>
      </c>
      <c r="AA40" s="1309">
        <f t="shared" si="3"/>
        <v>1</v>
      </c>
      <c r="AB40" s="1309">
        <f t="shared" si="4"/>
        <v>1</v>
      </c>
      <c r="AC40" s="1309">
        <f t="shared" si="5"/>
        <v>1</v>
      </c>
    </row>
    <row r="41" spans="1:29" s="1133" customFormat="1" ht="28.5">
      <c r="A41" s="552"/>
      <c r="B41" s="477" t="s">
        <v>680</v>
      </c>
      <c r="C41" s="3424" t="s">
        <v>4119</v>
      </c>
      <c r="D41" s="235">
        <v>100</v>
      </c>
      <c r="E41" s="3425" t="s">
        <v>4120</v>
      </c>
      <c r="F41" s="477">
        <f>SUMIF(120:120,E41,121:121)-SUMIF(120:120,C41,121:121)+100</f>
        <v>100</v>
      </c>
      <c r="G41" s="3426" t="s">
        <v>4121</v>
      </c>
      <c r="H41" s="235">
        <f>SUMIF(120:120,G41,121:121)-SUMIF(120:120,C41,121:121)+100</f>
        <v>95</v>
      </c>
      <c r="I41" s="3425" t="s">
        <v>4120</v>
      </c>
      <c r="J41" s="490">
        <f>SUMIF(120:120,I41,121:121)-SUMIF(120:120,C41,121:121)+100</f>
        <v>100</v>
      </c>
      <c r="K41" s="795"/>
      <c r="L41" s="1747"/>
      <c r="M41" s="1771"/>
      <c r="N41" s="1771"/>
      <c r="O41" s="1750"/>
      <c r="P41" s="3636"/>
      <c r="Q41" s="818" t="str">
        <f t="shared" si="8"/>
        <v>单套/主力户型建筑面积</v>
      </c>
      <c r="R41" s="1310" t="s">
        <v>8</v>
      </c>
      <c r="S41" s="1311">
        <f t="shared" si="9"/>
        <v>100</v>
      </c>
      <c r="T41" s="1310" t="s">
        <v>8</v>
      </c>
      <c r="U41" s="1311">
        <f t="shared" si="10"/>
        <v>95</v>
      </c>
      <c r="V41" s="1310" t="s">
        <v>8</v>
      </c>
      <c r="W41" s="1311">
        <f t="shared" si="11"/>
        <v>100</v>
      </c>
      <c r="X41" s="1312"/>
      <c r="Y41" s="3636"/>
      <c r="Z41" s="1313" t="str">
        <f t="shared" si="12"/>
        <v>单套/主力户型建筑面积</v>
      </c>
      <c r="AA41" s="1309">
        <f t="shared" si="3"/>
        <v>1</v>
      </c>
      <c r="AB41" s="1309">
        <f t="shared" si="4"/>
        <v>1.0526315789473684</v>
      </c>
      <c r="AC41" s="1309">
        <f t="shared" si="5"/>
        <v>1</v>
      </c>
    </row>
    <row r="42" spans="1:29" ht="15">
      <c r="A42" s="543"/>
      <c r="B42" s="477" t="s">
        <v>681</v>
      </c>
      <c r="C42" s="548" t="s">
        <v>4072</v>
      </c>
      <c r="D42" s="490">
        <v>100</v>
      </c>
      <c r="E42" s="803" t="s">
        <v>4062</v>
      </c>
      <c r="F42" s="525">
        <f>SUMIF(122:122,E42,123:123)-SUMIF(122:122,C42,123:123)+100</f>
        <v>95.5</v>
      </c>
      <c r="G42" s="548" t="s">
        <v>4072</v>
      </c>
      <c r="H42" s="490">
        <f>SUMIF(122:122,G42,123:123)-SUMIF(122:122,C42,123:123)+100</f>
        <v>100</v>
      </c>
      <c r="I42" s="803" t="s">
        <v>4062</v>
      </c>
      <c r="J42" s="490">
        <f>SUMIF(122:122,I42,123:123)-SUMIF(122:122,C42,123:123)+100</f>
        <v>95.5</v>
      </c>
      <c r="K42" s="794">
        <v>1.5</v>
      </c>
      <c r="L42" s="1749"/>
      <c r="M42" s="1742"/>
      <c r="N42" s="1742"/>
      <c r="O42" s="1748"/>
      <c r="P42" s="3636"/>
      <c r="Q42" s="1306" t="str">
        <f t="shared" si="8"/>
        <v>内部装修</v>
      </c>
      <c r="R42" s="1307" t="s">
        <v>8</v>
      </c>
      <c r="S42" s="1308">
        <f t="shared" si="9"/>
        <v>95.5</v>
      </c>
      <c r="T42" s="1307" t="s">
        <v>8</v>
      </c>
      <c r="U42" s="1308">
        <f t="shared" si="10"/>
        <v>100</v>
      </c>
      <c r="V42" s="1307" t="s">
        <v>8</v>
      </c>
      <c r="W42" s="1308">
        <f t="shared" si="11"/>
        <v>95.5</v>
      </c>
      <c r="X42" s="1302"/>
      <c r="Y42" s="3636"/>
      <c r="Z42" s="1309" t="str">
        <f t="shared" si="12"/>
        <v>内部装修</v>
      </c>
      <c r="AA42" s="1309">
        <f t="shared" si="3"/>
        <v>1.0471204188481675</v>
      </c>
      <c r="AB42" s="1309">
        <f t="shared" si="4"/>
        <v>1</v>
      </c>
      <c r="AC42" s="1309">
        <f t="shared" si="5"/>
        <v>1.0471204188481675</v>
      </c>
    </row>
    <row r="43" spans="1:29" ht="27.75" thickBot="1">
      <c r="A43" s="543"/>
      <c r="B43" s="477" t="s">
        <v>682</v>
      </c>
      <c r="C43" s="548" t="s">
        <v>3348</v>
      </c>
      <c r="D43" s="490">
        <v>100</v>
      </c>
      <c r="E43" s="548" t="s">
        <v>3348</v>
      </c>
      <c r="F43" s="525">
        <f>SUMIF(124:124,E43,125:125)-SUMIF(124:124,C43,125:125)+100</f>
        <v>100</v>
      </c>
      <c r="G43" s="548" t="s">
        <v>3348</v>
      </c>
      <c r="H43" s="490">
        <f>SUMIF(124:124,G43,125:125)-SUMIF(124:124,C43,125:125)+100</f>
        <v>100</v>
      </c>
      <c r="I43" s="548" t="s">
        <v>3348</v>
      </c>
      <c r="J43" s="490">
        <f>SUMIF(124:124,I43,125:125)-SUMIF(124:124,C43,125:125)+100</f>
        <v>100</v>
      </c>
      <c r="K43" s="794">
        <v>1</v>
      </c>
      <c r="L43" s="1749"/>
      <c r="M43" s="1742"/>
      <c r="N43" s="1742"/>
      <c r="O43" s="1748"/>
      <c r="P43" s="3636"/>
      <c r="Q43" s="1306" t="str">
        <f t="shared" si="8"/>
        <v>内部装修维护情况</v>
      </c>
      <c r="R43" s="1307" t="s">
        <v>8</v>
      </c>
      <c r="S43" s="1308">
        <f t="shared" si="9"/>
        <v>100</v>
      </c>
      <c r="T43" s="1307" t="s">
        <v>8</v>
      </c>
      <c r="U43" s="1308">
        <f t="shared" si="10"/>
        <v>100</v>
      </c>
      <c r="V43" s="1307" t="s">
        <v>8</v>
      </c>
      <c r="W43" s="1308">
        <f t="shared" si="11"/>
        <v>100</v>
      </c>
      <c r="X43" s="1302"/>
      <c r="Y43" s="3636"/>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36"/>
      <c r="Q44" s="817">
        <f t="shared" si="8"/>
        <v>111</v>
      </c>
      <c r="R44" s="1303" t="s">
        <v>8</v>
      </c>
      <c r="S44" s="1304">
        <f t="shared" si="9"/>
        <v>100</v>
      </c>
      <c r="T44" s="1303" t="s">
        <v>8</v>
      </c>
      <c r="U44" s="1304">
        <f t="shared" si="10"/>
        <v>100</v>
      </c>
      <c r="V44" s="1303" t="s">
        <v>8</v>
      </c>
      <c r="W44" s="1304">
        <f t="shared" si="11"/>
        <v>100</v>
      </c>
      <c r="X44" s="1305"/>
      <c r="Y44" s="3636"/>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36"/>
      <c r="Q45" s="1306">
        <f t="shared" si="8"/>
        <v>111</v>
      </c>
      <c r="R45" s="1307" t="s">
        <v>8</v>
      </c>
      <c r="S45" s="1308">
        <f t="shared" si="9"/>
        <v>100</v>
      </c>
      <c r="T45" s="1307" t="s">
        <v>8</v>
      </c>
      <c r="U45" s="1308">
        <f t="shared" si="10"/>
        <v>100</v>
      </c>
      <c r="V45" s="1307" t="s">
        <v>8</v>
      </c>
      <c r="W45" s="1308">
        <f t="shared" si="11"/>
        <v>100</v>
      </c>
      <c r="X45" s="1302"/>
      <c r="Y45" s="3636"/>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55"/>
      <c r="Q46" s="1306">
        <f t="shared" si="8"/>
        <v>111</v>
      </c>
      <c r="R46" s="1307" t="s">
        <v>7</v>
      </c>
      <c r="S46" s="1308">
        <f t="shared" si="9"/>
        <v>100</v>
      </c>
      <c r="T46" s="1307" t="s">
        <v>7</v>
      </c>
      <c r="U46" s="1308">
        <f t="shared" si="10"/>
        <v>100</v>
      </c>
      <c r="V46" s="1307" t="s">
        <v>7</v>
      </c>
      <c r="W46" s="1308">
        <f t="shared" si="11"/>
        <v>100</v>
      </c>
      <c r="X46" s="1302"/>
      <c r="Y46" s="3655"/>
      <c r="Z46" s="1309">
        <f t="shared" si="12"/>
        <v>111</v>
      </c>
      <c r="AA46" s="1309">
        <f t="shared" si="3"/>
        <v>1</v>
      </c>
      <c r="AB46" s="1309">
        <f t="shared" si="4"/>
        <v>1</v>
      </c>
      <c r="AC46" s="1309">
        <f t="shared" si="5"/>
        <v>1</v>
      </c>
    </row>
    <row r="47" spans="1:29" ht="15">
      <c r="A47" s="556" t="s">
        <v>683</v>
      </c>
      <c r="B47" s="811"/>
      <c r="C47" s="2081" t="s">
        <v>6</v>
      </c>
      <c r="D47" s="559"/>
      <c r="E47" s="560">
        <f>案例!C6</f>
        <v>27288</v>
      </c>
      <c r="F47" s="561"/>
      <c r="G47" s="562">
        <f>案例!C7</f>
        <v>27541</v>
      </c>
      <c r="H47" s="563"/>
      <c r="I47" s="560">
        <f>案例!C9</f>
        <v>26765</v>
      </c>
      <c r="J47" s="563"/>
      <c r="K47" s="1331"/>
      <c r="L47" s="1751"/>
      <c r="M47" s="1742"/>
      <c r="N47" s="1742"/>
      <c r="O47" s="1742"/>
      <c r="P47" s="3599" t="str">
        <f>A47</f>
        <v>成交单价（元/平方米）</v>
      </c>
      <c r="Q47" s="3599"/>
      <c r="R47" s="3600">
        <f>E47</f>
        <v>27288</v>
      </c>
      <c r="S47" s="3600"/>
      <c r="T47" s="3600">
        <f>G47</f>
        <v>27541</v>
      </c>
      <c r="U47" s="3600"/>
      <c r="V47" s="3600">
        <f>I47</f>
        <v>26765</v>
      </c>
      <c r="W47" s="3600"/>
      <c r="X47" s="799"/>
      <c r="Y47" s="1314"/>
      <c r="Z47" s="799"/>
      <c r="AA47" s="799"/>
      <c r="AB47" s="799"/>
      <c r="AC47" s="799"/>
    </row>
    <row r="48" spans="1:29" ht="15.75" thickBot="1">
      <c r="A48" s="564" t="s">
        <v>2040</v>
      </c>
      <c r="B48" s="812"/>
      <c r="C48" s="2082">
        <f>R49</f>
        <v>27417</v>
      </c>
      <c r="D48" s="2549" t="s">
        <v>2254</v>
      </c>
      <c r="E48" s="2083">
        <f>R48</f>
        <v>27459</v>
      </c>
      <c r="F48" s="2550"/>
      <c r="G48" s="2082">
        <f>T48</f>
        <v>27859</v>
      </c>
      <c r="H48" s="2550"/>
      <c r="I48" s="2083">
        <f>V48</f>
        <v>26933</v>
      </c>
      <c r="J48" s="2550"/>
      <c r="K48" s="2557">
        <f>F48+H48+J48</f>
        <v>0</v>
      </c>
      <c r="L48" s="1751"/>
      <c r="M48" s="1742"/>
      <c r="N48" s="1742"/>
      <c r="O48" s="1742"/>
      <c r="P48" s="3599" t="str">
        <f>A48</f>
        <v>比较价格（元/平方米）</v>
      </c>
      <c r="Q48" s="3599"/>
      <c r="R48" s="3600">
        <f>IF(F1="售价",ROUND(PRODUCT(R47,AA7:AA46),0),ROUND(PRODUCT(R47,AA7:AA46),1))</f>
        <v>27459</v>
      </c>
      <c r="S48" s="3600"/>
      <c r="T48" s="3600">
        <f>IF(F1="售价",ROUND(PRODUCT(T47,AB7:AB46),0),ROUND(PRODUCT(T47,AB7:AB46),1))</f>
        <v>27859</v>
      </c>
      <c r="U48" s="3600"/>
      <c r="V48" s="3600">
        <f>IF(F1="售价",ROUND(PRODUCT(V47,AC7:AC46),0),ROUND(PRODUCT(V47,AC7:AC46),1))</f>
        <v>26933</v>
      </c>
      <c r="W48" s="3600"/>
      <c r="X48" s="799"/>
      <c r="Y48" s="799"/>
      <c r="Z48" s="799"/>
      <c r="AA48" s="799"/>
      <c r="AB48" s="799"/>
      <c r="AC48" s="799"/>
    </row>
    <row r="49" spans="1:29" ht="15.75" thickBot="1">
      <c r="A49" s="568" t="s">
        <v>2191</v>
      </c>
      <c r="B49" s="569"/>
      <c r="C49" s="469">
        <f>R49</f>
        <v>27417</v>
      </c>
      <c r="D49" s="469"/>
      <c r="E49" s="469"/>
      <c r="F49" s="469"/>
      <c r="G49" s="469"/>
      <c r="H49" s="469"/>
      <c r="I49" s="469"/>
      <c r="J49" s="469"/>
      <c r="K49" s="1332"/>
      <c r="L49" s="1751"/>
      <c r="M49" s="1742"/>
      <c r="N49" s="1742"/>
      <c r="O49" s="1742"/>
      <c r="P49" s="3637" t="str">
        <f>A49</f>
        <v>估价对象XX用房的比较价格（楼面单价，元/平方米）</v>
      </c>
      <c r="Q49" s="3638"/>
      <c r="R49" s="3654">
        <f>IF(F1="售价",ROUND(IF(D48="简单平均",AVERAGE(R48:V48),R48*F48+T48*H48+V48*J48),0),ROUND(IF(D48="简单平均",AVERAGE(R48:V48),R48*F48+T48*H48+V48*J48),1))</f>
        <v>27417</v>
      </c>
      <c r="S49" s="3654"/>
      <c r="T49" s="3654"/>
      <c r="U49" s="3654"/>
      <c r="V49" s="3654"/>
      <c r="W49" s="3654"/>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6.2664907651714952E-3</v>
      </c>
      <c r="F52" s="574" t="str">
        <f>IF(OR(E52&gt;=0.3,E52&lt;=-0.3),"超过30%","")</f>
        <v/>
      </c>
      <c r="G52" s="573">
        <f>IF(G47&lt;G48,G48/G47-1,G47/G48-1)</f>
        <v>1.1546421698558573E-2</v>
      </c>
      <c r="H52" s="574" t="str">
        <f>IF(OR(G52&gt;=0.3,G52&lt;=-0.3),"超过30%","")</f>
        <v/>
      </c>
      <c r="I52" s="573">
        <f>IF(I47&lt;I48,I48/I47-1,I47/I48-1)</f>
        <v>6.276854100504492E-3</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1.4567172875924017E-2</v>
      </c>
      <c r="F53" s="574" t="str">
        <f>IF(OR(E53&gt;=0.2,E53&lt;=-0.2),"超过20%","")</f>
        <v/>
      </c>
      <c r="G53" s="573">
        <f>IF(G48&lt;I48,I48/G48-1,G48/I48-1)</f>
        <v>3.4381613633832186E-2</v>
      </c>
      <c r="H53" s="574" t="str">
        <f>IF(OR(G53&gt;=0.2,G53&lt;=-0.2),"超过20%","")</f>
        <v/>
      </c>
      <c r="I53" s="573">
        <f>IF(I48&lt;E48,E48/I48-1,I48/E48-1)</f>
        <v>1.9529944677533218E-2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1" t="s">
        <v>508</v>
      </c>
      <c r="D54" s="575"/>
      <c r="E54" s="573">
        <f>IF(E47&lt;G47,G47/E47-1,E47/G47-1)</f>
        <v>9.2714746408677495E-3</v>
      </c>
      <c r="F54" s="574" t="str">
        <f>IF(OR(E54&gt;=0.3,E54&lt;=-0.3),"超过30%","")</f>
        <v/>
      </c>
      <c r="G54" s="573">
        <f>IF(G47&lt;I47,I47/G47-1,G47/I47-1)</f>
        <v>2.8993087988044008E-2</v>
      </c>
      <c r="H54" s="574" t="str">
        <f>IF(OR(G54&gt;=0.3,G54&lt;=-0.3),"超过30%","")</f>
        <v/>
      </c>
      <c r="I54" s="573">
        <f>IF(I47&lt;E47,E47/I47-1,I47/E47-1)</f>
        <v>1.9540444610498753E-2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2024-11</v>
      </c>
      <c r="D58" s="2115">
        <f>EDATE(C58,-1)</f>
        <v>45566</v>
      </c>
      <c r="E58" s="2115">
        <f t="shared" ref="E58:O58" si="13">EDATE(D58,-1)</f>
        <v>45536</v>
      </c>
      <c r="F58" s="2115">
        <f t="shared" si="13"/>
        <v>45505</v>
      </c>
      <c r="G58" s="2115">
        <f t="shared" si="13"/>
        <v>45474</v>
      </c>
      <c r="H58" s="2115">
        <f t="shared" si="13"/>
        <v>45444</v>
      </c>
      <c r="I58" s="2115">
        <f t="shared" si="13"/>
        <v>45413</v>
      </c>
      <c r="J58" s="2115">
        <f t="shared" si="13"/>
        <v>45383</v>
      </c>
      <c r="K58" s="2115">
        <f t="shared" si="13"/>
        <v>45352</v>
      </c>
      <c r="L58" s="2115">
        <f t="shared" si="13"/>
        <v>45323</v>
      </c>
      <c r="M58" s="2115">
        <f t="shared" si="13"/>
        <v>45292</v>
      </c>
      <c r="N58" s="2115">
        <f t="shared" si="13"/>
        <v>45261</v>
      </c>
      <c r="O58" s="2115">
        <f t="shared" si="13"/>
        <v>45231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t="str">
        <f>B12</f>
        <v>限价</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99</v>
      </c>
      <c r="E77" s="621">
        <f>D77-$K15</f>
        <v>98</v>
      </c>
      <c r="F77" s="621">
        <f>E77-$K15</f>
        <v>97</v>
      </c>
      <c r="G77" s="621">
        <f>F77-$K15</f>
        <v>96</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99</v>
      </c>
      <c r="E79" s="621">
        <f>D79-$K17</f>
        <v>98</v>
      </c>
      <c r="F79" s="621">
        <f>E79-$K17</f>
        <v>97</v>
      </c>
      <c r="G79" s="621">
        <f>F79-$K17</f>
        <v>96</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1838</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99</v>
      </c>
      <c r="E81" s="621">
        <f>D81-$K19</f>
        <v>98</v>
      </c>
      <c r="F81" s="621">
        <f>E81-$K19</f>
        <v>97</v>
      </c>
      <c r="G81" s="621">
        <f>F81-$K19</f>
        <v>96</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1839</v>
      </c>
      <c r="C82" s="2057" t="s">
        <v>1840</v>
      </c>
      <c r="D82" s="2057" t="s">
        <v>1841</v>
      </c>
      <c r="E82" s="2057" t="s">
        <v>1842</v>
      </c>
      <c r="F82" s="2057" t="s">
        <v>1843</v>
      </c>
      <c r="G82" s="2057" t="s">
        <v>1844</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99</v>
      </c>
      <c r="E85" s="621">
        <f>D85-$K23</f>
        <v>98</v>
      </c>
      <c r="F85" s="621">
        <f>E85-$K23</f>
        <v>97</v>
      </c>
      <c r="G85" s="621">
        <f>F85-$K23</f>
        <v>96</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1614</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00" t="s">
        <v>4069</v>
      </c>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0(含)-50000</v>
      </c>
      <c r="D102" s="649" t="str">
        <f t="shared" ref="D102:L102" si="19">D103&amp;"(含)"&amp;"-"&amp;E103</f>
        <v>50000(含)-100000</v>
      </c>
      <c r="E102" s="649" t="str">
        <f t="shared" si="19"/>
        <v>100000(含)-500000</v>
      </c>
      <c r="F102" s="649" t="str">
        <f t="shared" si="19"/>
        <v>500000(含)-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50000</v>
      </c>
      <c r="E103" s="79">
        <v>100000</v>
      </c>
      <c r="F103" s="79">
        <v>500000</v>
      </c>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f>C104+2</f>
        <v>102</v>
      </c>
      <c r="E104" s="613">
        <f>D104+2</f>
        <v>104</v>
      </c>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2" t="s">
        <v>4071</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99</v>
      </c>
      <c r="E106" s="621">
        <f t="shared" si="20"/>
        <v>98</v>
      </c>
      <c r="F106" s="621">
        <f t="shared" si="20"/>
        <v>97</v>
      </c>
      <c r="G106" s="621">
        <f t="shared" si="20"/>
        <v>96</v>
      </c>
      <c r="H106" s="621">
        <f t="shared" si="20"/>
        <v>95</v>
      </c>
      <c r="I106" s="621">
        <f t="shared" si="20"/>
        <v>94</v>
      </c>
      <c r="J106" s="621">
        <f t="shared" si="20"/>
        <v>93</v>
      </c>
      <c r="K106" s="621">
        <f t="shared" si="20"/>
        <v>92</v>
      </c>
      <c r="L106" s="621">
        <f t="shared" si="20"/>
        <v>91</v>
      </c>
      <c r="M106" s="621">
        <f t="shared" si="20"/>
        <v>90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2" t="s">
        <v>4073</v>
      </c>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99</v>
      </c>
      <c r="E110" s="621">
        <f t="shared" si="22"/>
        <v>98</v>
      </c>
      <c r="F110" s="621">
        <f t="shared" si="22"/>
        <v>97</v>
      </c>
      <c r="G110" s="621">
        <f t="shared" si="22"/>
        <v>96</v>
      </c>
      <c r="H110" s="621">
        <f t="shared" si="22"/>
        <v>95</v>
      </c>
      <c r="I110" s="621">
        <f t="shared" si="22"/>
        <v>94</v>
      </c>
      <c r="J110" s="621">
        <f t="shared" si="22"/>
        <v>93</v>
      </c>
      <c r="K110" s="621">
        <f t="shared" si="22"/>
        <v>92</v>
      </c>
      <c r="L110" s="621">
        <f t="shared" si="22"/>
        <v>91</v>
      </c>
      <c r="M110" s="621">
        <f t="shared" si="22"/>
        <v>90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2" t="s">
        <v>4075</v>
      </c>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99</v>
      </c>
      <c r="E115" s="621">
        <f t="shared" si="23"/>
        <v>98</v>
      </c>
      <c r="F115" s="621">
        <f t="shared" si="23"/>
        <v>97</v>
      </c>
      <c r="G115" s="621">
        <f t="shared" si="23"/>
        <v>96</v>
      </c>
      <c r="H115" s="621">
        <f t="shared" si="23"/>
        <v>95</v>
      </c>
      <c r="I115" s="621">
        <f t="shared" si="23"/>
        <v>94</v>
      </c>
      <c r="J115" s="621">
        <f t="shared" si="23"/>
        <v>93</v>
      </c>
      <c r="K115" s="621">
        <f t="shared" si="23"/>
        <v>92</v>
      </c>
      <c r="L115" s="621">
        <f t="shared" si="23"/>
        <v>91</v>
      </c>
      <c r="M115" s="621">
        <f t="shared" si="23"/>
        <v>90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1837</v>
      </c>
      <c r="C116" s="3402" t="s">
        <v>4076</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3402" t="s">
        <v>4120</v>
      </c>
      <c r="D120" s="3402" t="s">
        <v>4122</v>
      </c>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v>100</v>
      </c>
      <c r="D121" s="613">
        <v>95</v>
      </c>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2" t="s">
        <v>4073</v>
      </c>
      <c r="D122" s="3402" t="s">
        <v>4077</v>
      </c>
      <c r="E122" s="3402" t="s">
        <v>4078</v>
      </c>
      <c r="F122" s="3401" t="s">
        <v>4079</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98.5</v>
      </c>
      <c r="E123" s="621">
        <f t="shared" si="25"/>
        <v>97</v>
      </c>
      <c r="F123" s="621">
        <f t="shared" si="25"/>
        <v>95.5</v>
      </c>
      <c r="G123" s="621">
        <f t="shared" si="25"/>
        <v>94</v>
      </c>
      <c r="H123" s="621">
        <f t="shared" si="25"/>
        <v>92.5</v>
      </c>
      <c r="I123" s="621">
        <f t="shared" si="25"/>
        <v>91</v>
      </c>
      <c r="J123" s="621">
        <f t="shared" si="25"/>
        <v>89.5</v>
      </c>
      <c r="K123" s="621">
        <f t="shared" si="25"/>
        <v>88</v>
      </c>
      <c r="L123" s="621">
        <f t="shared" si="25"/>
        <v>86.5</v>
      </c>
      <c r="M123" s="621">
        <f t="shared" si="25"/>
        <v>85</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99</v>
      </c>
      <c r="E125" s="621">
        <f>D125-$K43</f>
        <v>98</v>
      </c>
      <c r="F125" s="621">
        <f>E125-$K43</f>
        <v>97</v>
      </c>
      <c r="G125" s="621">
        <f>F125-$K43</f>
        <v>96</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1615</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1616</v>
      </c>
      <c r="C137" s="1578"/>
      <c r="D137" s="1578"/>
      <c r="E137" s="1578"/>
      <c r="F137" s="1578"/>
      <c r="G137" s="1579"/>
      <c r="H137" s="1580"/>
      <c r="I137" s="1581" t="s">
        <v>1617</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1618</v>
      </c>
      <c r="D138" s="1584" t="s">
        <v>1619</v>
      </c>
      <c r="E138" s="1585" t="s">
        <v>1620</v>
      </c>
      <c r="F138" s="1586" t="s">
        <v>1621</v>
      </c>
      <c r="G138" s="1584" t="s">
        <v>1622</v>
      </c>
      <c r="H138" s="1587" t="s">
        <v>1623</v>
      </c>
      <c r="I138" s="1588"/>
      <c r="J138" s="1584" t="s">
        <v>1624</v>
      </c>
      <c r="K138" s="1587" t="s">
        <v>1625</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1626</v>
      </c>
      <c r="E139" s="1558">
        <v>100</v>
      </c>
      <c r="F139" s="1559">
        <v>102.5</v>
      </c>
      <c r="G139" s="1589" t="s">
        <v>1627</v>
      </c>
      <c r="H139" s="1560">
        <v>105</v>
      </c>
      <c r="I139" s="1590" t="s">
        <v>1628</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1629</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1630</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1631</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1632</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1633</v>
      </c>
      <c r="E144" s="1564">
        <v>102</v>
      </c>
      <c r="F144" s="1570">
        <v>100</v>
      </c>
      <c r="G144" s="1593" t="s">
        <v>1633</v>
      </c>
      <c r="H144" s="1566">
        <v>105</v>
      </c>
      <c r="I144" s="1592" t="s">
        <v>1632</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1634</v>
      </c>
      <c r="C145" s="1571">
        <f>ROUND(MAX(C139:C144)/MIN(C139:C144)-1,3)</f>
        <v>7.2999999999999995E-2</v>
      </c>
      <c r="D145" s="1595"/>
      <c r="E145" s="1595"/>
      <c r="F145" s="1596" t="s">
        <v>1635</v>
      </c>
      <c r="G145" s="1597"/>
      <c r="H145" s="1598"/>
      <c r="I145" s="1599" t="s">
        <v>1632</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1643</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1644</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29" priority="14"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F7:F46 H7:H46 J7:J46">
    <cfRule type="cellIs" dxfId="126" priority="1" operator="notEqual">
      <formula>100</formula>
    </cfRule>
  </conditionalFormatting>
  <conditionalFormatting sqref="F48">
    <cfRule type="expression" dxfId="125" priority="4">
      <formula>$D$48="简单平均"</formula>
    </cfRule>
  </conditionalFormatting>
  <conditionalFormatting sqref="F52:F54 H52:H54 J52:J54">
    <cfRule type="containsText" dxfId="124" priority="15" stopIfTrue="1" operator="containsText" text="超过">
      <formula>NOT(ISERROR(SEARCH("超过",F52)))</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G54">
    <cfRule type="expression" dxfId="121" priority="12" stopIfTrue="1">
      <formula>$H$54="超过30%"</formula>
    </cfRule>
  </conditionalFormatting>
  <conditionalFormatting sqref="H48">
    <cfRule type="expression" dxfId="120" priority="3">
      <formula>$D$48="简单平均"</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J48">
    <cfRule type="expression" dxfId="116" priority="2">
      <formula>$D$48="简单平均"</formula>
    </cfRule>
  </conditionalFormatting>
  <dataValidations count="21">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I20 E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D48" xr:uid="{00000000-0002-0000-1700-000014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9"/>
  <sheetViews>
    <sheetView topLeftCell="A37" workbookViewId="0">
      <selection activeCell="C6" sqref="C6"/>
    </sheetView>
  </sheetViews>
  <sheetFormatPr defaultRowHeight="13.5"/>
  <sheetData>
    <row r="1" spans="1:10">
      <c r="A1" s="2746" t="s">
        <v>4042</v>
      </c>
      <c r="B1" s="2746" t="s">
        <v>4043</v>
      </c>
      <c r="C1" s="2746" t="s">
        <v>4044</v>
      </c>
      <c r="D1" s="3389" t="s">
        <v>4045</v>
      </c>
      <c r="E1" s="2746" t="s">
        <v>3316</v>
      </c>
      <c r="F1" s="2746" t="s">
        <v>4046</v>
      </c>
      <c r="G1" s="2746" t="s">
        <v>3296</v>
      </c>
      <c r="H1" s="2746" t="s">
        <v>4058</v>
      </c>
      <c r="I1" s="2746" t="s">
        <v>4059</v>
      </c>
      <c r="J1" s="2746" t="s">
        <v>4061</v>
      </c>
    </row>
    <row r="2" spans="1:10" s="3394" customFormat="1">
      <c r="A2" s="3394">
        <v>1</v>
      </c>
      <c r="B2" s="3394" t="s">
        <v>4047</v>
      </c>
      <c r="C2" s="3394">
        <v>28524</v>
      </c>
      <c r="D2" s="3406">
        <v>29748</v>
      </c>
    </row>
    <row r="3" spans="1:10" s="3390" customFormat="1">
      <c r="A3" s="3390">
        <v>2</v>
      </c>
      <c r="B3" s="3389" t="s">
        <v>4048</v>
      </c>
      <c r="C3" s="3390">
        <v>25009</v>
      </c>
      <c r="D3" s="3390">
        <v>25224</v>
      </c>
      <c r="E3" s="3390">
        <v>15</v>
      </c>
    </row>
    <row r="4" spans="1:10">
      <c r="A4">
        <v>3</v>
      </c>
      <c r="B4" s="2746" t="s">
        <v>4049</v>
      </c>
      <c r="C4">
        <v>26359</v>
      </c>
      <c r="D4" s="3390">
        <v>25667</v>
      </c>
      <c r="E4">
        <v>10</v>
      </c>
    </row>
    <row r="5" spans="1:10" s="3390" customFormat="1">
      <c r="A5" s="3390">
        <v>4</v>
      </c>
      <c r="B5" s="3389" t="s">
        <v>4050</v>
      </c>
      <c r="C5" s="3390">
        <v>24752</v>
      </c>
      <c r="D5" s="3390">
        <v>23128</v>
      </c>
      <c r="E5" s="3390">
        <v>16</v>
      </c>
    </row>
    <row r="6" spans="1:10" s="3407" customFormat="1">
      <c r="A6" s="3407">
        <v>5</v>
      </c>
      <c r="B6" s="3407" t="s">
        <v>4057</v>
      </c>
      <c r="C6" s="3407">
        <v>27288</v>
      </c>
      <c r="D6" s="3407">
        <v>27100</v>
      </c>
      <c r="E6" s="3407">
        <v>13.43</v>
      </c>
      <c r="G6" s="3407">
        <v>1.6</v>
      </c>
      <c r="H6" s="3407">
        <v>225648</v>
      </c>
      <c r="I6" s="3407" t="s">
        <v>4060</v>
      </c>
      <c r="J6" s="3407" t="s">
        <v>4063</v>
      </c>
    </row>
    <row r="7" spans="1:10" s="3407" customFormat="1">
      <c r="A7" s="3407">
        <v>6</v>
      </c>
      <c r="B7" s="3407" t="s">
        <v>4051</v>
      </c>
      <c r="C7" s="3407">
        <v>27541</v>
      </c>
      <c r="D7" s="3407">
        <v>26415</v>
      </c>
      <c r="E7" s="3407">
        <v>12.17</v>
      </c>
      <c r="G7" s="3407">
        <v>2</v>
      </c>
      <c r="H7" s="3407">
        <v>96815</v>
      </c>
      <c r="I7" s="3407" t="s">
        <v>4066</v>
      </c>
      <c r="J7" s="3407" t="s">
        <v>4067</v>
      </c>
    </row>
    <row r="8" spans="1:10" s="3390" customFormat="1">
      <c r="A8" s="3390">
        <v>7</v>
      </c>
      <c r="B8" s="3389" t="s">
        <v>4052</v>
      </c>
      <c r="C8" s="3390">
        <v>34118</v>
      </c>
      <c r="D8" s="3390">
        <v>33367</v>
      </c>
      <c r="E8" s="3390">
        <v>14.75</v>
      </c>
      <c r="F8" s="3390">
        <v>15000</v>
      </c>
    </row>
    <row r="9" spans="1:10" s="3408" customFormat="1">
      <c r="A9" s="3408">
        <v>8</v>
      </c>
      <c r="B9" s="3409" t="s">
        <v>4053</v>
      </c>
      <c r="C9" s="3408">
        <v>26765</v>
      </c>
      <c r="D9" s="3408">
        <v>25853</v>
      </c>
      <c r="G9" s="3408">
        <v>1.34</v>
      </c>
      <c r="H9" s="3408">
        <v>241540</v>
      </c>
      <c r="I9" s="3409" t="s">
        <v>4065</v>
      </c>
      <c r="J9" s="3409" t="s">
        <v>4063</v>
      </c>
    </row>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64"/>
  <sheetViews>
    <sheetView topLeftCell="A7" zoomScale="80" zoomScaleNormal="80" workbookViewId="0">
      <selection activeCell="C40" sqref="C40"/>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2435</v>
      </c>
      <c r="B1" s="2814"/>
      <c r="C1" s="2827"/>
      <c r="D1" s="2827"/>
      <c r="E1" s="2815"/>
      <c r="F1" s="2816"/>
      <c r="G1" s="2817"/>
      <c r="J1" s="2820" t="s">
        <v>2292</v>
      </c>
      <c r="K1" s="2821"/>
      <c r="L1" s="2821"/>
      <c r="M1" s="2821"/>
      <c r="N1" s="2821"/>
      <c r="O1" s="2821"/>
      <c r="P1" s="2821"/>
      <c r="Q1" s="2821"/>
      <c r="R1" s="2822"/>
      <c r="S1" s="2823"/>
      <c r="T1" s="2823"/>
      <c r="U1" s="2823"/>
    </row>
    <row r="2" spans="1:22" s="2836" customFormat="1" ht="13.15" customHeight="1">
      <c r="A2" s="2825" t="s">
        <v>2293</v>
      </c>
      <c r="B2" s="2826">
        <f ca="1">C40</f>
        <v>6620.5299431899621</v>
      </c>
      <c r="C2" s="2827" t="s">
        <v>2294</v>
      </c>
      <c r="D2" s="2827"/>
      <c r="E2" s="2828"/>
      <c r="F2" s="2829"/>
      <c r="G2" s="2830"/>
      <c r="H2" s="2831"/>
      <c r="I2" s="2832"/>
      <c r="J2" s="3656" t="s">
        <v>2295</v>
      </c>
      <c r="K2" s="3657"/>
      <c r="L2" s="2833" t="s">
        <v>2296</v>
      </c>
      <c r="M2" s="2833" t="s">
        <v>2297</v>
      </c>
      <c r="N2" s="2833" t="s">
        <v>2298</v>
      </c>
      <c r="O2" s="2833" t="s">
        <v>2299</v>
      </c>
      <c r="P2" s="2833" t="s">
        <v>2300</v>
      </c>
      <c r="Q2" s="2834" t="s">
        <v>2301</v>
      </c>
      <c r="R2" s="2835" t="s">
        <v>2302</v>
      </c>
      <c r="S2" s="2823"/>
      <c r="T2" s="2823"/>
      <c r="U2" s="2823"/>
      <c r="V2" s="2832"/>
    </row>
    <row r="3" spans="1:22" s="2836" customFormat="1" ht="13.15" customHeight="1">
      <c r="A3" s="2837" t="s">
        <v>2303</v>
      </c>
      <c r="B3" s="2838">
        <f ca="1">ROUND(B2*10000/B4,0)</f>
        <v>11227</v>
      </c>
      <c r="C3" s="2827" t="s">
        <v>2304</v>
      </c>
      <c r="D3" s="2827"/>
      <c r="E3" s="2828"/>
      <c r="F3" s="2829"/>
      <c r="G3" s="2830"/>
      <c r="H3" s="2831"/>
      <c r="I3" s="2832"/>
      <c r="J3" s="3658" t="s">
        <v>2305</v>
      </c>
      <c r="K3" s="3659"/>
      <c r="L3" s="2839"/>
      <c r="M3" s="2839"/>
      <c r="N3" s="2839"/>
      <c r="O3" s="2839"/>
      <c r="P3" s="2839"/>
      <c r="Q3" s="2840"/>
      <c r="R3" s="2841">
        <f>SUM(L3:Q3)</f>
        <v>0</v>
      </c>
      <c r="S3" s="2823"/>
      <c r="T3" s="2823"/>
      <c r="U3" s="2823"/>
      <c r="V3" s="2832"/>
    </row>
    <row r="4" spans="1:22" s="2836" customFormat="1" ht="13.15" customHeight="1">
      <c r="A4" s="2842" t="s">
        <v>2306</v>
      </c>
      <c r="B4" s="2843">
        <f>'数据-汇总表'!F20</f>
        <v>5896.96</v>
      </c>
      <c r="C4" s="2827"/>
      <c r="D4" s="2827"/>
      <c r="E4" s="2828"/>
      <c r="F4" s="2829"/>
      <c r="G4" s="2830"/>
      <c r="H4" s="2831"/>
      <c r="I4" s="2832"/>
      <c r="J4" s="3658" t="s">
        <v>2307</v>
      </c>
      <c r="K4" s="3659"/>
      <c r="L4" s="2844"/>
      <c r="M4" s="2844"/>
      <c r="N4" s="2844"/>
      <c r="O4" s="2844"/>
      <c r="P4" s="2844"/>
      <c r="Q4" s="2845"/>
      <c r="R4" s="2846">
        <f>SUM(L4:Q4)</f>
        <v>0</v>
      </c>
      <c r="S4" s="2823"/>
      <c r="T4" s="2823"/>
      <c r="U4" s="2823"/>
      <c r="V4" s="2832"/>
    </row>
    <row r="5" spans="1:22" s="2836" customFormat="1" ht="13.15" customHeight="1" thickBot="1">
      <c r="A5" s="2847" t="s">
        <v>2308</v>
      </c>
      <c r="B5" s="2848">
        <f ca="1">不动产收益法!F35</f>
        <v>2094.91</v>
      </c>
      <c r="C5" s="2827"/>
      <c r="D5" s="2849"/>
      <c r="E5" s="2829"/>
      <c r="F5" s="2829"/>
      <c r="G5" s="2830"/>
      <c r="H5" s="2831"/>
      <c r="I5" s="2832"/>
      <c r="J5" s="2850" t="s">
        <v>2309</v>
      </c>
      <c r="K5" s="2851"/>
      <c r="L5" s="2851"/>
      <c r="M5" s="2852"/>
      <c r="N5" s="2852"/>
      <c r="O5" s="2852"/>
      <c r="P5" s="2852"/>
      <c r="Q5" s="2852"/>
      <c r="R5" s="2835">
        <f>SUM(R14,R19,R24,R25,R27,R28)</f>
        <v>775</v>
      </c>
      <c r="S5" s="2823"/>
      <c r="T5" s="2823" t="s">
        <v>2310</v>
      </c>
      <c r="U5" s="2823" t="e">
        <f>ROUND(R5*10000/365/R3,1)</f>
        <v>#DIV/0!</v>
      </c>
      <c r="V5" s="2832"/>
    </row>
    <row r="6" spans="1:22" s="2836" customFormat="1" ht="13.15" customHeight="1" thickBot="1">
      <c r="A6" s="3660" t="s">
        <v>2311</v>
      </c>
      <c r="B6" s="3661"/>
      <c r="C6" s="3662"/>
      <c r="D6" s="2853">
        <f>R5</f>
        <v>775</v>
      </c>
      <c r="E6" s="2854"/>
      <c r="F6" s="2855"/>
      <c r="G6" s="2856"/>
      <c r="H6" s="2831"/>
      <c r="I6" s="2832"/>
      <c r="J6" s="3663">
        <v>1</v>
      </c>
      <c r="K6" s="3664" t="s">
        <v>2312</v>
      </c>
      <c r="L6" s="2857" t="s">
        <v>2313</v>
      </c>
      <c r="M6" s="2858" t="s">
        <v>2314</v>
      </c>
      <c r="N6" s="2858" t="s">
        <v>2315</v>
      </c>
      <c r="O6" s="2858" t="s">
        <v>2316</v>
      </c>
      <c r="P6" s="2858" t="s">
        <v>2317</v>
      </c>
      <c r="Q6" s="2858" t="s">
        <v>2318</v>
      </c>
      <c r="R6" s="2841" t="s">
        <v>2319</v>
      </c>
      <c r="S6" s="2823"/>
      <c r="T6" s="2823" t="s">
        <v>2320</v>
      </c>
      <c r="U6" s="2823"/>
      <c r="V6" s="2832"/>
    </row>
    <row r="7" spans="1:22" s="2836" customFormat="1" ht="13.15" customHeight="1">
      <c r="A7" s="2859" t="s">
        <v>2321</v>
      </c>
      <c r="B7" s="2860"/>
      <c r="C7" s="2861"/>
      <c r="D7" s="2862">
        <f ca="1">SUM(D9,D10,D11,D17,0)</f>
        <v>396.31</v>
      </c>
      <c r="E7" s="2863">
        <f ca="1">E9+E10+E11+E17</f>
        <v>0.51136774193548384</v>
      </c>
      <c r="F7" s="2864"/>
      <c r="G7" s="2865"/>
      <c r="H7" s="2831"/>
      <c r="I7" s="2832"/>
      <c r="J7" s="3663"/>
      <c r="K7" s="3665"/>
      <c r="L7" s="2866" t="s">
        <v>2322</v>
      </c>
      <c r="M7" s="2867"/>
      <c r="N7" s="2843"/>
      <c r="O7" s="2868"/>
      <c r="P7" s="2868"/>
      <c r="Q7" s="2869">
        <v>365</v>
      </c>
      <c r="R7" s="2870">
        <f>ROUND(M7*N7*O7*P7*Q7/10000,0)</f>
        <v>0</v>
      </c>
      <c r="S7" s="2823"/>
      <c r="T7" s="2823" t="s">
        <v>2323</v>
      </c>
      <c r="U7" s="2823"/>
      <c r="V7" s="2832"/>
    </row>
    <row r="8" spans="1:22" s="2836" customFormat="1" ht="13.15" customHeight="1">
      <c r="A8" s="2871" t="s">
        <v>2324</v>
      </c>
      <c r="B8" s="3667" t="s">
        <v>2325</v>
      </c>
      <c r="C8" s="3668"/>
      <c r="D8" s="2872" t="s">
        <v>2326</v>
      </c>
      <c r="E8" s="2873" t="s">
        <v>2327</v>
      </c>
      <c r="F8" s="2874" t="s">
        <v>2328</v>
      </c>
      <c r="G8" s="2875"/>
      <c r="H8" s="2831"/>
      <c r="I8" s="2832"/>
      <c r="J8" s="3663"/>
      <c r="K8" s="3665"/>
      <c r="L8" s="2866" t="s">
        <v>2329</v>
      </c>
      <c r="M8" s="2867"/>
      <c r="N8" s="2843"/>
      <c r="O8" s="2868"/>
      <c r="P8" s="2868"/>
      <c r="Q8" s="2869">
        <v>365</v>
      </c>
      <c r="R8" s="2870">
        <f t="shared" ref="R8:R13" si="0">ROUND(M8*N8*O8*P8*Q8/10000,0)</f>
        <v>0</v>
      </c>
      <c r="S8" s="2823"/>
      <c r="T8" s="2823" t="s">
        <v>2330</v>
      </c>
      <c r="U8" s="2823"/>
      <c r="V8" s="2832"/>
    </row>
    <row r="9" spans="1:22" s="2836" customFormat="1" ht="13.15" customHeight="1">
      <c r="A9" s="2871">
        <v>1</v>
      </c>
      <c r="B9" s="3667" t="s">
        <v>2331</v>
      </c>
      <c r="C9" s="3668"/>
      <c r="D9" s="2872">
        <f>ROUND(D6*E9,0)</f>
        <v>116</v>
      </c>
      <c r="E9" s="2876">
        <v>0.15</v>
      </c>
      <c r="F9" s="2877" t="s">
        <v>2332</v>
      </c>
      <c r="G9" s="2856"/>
      <c r="H9" s="2831"/>
      <c r="I9" s="2832"/>
      <c r="J9" s="3663"/>
      <c r="K9" s="3665"/>
      <c r="L9" s="2866" t="s">
        <v>2333</v>
      </c>
      <c r="M9" s="2867"/>
      <c r="N9" s="2843"/>
      <c r="O9" s="2868"/>
      <c r="P9" s="2868"/>
      <c r="Q9" s="2869">
        <v>365</v>
      </c>
      <c r="R9" s="2870">
        <f t="shared" si="0"/>
        <v>0</v>
      </c>
      <c r="S9" s="2823"/>
      <c r="T9" s="2823"/>
      <c r="U9" s="2823"/>
      <c r="V9" s="2832"/>
    </row>
    <row r="10" spans="1:22" s="2836" customFormat="1" ht="13.15" customHeight="1">
      <c r="A10" s="2871">
        <v>2</v>
      </c>
      <c r="B10" s="3667" t="s">
        <v>2334</v>
      </c>
      <c r="C10" s="3668"/>
      <c r="D10" s="2872">
        <f>ROUND(D6*E10,0)</f>
        <v>155</v>
      </c>
      <c r="E10" s="2876">
        <v>0.2</v>
      </c>
      <c r="F10" s="2877" t="s">
        <v>2335</v>
      </c>
      <c r="G10" s="2856"/>
      <c r="H10" s="2831"/>
      <c r="I10" s="2832"/>
      <c r="J10" s="3663"/>
      <c r="K10" s="3665"/>
      <c r="L10" s="2866" t="s">
        <v>2336</v>
      </c>
      <c r="M10" s="2867">
        <v>106</v>
      </c>
      <c r="N10" s="2843">
        <v>200</v>
      </c>
      <c r="O10" s="2868">
        <v>1</v>
      </c>
      <c r="P10" s="2868">
        <v>0.5</v>
      </c>
      <c r="Q10" s="2869">
        <v>365</v>
      </c>
      <c r="R10" s="2870">
        <f t="shared" si="0"/>
        <v>387</v>
      </c>
      <c r="S10" s="2823"/>
      <c r="T10" s="2823"/>
      <c r="U10" s="2823"/>
      <c r="V10" s="2832"/>
    </row>
    <row r="11" spans="1:22" s="2836" customFormat="1" ht="13.15" customHeight="1">
      <c r="A11" s="2871">
        <v>3</v>
      </c>
      <c r="B11" s="3667" t="s">
        <v>2337</v>
      </c>
      <c r="C11" s="3668"/>
      <c r="D11" s="2872">
        <f ca="1">D12+D14+D15+D16</f>
        <v>86.31</v>
      </c>
      <c r="E11" s="2878">
        <f ca="1">D11/D6</f>
        <v>0.11136774193548388</v>
      </c>
      <c r="F11" s="2874"/>
      <c r="G11" s="2875"/>
      <c r="H11" s="2831"/>
      <c r="I11" s="2832"/>
      <c r="J11" s="3663"/>
      <c r="K11" s="3665"/>
      <c r="L11" s="2866" t="s">
        <v>2338</v>
      </c>
      <c r="M11" s="2867"/>
      <c r="N11" s="2843"/>
      <c r="O11" s="2868"/>
      <c r="P11" s="2868"/>
      <c r="Q11" s="2869">
        <v>365</v>
      </c>
      <c r="R11" s="2870">
        <f t="shared" si="0"/>
        <v>0</v>
      </c>
      <c r="S11" s="2823"/>
      <c r="T11" s="2823"/>
      <c r="U11" s="2823"/>
      <c r="V11" s="2832"/>
    </row>
    <row r="12" spans="1:22" s="2836" customFormat="1" ht="13.15" customHeight="1">
      <c r="A12" s="2879" t="s">
        <v>2339</v>
      </c>
      <c r="B12" s="3669" t="s">
        <v>2340</v>
      </c>
      <c r="C12" s="3670"/>
      <c r="D12" s="2880">
        <f ca="1">ROUND(D13*1.2%*(1-30%),0)</f>
        <v>43</v>
      </c>
      <c r="E12" s="2881">
        <v>1.2E-2</v>
      </c>
      <c r="F12" s="2874" t="s">
        <v>2341</v>
      </c>
      <c r="G12" s="2875"/>
      <c r="H12" s="2831"/>
      <c r="I12" s="2832"/>
      <c r="J12" s="3663"/>
      <c r="K12" s="3665"/>
      <c r="L12" s="2866" t="s">
        <v>2342</v>
      </c>
      <c r="M12" s="2867"/>
      <c r="N12" s="2843"/>
      <c r="O12" s="2868"/>
      <c r="P12" s="2868"/>
      <c r="Q12" s="2869">
        <v>365</v>
      </c>
      <c r="R12" s="2870">
        <f t="shared" si="0"/>
        <v>0</v>
      </c>
      <c r="S12" s="2823"/>
      <c r="T12" s="2823"/>
      <c r="U12" s="2823"/>
      <c r="V12" s="2832"/>
    </row>
    <row r="13" spans="1:22" s="2836" customFormat="1" ht="13.15" customHeight="1">
      <c r="A13" s="2879"/>
      <c r="B13" s="2882"/>
      <c r="C13" s="2883" t="s">
        <v>2343</v>
      </c>
      <c r="D13" s="2884">
        <f ca="1">不动产收益法!C29</f>
        <v>5112</v>
      </c>
      <c r="E13" s="2885"/>
      <c r="F13" s="2874"/>
      <c r="G13" s="2875"/>
      <c r="H13" s="2831"/>
      <c r="I13" s="2832"/>
      <c r="J13" s="3663"/>
      <c r="K13" s="3665"/>
      <c r="L13" s="2866" t="s">
        <v>2344</v>
      </c>
      <c r="M13" s="2867"/>
      <c r="N13" s="2843"/>
      <c r="O13" s="2868"/>
      <c r="P13" s="2868"/>
      <c r="Q13" s="2869">
        <v>365</v>
      </c>
      <c r="R13" s="2870">
        <f t="shared" si="0"/>
        <v>0</v>
      </c>
      <c r="S13" s="2823"/>
      <c r="T13" s="2823"/>
      <c r="U13" s="2823"/>
      <c r="V13" s="2832"/>
    </row>
    <row r="14" spans="1:22" s="2836" customFormat="1" ht="13.15" customHeight="1">
      <c r="A14" s="2879" t="s">
        <v>2345</v>
      </c>
      <c r="B14" s="3669" t="s">
        <v>2346</v>
      </c>
      <c r="C14" s="3670"/>
      <c r="D14" s="3427">
        <f ca="1">ROUND(E14*B5/10000,2)</f>
        <v>0.31</v>
      </c>
      <c r="E14" s="2869">
        <v>1.5</v>
      </c>
      <c r="F14" s="2874" t="s">
        <v>2347</v>
      </c>
      <c r="G14" s="2875"/>
      <c r="H14" s="2831"/>
      <c r="I14" s="2832"/>
      <c r="J14" s="3663"/>
      <c r="K14" s="3666"/>
      <c r="L14" s="2886" t="s">
        <v>2348</v>
      </c>
      <c r="M14" s="2887">
        <f>SUM(M7:M13)</f>
        <v>106</v>
      </c>
      <c r="N14" s="2887">
        <f>ROUND((N7*M7+N8*M8+N9*M9+N10*M10+N11*M11+N12*M12+N13*M13)/M14,0)</f>
        <v>200</v>
      </c>
      <c r="O14" s="2888"/>
      <c r="P14" s="2888"/>
      <c r="Q14" s="2889"/>
      <c r="R14" s="2835">
        <f>SUM(R7:R13)</f>
        <v>387</v>
      </c>
      <c r="S14" s="2823"/>
      <c r="T14" s="2823"/>
      <c r="U14" s="2823"/>
      <c r="V14" s="2832"/>
    </row>
    <row r="15" spans="1:22" s="2836" customFormat="1" ht="13.15" customHeight="1">
      <c r="A15" s="2879" t="s">
        <v>2349</v>
      </c>
      <c r="B15" s="3669" t="s">
        <v>2350</v>
      </c>
      <c r="C15" s="3670"/>
      <c r="D15" s="2880">
        <f>ROUND(D6*E15,0)</f>
        <v>43</v>
      </c>
      <c r="E15" s="2881">
        <v>5.5E-2</v>
      </c>
      <c r="F15" s="2874" t="s">
        <v>2351</v>
      </c>
      <c r="G15" s="2856"/>
      <c r="H15" s="2831"/>
      <c r="I15" s="2832"/>
      <c r="J15" s="3663">
        <v>2</v>
      </c>
      <c r="K15" s="3664" t="s">
        <v>2352</v>
      </c>
      <c r="L15" s="2866" t="s">
        <v>2353</v>
      </c>
      <c r="M15" s="2867" t="s">
        <v>2354</v>
      </c>
      <c r="N15" s="2867" t="s">
        <v>2355</v>
      </c>
      <c r="O15" s="2868" t="s">
        <v>2356</v>
      </c>
      <c r="P15" s="2868" t="s">
        <v>2357</v>
      </c>
      <c r="Q15" s="2843" t="s">
        <v>2358</v>
      </c>
      <c r="R15" s="2890" t="s">
        <v>2359</v>
      </c>
      <c r="S15" s="2823"/>
      <c r="T15" s="2823"/>
      <c r="U15" s="2823"/>
      <c r="V15" s="2832"/>
    </row>
    <row r="16" spans="1:22" s="2836" customFormat="1" ht="13.15" customHeight="1">
      <c r="A16" s="2879" t="s">
        <v>2360</v>
      </c>
      <c r="B16" s="3669" t="s">
        <v>2361</v>
      </c>
      <c r="C16" s="3670"/>
      <c r="D16" s="2891">
        <f>D6*E16</f>
        <v>0</v>
      </c>
      <c r="E16" s="2892"/>
      <c r="F16" s="2877" t="s">
        <v>2362</v>
      </c>
      <c r="G16" s="2856"/>
      <c r="H16" s="2831"/>
      <c r="I16" s="2832"/>
      <c r="J16" s="3663"/>
      <c r="K16" s="3665"/>
      <c r="L16" s="2866" t="s">
        <v>2363</v>
      </c>
      <c r="M16" s="2867"/>
      <c r="N16" s="2867"/>
      <c r="O16" s="2868"/>
      <c r="P16" s="2869">
        <v>365</v>
      </c>
      <c r="Q16" s="2843"/>
      <c r="R16" s="2890">
        <f>ROUND(M16*N16*O16*P16/10000,0)</f>
        <v>0</v>
      </c>
      <c r="S16" s="2823"/>
      <c r="T16" s="2823"/>
      <c r="U16" s="2823"/>
      <c r="V16" s="2832"/>
    </row>
    <row r="17" spans="1:22" s="2836" customFormat="1" ht="13.15" customHeight="1" thickBot="1">
      <c r="A17" s="2893">
        <v>4</v>
      </c>
      <c r="B17" s="3671" t="s">
        <v>2364</v>
      </c>
      <c r="C17" s="3672"/>
      <c r="D17" s="2894">
        <f>ROUND(D6*E17,0)</f>
        <v>39</v>
      </c>
      <c r="E17" s="2895">
        <v>0.05</v>
      </c>
      <c r="F17" s="2896" t="s">
        <v>2365</v>
      </c>
      <c r="G17" s="2856"/>
      <c r="H17" s="2831"/>
      <c r="I17" s="2832"/>
      <c r="J17" s="3663"/>
      <c r="K17" s="3665"/>
      <c r="L17" s="2866" t="s">
        <v>2366</v>
      </c>
      <c r="M17" s="2867"/>
      <c r="N17" s="2867"/>
      <c r="O17" s="2868"/>
      <c r="P17" s="2869">
        <v>365</v>
      </c>
      <c r="Q17" s="2843"/>
      <c r="R17" s="2890">
        <f>ROUND(M17*N17*O17*P17/10000,0)</f>
        <v>0</v>
      </c>
      <c r="S17" s="2823"/>
      <c r="T17" s="2823"/>
      <c r="U17" s="2823"/>
      <c r="V17" s="2832"/>
    </row>
    <row r="18" spans="1:22" s="2836" customFormat="1" ht="13.15" customHeight="1" thickBot="1">
      <c r="A18" s="2859" t="s">
        <v>2367</v>
      </c>
      <c r="B18" s="2860"/>
      <c r="C18" s="2860"/>
      <c r="D18" s="2897">
        <f>ROUND(D6*E18,0)</f>
        <v>39</v>
      </c>
      <c r="E18" s="2898">
        <v>0.05</v>
      </c>
      <c r="F18" s="2899" t="s">
        <v>2368</v>
      </c>
      <c r="G18" s="2856"/>
      <c r="H18" s="2831"/>
      <c r="I18" s="2832"/>
      <c r="J18" s="3663"/>
      <c r="K18" s="3665"/>
      <c r="L18" s="2866" t="s">
        <v>2369</v>
      </c>
      <c r="M18" s="2867"/>
      <c r="N18" s="2867"/>
      <c r="O18" s="2868"/>
      <c r="P18" s="2869">
        <v>365</v>
      </c>
      <c r="Q18" s="2843"/>
      <c r="R18" s="2890">
        <f>ROUND(M18*N18*O18*P18/10000,0)</f>
        <v>0</v>
      </c>
      <c r="S18" s="2823"/>
      <c r="T18" s="2823"/>
      <c r="U18" s="2823"/>
      <c r="V18" s="2832"/>
    </row>
    <row r="19" spans="1:22" s="2836" customFormat="1" ht="13.15" customHeight="1" thickBot="1">
      <c r="A19" s="2900" t="s">
        <v>2370</v>
      </c>
      <c r="B19" s="2854"/>
      <c r="C19" s="2854"/>
      <c r="D19" s="2854"/>
      <c r="E19" s="2854"/>
      <c r="F19" s="2855"/>
      <c r="G19" s="2875"/>
      <c r="H19" s="2831"/>
      <c r="I19" s="2832"/>
      <c r="J19" s="3663"/>
      <c r="K19" s="3666"/>
      <c r="L19" s="2886" t="s">
        <v>2348</v>
      </c>
      <c r="M19" s="2887"/>
      <c r="N19" s="2887">
        <f>SUM(N16:N18)</f>
        <v>0</v>
      </c>
      <c r="O19" s="2888"/>
      <c r="P19" s="2901" t="s">
        <v>4041</v>
      </c>
      <c r="Q19" s="2868">
        <v>0.5</v>
      </c>
      <c r="R19" s="2902">
        <f>ROUND(IF(P19="按比例",R14*Q19,SUM(R16:R18)),0)</f>
        <v>194</v>
      </c>
      <c r="S19" s="2823"/>
      <c r="T19" s="2823"/>
      <c r="U19" s="2823"/>
      <c r="V19" s="2832"/>
    </row>
    <row r="20" spans="1:22" s="2836" customFormat="1" ht="13.15" customHeight="1">
      <c r="A20" s="2859"/>
      <c r="B20" s="2860"/>
      <c r="C20" s="2860"/>
      <c r="D20" s="2860"/>
      <c r="E20" s="2860"/>
      <c r="F20" s="2903"/>
      <c r="G20" s="2875"/>
      <c r="H20" s="2831"/>
      <c r="I20" s="2832"/>
      <c r="J20" s="3663">
        <v>3</v>
      </c>
      <c r="K20" s="3664" t="s">
        <v>2371</v>
      </c>
      <c r="L20" s="2866" t="s">
        <v>2372</v>
      </c>
      <c r="M20" s="2867" t="s">
        <v>2373</v>
      </c>
      <c r="N20" s="2904" t="s">
        <v>2374</v>
      </c>
      <c r="O20" s="2868" t="s">
        <v>2375</v>
      </c>
      <c r="P20" s="2869" t="s">
        <v>2376</v>
      </c>
      <c r="Q20" s="2843" t="s">
        <v>2377</v>
      </c>
      <c r="R20" s="2890" t="s">
        <v>2319</v>
      </c>
      <c r="S20" s="2823"/>
      <c r="T20" s="2823"/>
      <c r="U20" s="2823"/>
      <c r="V20" s="2832"/>
    </row>
    <row r="21" spans="1:22" s="2836" customFormat="1" ht="13.15" customHeight="1">
      <c r="A21" s="2859"/>
      <c r="B21" s="2860"/>
      <c r="C21" s="2905" t="s">
        <v>2378</v>
      </c>
      <c r="D21" s="2906" t="s">
        <v>2379</v>
      </c>
      <c r="E21" s="2907" t="s">
        <v>2380</v>
      </c>
      <c r="F21" s="2903"/>
      <c r="G21" s="2875"/>
      <c r="H21" s="2831"/>
      <c r="I21" s="2832"/>
      <c r="J21" s="3663"/>
      <c r="K21" s="3665"/>
      <c r="L21" s="2866" t="s">
        <v>2381</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2382</v>
      </c>
      <c r="D22" s="2910" t="s">
        <v>2383</v>
      </c>
      <c r="E22" s="2911" t="s">
        <v>2384</v>
      </c>
      <c r="F22" s="2903"/>
      <c r="G22" s="2823"/>
      <c r="H22" s="2831"/>
      <c r="I22" s="2832"/>
      <c r="J22" s="3663"/>
      <c r="K22" s="3665"/>
      <c r="L22" s="2866" t="s">
        <v>2385</v>
      </c>
      <c r="M22" s="2867"/>
      <c r="N22" s="2867"/>
      <c r="O22" s="2868"/>
      <c r="P22" s="2869">
        <v>365</v>
      </c>
      <c r="Q22" s="2843"/>
      <c r="R22" s="2908">
        <f>ROUND(M22*N22*O22*P22/10000,0)</f>
        <v>0</v>
      </c>
      <c r="S22" s="2823"/>
      <c r="T22" s="2823"/>
      <c r="U22" s="2823"/>
      <c r="V22" s="2832"/>
    </row>
    <row r="23" spans="1:22" s="2836" customFormat="1" ht="13.15" customHeight="1">
      <c r="A23" s="2912">
        <v>1</v>
      </c>
      <c r="B23" s="2913" t="s">
        <v>2386</v>
      </c>
      <c r="C23" s="2914">
        <f>D6</f>
        <v>775</v>
      </c>
      <c r="D23" s="2915">
        <f>C23*(1+D24)</f>
        <v>852.50000000000011</v>
      </c>
      <c r="E23" s="2916">
        <f>D23*(1+E24)</f>
        <v>937.75000000000023</v>
      </c>
      <c r="F23" s="2917"/>
      <c r="G23" s="2918"/>
      <c r="H23" s="2831"/>
      <c r="I23" s="2832"/>
      <c r="J23" s="3663"/>
      <c r="K23" s="3665"/>
      <c r="L23" s="2866" t="s">
        <v>2387</v>
      </c>
      <c r="M23" s="2867"/>
      <c r="N23" s="2867"/>
      <c r="O23" s="2868"/>
      <c r="P23" s="2869">
        <v>365</v>
      </c>
      <c r="Q23" s="2843"/>
      <c r="R23" s="2908">
        <f>ROUND(M23*N23*O23*P23/10000,0)</f>
        <v>0</v>
      </c>
      <c r="S23" s="2823"/>
      <c r="T23" s="2823"/>
      <c r="U23" s="2823"/>
      <c r="V23" s="2832"/>
    </row>
    <row r="24" spans="1:22" s="2836" customFormat="1" ht="13.15" customHeight="1">
      <c r="A24" s="2919"/>
      <c r="B24" s="2920" t="s">
        <v>2388</v>
      </c>
      <c r="C24" s="2921"/>
      <c r="D24" s="2922">
        <v>0.1</v>
      </c>
      <c r="E24" s="2923">
        <v>0.1</v>
      </c>
      <c r="F24" s="2924"/>
      <c r="G24" s="2918"/>
      <c r="H24" s="2831"/>
      <c r="I24" s="2832"/>
      <c r="J24" s="3663"/>
      <c r="K24" s="3666"/>
      <c r="L24" s="2886" t="s">
        <v>2348</v>
      </c>
      <c r="M24" s="2887">
        <f>SUM(M21:M23)</f>
        <v>0</v>
      </c>
      <c r="N24" s="2887"/>
      <c r="O24" s="2888"/>
      <c r="P24" s="2901" t="s">
        <v>4041</v>
      </c>
      <c r="Q24" s="2868">
        <v>0.4</v>
      </c>
      <c r="R24" s="2902">
        <f>ROUND(IF(P24="按比例",R14*Q24,SUM(R21:R23)),0)</f>
        <v>155</v>
      </c>
      <c r="S24" s="2823"/>
      <c r="T24" s="2823"/>
      <c r="U24" s="2823"/>
      <c r="V24" s="2832"/>
    </row>
    <row r="25" spans="1:22" s="2931" customFormat="1" ht="13.15" customHeight="1">
      <c r="A25" s="2919"/>
      <c r="B25" s="2920"/>
      <c r="C25" s="2921"/>
      <c r="D25" s="2922"/>
      <c r="E25" s="2923"/>
      <c r="F25" s="2924"/>
      <c r="G25" s="2823"/>
      <c r="H25" s="2831"/>
      <c r="I25" s="2832"/>
      <c r="J25" s="2925">
        <v>4</v>
      </c>
      <c r="K25" s="2926" t="s">
        <v>2389</v>
      </c>
      <c r="L25" s="2927"/>
      <c r="M25" s="2927"/>
      <c r="N25" s="2927"/>
      <c r="O25" s="2927"/>
      <c r="P25" s="2928"/>
      <c r="Q25" s="2929">
        <v>0.1</v>
      </c>
      <c r="R25" s="2902">
        <f>ROUND(R14*Q25,0)</f>
        <v>39</v>
      </c>
      <c r="S25" s="2823"/>
      <c r="T25" s="2823"/>
      <c r="U25" s="2823"/>
      <c r="V25" s="2930"/>
    </row>
    <row r="26" spans="1:22" s="2931" customFormat="1" ht="13.15" customHeight="1">
      <c r="A26" s="2912">
        <v>2</v>
      </c>
      <c r="B26" s="2913" t="s">
        <v>2390</v>
      </c>
      <c r="C26" s="2914">
        <f ca="1">D7</f>
        <v>396.31</v>
      </c>
      <c r="D26" s="2915">
        <f ca="1">D23*D27</f>
        <v>435.94100000000003</v>
      </c>
      <c r="E26" s="2916">
        <f ca="1">E23*E27</f>
        <v>479.53510000000011</v>
      </c>
      <c r="F26" s="2917"/>
      <c r="G26" s="2918"/>
      <c r="H26" s="2831"/>
      <c r="I26" s="2832"/>
      <c r="J26" s="3673">
        <v>5</v>
      </c>
      <c r="K26" s="2932" t="s">
        <v>2391</v>
      </c>
      <c r="L26" s="2933"/>
      <c r="M26" s="2934"/>
      <c r="N26" s="2935" t="s">
        <v>2392</v>
      </c>
      <c r="O26" s="2935" t="s">
        <v>2393</v>
      </c>
      <c r="P26" s="2936" t="s">
        <v>2394</v>
      </c>
      <c r="Q26" s="2936" t="s">
        <v>2395</v>
      </c>
      <c r="R26" s="2841" t="s">
        <v>2396</v>
      </c>
      <c r="S26" s="2875"/>
      <c r="T26" s="2875"/>
      <c r="U26" s="2875"/>
      <c r="V26" s="2930"/>
    </row>
    <row r="27" spans="1:22" s="2836" customFormat="1" ht="13.15" customHeight="1">
      <c r="A27" s="2919"/>
      <c r="B27" s="2920" t="s">
        <v>2397</v>
      </c>
      <c r="C27" s="2937">
        <f ca="1">E7</f>
        <v>0.51136774193548384</v>
      </c>
      <c r="D27" s="2922">
        <f ca="1">C27</f>
        <v>0.51136774193548384</v>
      </c>
      <c r="E27" s="2923">
        <f ca="1">C27</f>
        <v>0.51136774193548384</v>
      </c>
      <c r="F27" s="2924"/>
      <c r="G27" s="2918"/>
      <c r="H27" s="2938"/>
      <c r="I27" s="2930"/>
      <c r="J27" s="3674"/>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2398</v>
      </c>
      <c r="F28" s="2924"/>
      <c r="G28" s="2823"/>
      <c r="H28" s="2938"/>
      <c r="I28" s="2930"/>
      <c r="J28" s="2944">
        <v>6</v>
      </c>
      <c r="K28" s="2945" t="s">
        <v>2399</v>
      </c>
      <c r="L28" s="2946" t="s">
        <v>2400</v>
      </c>
      <c r="M28" s="2947"/>
      <c r="N28" s="2946" t="s">
        <v>2401</v>
      </c>
      <c r="O28" s="2948"/>
      <c r="P28" s="2946" t="s">
        <v>2402</v>
      </c>
      <c r="Q28" s="2949">
        <v>1.4999999999999999E-2</v>
      </c>
      <c r="R28" s="2950"/>
      <c r="S28" s="2823"/>
      <c r="T28" s="2823"/>
      <c r="U28" s="2823"/>
      <c r="V28" s="2930"/>
    </row>
    <row r="29" spans="1:22" s="2931" customFormat="1" ht="13.15" customHeight="1">
      <c r="A29" s="2912">
        <v>3</v>
      </c>
      <c r="B29" s="2913" t="s">
        <v>2403</v>
      </c>
      <c r="C29" s="2914">
        <f>C23*C30</f>
        <v>38.75</v>
      </c>
      <c r="D29" s="2915">
        <f>D23*C30</f>
        <v>42.625000000000007</v>
      </c>
      <c r="E29" s="2916">
        <f>E23*C30</f>
        <v>46.887500000000017</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2404</v>
      </c>
      <c r="C30" s="2937">
        <f>E18</f>
        <v>0.05</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2405</v>
      </c>
      <c r="K31" s="2821"/>
      <c r="L31" s="2821"/>
      <c r="M31" s="2821"/>
      <c r="N31" s="2821"/>
      <c r="O31" s="2821"/>
      <c r="P31" s="2821"/>
      <c r="Q31" s="2821"/>
      <c r="R31" s="2822"/>
      <c r="S31" s="2823"/>
      <c r="T31" s="2823"/>
      <c r="U31" s="2823"/>
      <c r="V31" s="2930"/>
    </row>
    <row r="32" spans="1:22" s="2931" customFormat="1" ht="13.15" customHeight="1">
      <c r="A32" s="2912">
        <v>4</v>
      </c>
      <c r="B32" s="2913" t="s">
        <v>2406</v>
      </c>
      <c r="C32" s="2914">
        <f ca="1">C23-C26-C29</f>
        <v>339.94</v>
      </c>
      <c r="D32" s="2915">
        <f ca="1">D23-D26-D29</f>
        <v>373.93400000000008</v>
      </c>
      <c r="E32" s="2916">
        <f ca="1">E23-E26-E29</f>
        <v>411.32740000000013</v>
      </c>
      <c r="F32" s="2917"/>
      <c r="G32" s="2823"/>
      <c r="H32" s="2831"/>
      <c r="I32" s="2832"/>
      <c r="J32" s="3656" t="s">
        <v>2407</v>
      </c>
      <c r="K32" s="3657"/>
      <c r="L32" s="2833" t="s">
        <v>2408</v>
      </c>
      <c r="M32" s="2833" t="s">
        <v>2297</v>
      </c>
      <c r="N32" s="2833" t="s">
        <v>2298</v>
      </c>
      <c r="O32" s="2833" t="s">
        <v>2299</v>
      </c>
      <c r="P32" s="2833" t="s">
        <v>2300</v>
      </c>
      <c r="Q32" s="2834" t="s">
        <v>2409</v>
      </c>
      <c r="R32" s="2953" t="s">
        <v>2410</v>
      </c>
      <c r="S32" s="2823"/>
      <c r="T32" s="2823"/>
      <c r="U32" s="2823"/>
      <c r="V32" s="2930"/>
    </row>
    <row r="33" spans="1:23" s="2836" customFormat="1" ht="13.15" customHeight="1">
      <c r="A33" s="2912"/>
      <c r="B33" s="2913"/>
      <c r="C33" s="2914"/>
      <c r="D33" s="2954"/>
      <c r="E33" s="2955"/>
      <c r="F33" s="2917"/>
      <c r="G33" s="2823"/>
      <c r="H33" s="2938"/>
      <c r="I33" s="2930"/>
      <c r="J33" s="3658" t="s">
        <v>2411</v>
      </c>
      <c r="K33" s="3659"/>
      <c r="L33" s="2839"/>
      <c r="M33" s="2839"/>
      <c r="N33" s="2839"/>
      <c r="O33" s="2839"/>
      <c r="P33" s="2839"/>
      <c r="Q33" s="2840"/>
      <c r="R33" s="2956">
        <f>SUM(L33:Q33)</f>
        <v>0</v>
      </c>
      <c r="S33" s="2823"/>
      <c r="T33" s="2823"/>
      <c r="U33" s="2823"/>
      <c r="V33" s="2832"/>
    </row>
    <row r="34" spans="1:23" s="2836" customFormat="1" ht="13.15" customHeight="1">
      <c r="A34" s="2912">
        <v>5</v>
      </c>
      <c r="B34" s="2913" t="s">
        <v>2412</v>
      </c>
      <c r="C34" s="2957">
        <f>'数据-取费表'!I7</f>
        <v>5.5E-2</v>
      </c>
      <c r="D34" s="2958">
        <f>C34</f>
        <v>5.5E-2</v>
      </c>
      <c r="E34" s="2959">
        <f>C34</f>
        <v>5.5E-2</v>
      </c>
      <c r="F34" s="2917"/>
      <c r="G34" s="2823"/>
      <c r="H34" s="2938"/>
      <c r="I34" s="2930"/>
      <c r="J34" s="3658" t="s">
        <v>2413</v>
      </c>
      <c r="K34" s="3659"/>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2414</v>
      </c>
      <c r="C35" s="2961">
        <v>0.02</v>
      </c>
      <c r="D35" s="2962">
        <v>0.02</v>
      </c>
      <c r="E35" s="2963">
        <v>0.01</v>
      </c>
      <c r="F35" s="2917"/>
      <c r="G35" s="2964"/>
      <c r="H35" s="2831"/>
      <c r="I35" s="2930"/>
      <c r="J35" s="2850" t="s">
        <v>2415</v>
      </c>
      <c r="K35" s="2851"/>
      <c r="L35" s="2851"/>
      <c r="M35" s="2852"/>
      <c r="N35" s="2852"/>
      <c r="O35" s="2852"/>
      <c r="P35" s="2852"/>
      <c r="Q35" s="2852"/>
      <c r="R35" s="2965">
        <f>R40+R41+R43</f>
        <v>0</v>
      </c>
      <c r="S35" s="2823"/>
      <c r="T35" s="2823" t="s">
        <v>2416</v>
      </c>
      <c r="U35" s="2823"/>
      <c r="V35" s="2832"/>
    </row>
    <row r="36" spans="1:23" s="2836" customFormat="1" ht="13.15" customHeight="1" thickBot="1">
      <c r="A36" s="2912">
        <v>7</v>
      </c>
      <c r="B36" s="2966" t="s">
        <v>2417</v>
      </c>
      <c r="C36" s="2967">
        <v>5</v>
      </c>
      <c r="D36" s="2968">
        <v>5</v>
      </c>
      <c r="E36" s="2969">
        <f>项目基本情况!D19-'不动产收益法-酒店模型'!D36-'不动产收益法-酒店模型'!C36</f>
        <v>29.07</v>
      </c>
      <c r="F36" s="2970">
        <f>C36+D36+E36</f>
        <v>39.07</v>
      </c>
      <c r="G36" s="2823"/>
      <c r="H36" s="2831"/>
      <c r="I36" s="2832"/>
      <c r="J36" s="3663">
        <v>1</v>
      </c>
      <c r="K36" s="3664" t="s">
        <v>2418</v>
      </c>
      <c r="L36" s="2857"/>
      <c r="M36" s="2858"/>
      <c r="N36" s="2858"/>
      <c r="O36" s="2858"/>
      <c r="P36" s="2858"/>
      <c r="Q36" s="2858"/>
      <c r="R36" s="2841" t="s">
        <v>2319</v>
      </c>
      <c r="S36" s="2823"/>
      <c r="T36" s="2823" t="s">
        <v>2320</v>
      </c>
      <c r="U36" s="2823"/>
      <c r="V36" s="2832"/>
    </row>
    <row r="37" spans="1:23" s="2836" customFormat="1" ht="13.15" customHeight="1">
      <c r="A37" s="2912"/>
      <c r="B37" s="2913"/>
      <c r="C37" s="2913"/>
      <c r="D37" s="2913"/>
      <c r="E37" s="2913"/>
      <c r="F37" s="2917"/>
      <c r="G37" s="2823"/>
      <c r="H37" s="2831"/>
      <c r="I37" s="2832"/>
      <c r="J37" s="3663"/>
      <c r="K37" s="3665"/>
      <c r="L37" s="2866"/>
      <c r="M37" s="2867"/>
      <c r="N37" s="2843"/>
      <c r="O37" s="2868"/>
      <c r="P37" s="2868"/>
      <c r="Q37" s="2869"/>
      <c r="R37" s="2870"/>
      <c r="S37" s="2823"/>
      <c r="T37" s="2823" t="s">
        <v>2323</v>
      </c>
      <c r="U37" s="2823"/>
      <c r="V37" s="2832"/>
    </row>
    <row r="38" spans="1:23" s="2836" customFormat="1" ht="13.15" customHeight="1">
      <c r="A38" s="2912">
        <v>8</v>
      </c>
      <c r="B38" s="2913"/>
      <c r="C38" s="2872">
        <f ca="1">ROUND(C32*(1-((1+C35)/(1+C34))^C36)/(C34-C35),0)</f>
        <v>1508</v>
      </c>
      <c r="D38" s="2872">
        <f ca="1">IF(D23=0,0,ROUND(D32*(1-((1+D35)/(1+D34))^D36)/(D34-D35),0))</f>
        <v>1658</v>
      </c>
      <c r="E38" s="2872">
        <f ca="1">IF(E23=0,0,ROUND(E32*(1-((1+E35)/(1+E34))^E36)/(E34-E35),0))</f>
        <v>6566</v>
      </c>
      <c r="F38" s="2917"/>
      <c r="G38" s="2823"/>
      <c r="H38" s="2831"/>
      <c r="I38" s="2832"/>
      <c r="J38" s="3663"/>
      <c r="K38" s="3665"/>
      <c r="L38" s="2866"/>
      <c r="M38" s="2867"/>
      <c r="N38" s="2843"/>
      <c r="O38" s="2868"/>
      <c r="P38" s="2868"/>
      <c r="Q38" s="2869"/>
      <c r="R38" s="2870"/>
      <c r="S38" s="2823"/>
      <c r="T38" s="2823" t="s">
        <v>2330</v>
      </c>
      <c r="U38" s="2823"/>
      <c r="V38" s="2832"/>
    </row>
    <row r="39" spans="1:23" s="2836" customFormat="1" ht="13.15" customHeight="1">
      <c r="A39" s="2912">
        <v>9</v>
      </c>
      <c r="B39" s="2913" t="s">
        <v>2419</v>
      </c>
      <c r="C39" s="2880">
        <f ca="1">C38</f>
        <v>1508</v>
      </c>
      <c r="D39" s="2913">
        <f ca="1">D38/(1+D34)^C36</f>
        <v>1268.5927586682942</v>
      </c>
      <c r="E39" s="2913">
        <f ca="1">E38/(1+E34)^(C36+D36)</f>
        <v>3843.9371845216683</v>
      </c>
      <c r="F39" s="2917"/>
      <c r="G39" s="2832"/>
      <c r="H39" s="2831"/>
      <c r="I39" s="2832"/>
      <c r="J39" s="3663"/>
      <c r="K39" s="3665"/>
      <c r="L39" s="2866"/>
      <c r="M39" s="2867"/>
      <c r="N39" s="2843"/>
      <c r="O39" s="2868"/>
      <c r="P39" s="2868"/>
      <c r="Q39" s="2869"/>
      <c r="R39" s="2870"/>
      <c r="S39" s="2823"/>
      <c r="T39" s="2823"/>
      <c r="U39" s="2823"/>
      <c r="V39" s="2832"/>
    </row>
    <row r="40" spans="1:23" s="2836" customFormat="1" ht="13.15" customHeight="1">
      <c r="A40" s="2971">
        <v>10</v>
      </c>
      <c r="B40" s="2913" t="s">
        <v>2420</v>
      </c>
      <c r="C40" s="2972">
        <f ca="1">C39+D39+E39</f>
        <v>6620.5299431899621</v>
      </c>
      <c r="D40" s="2973"/>
      <c r="E40" s="2973"/>
      <c r="F40" s="2974"/>
      <c r="G40" s="2823"/>
      <c r="H40" s="2831"/>
      <c r="I40" s="2832"/>
      <c r="J40" s="3663"/>
      <c r="K40" s="3666"/>
      <c r="L40" s="2886" t="s">
        <v>2421</v>
      </c>
      <c r="M40" s="2887"/>
      <c r="N40" s="2887"/>
      <c r="O40" s="2888"/>
      <c r="P40" s="2888"/>
      <c r="Q40" s="2889"/>
      <c r="R40" s="2835">
        <f>SUM(R37:R39)</f>
        <v>0</v>
      </c>
      <c r="S40" s="2823"/>
      <c r="T40" s="2823"/>
      <c r="U40" s="2823"/>
      <c r="V40" s="2832"/>
    </row>
    <row r="41" spans="1:23" s="2836" customFormat="1" ht="13.15" customHeight="1" thickBot="1">
      <c r="A41" s="2975">
        <v>11</v>
      </c>
      <c r="B41" s="2976" t="s">
        <v>2422</v>
      </c>
      <c r="C41" s="2976">
        <f ca="1">ROUND(C40*10000/B4,0)</f>
        <v>11227</v>
      </c>
      <c r="D41" s="2977"/>
      <c r="E41" s="2977"/>
      <c r="F41" s="2978"/>
      <c r="G41" s="2831"/>
      <c r="H41" s="2831"/>
      <c r="I41" s="2832"/>
      <c r="J41" s="2925">
        <v>2</v>
      </c>
      <c r="K41" s="2926" t="s">
        <v>2423</v>
      </c>
      <c r="L41" s="2927"/>
      <c r="M41" s="2927"/>
      <c r="N41" s="2927"/>
      <c r="O41" s="2927"/>
      <c r="P41" s="2928"/>
      <c r="Q41" s="2929"/>
      <c r="R41" s="2902">
        <f>ROUND(R40*Q41,0)</f>
        <v>0</v>
      </c>
      <c r="S41" s="2823"/>
      <c r="T41" s="2823"/>
      <c r="U41" s="2875"/>
      <c r="V41" s="2832"/>
    </row>
    <row r="42" spans="1:23" s="2836" customFormat="1" ht="13.15" customHeight="1">
      <c r="G42" s="2831"/>
      <c r="H42" s="2831"/>
      <c r="I42" s="2832"/>
      <c r="J42" s="3673">
        <v>3</v>
      </c>
      <c r="K42" s="2932" t="s">
        <v>2424</v>
      </c>
      <c r="L42" s="2933"/>
      <c r="M42" s="2934"/>
      <c r="N42" s="2935" t="s">
        <v>2425</v>
      </c>
      <c r="O42" s="2935" t="s">
        <v>2426</v>
      </c>
      <c r="P42" s="2936" t="s">
        <v>2427</v>
      </c>
      <c r="Q42" s="2936" t="s">
        <v>2428</v>
      </c>
      <c r="R42" s="2841" t="s">
        <v>2429</v>
      </c>
      <c r="S42" s="2875"/>
      <c r="T42" s="2875"/>
      <c r="U42" s="2823"/>
      <c r="V42" s="2832"/>
    </row>
    <row r="43" spans="1:23" ht="13.15" customHeight="1">
      <c r="A43" s="2836"/>
      <c r="B43" s="2836"/>
      <c r="C43" s="2836"/>
      <c r="D43" s="2836"/>
      <c r="E43" s="2836"/>
      <c r="F43" s="2836"/>
      <c r="I43" s="2818"/>
      <c r="J43" s="3674"/>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2430</v>
      </c>
      <c r="L44" s="2981" t="s">
        <v>2431</v>
      </c>
      <c r="M44" s="2947"/>
      <c r="N44" s="2981" t="s">
        <v>2432</v>
      </c>
      <c r="O44" s="2947"/>
      <c r="P44" s="2981" t="s">
        <v>2433</v>
      </c>
      <c r="Q44" s="2949">
        <v>1.4999999999999999E-2</v>
      </c>
      <c r="R44" s="2950"/>
    </row>
    <row r="48" spans="1:23" ht="13.15" customHeight="1">
      <c r="K48" s="3404" t="s">
        <v>4033</v>
      </c>
      <c r="L48" s="2979">
        <v>187</v>
      </c>
    </row>
    <row r="49" spans="11:12" ht="13.15" customHeight="1">
      <c r="K49" s="3404" t="s">
        <v>4034</v>
      </c>
      <c r="L49" s="2979">
        <v>528</v>
      </c>
    </row>
    <row r="50" spans="11:12" ht="13.15" customHeight="1">
      <c r="K50" s="3404" t="s">
        <v>4035</v>
      </c>
      <c r="L50" s="2979">
        <v>175</v>
      </c>
    </row>
    <row r="51" spans="11:12" ht="13.15" customHeight="1">
      <c r="K51" s="3404" t="s">
        <v>4036</v>
      </c>
      <c r="L51" s="2979">
        <v>148</v>
      </c>
    </row>
    <row r="52" spans="11:12" ht="13.15" customHeight="1">
      <c r="K52" s="3404" t="s">
        <v>4037</v>
      </c>
      <c r="L52" s="2979">
        <v>168</v>
      </c>
    </row>
    <row r="53" spans="11:12" ht="13.15" customHeight="1">
      <c r="K53" s="3404" t="s">
        <v>4038</v>
      </c>
      <c r="L53" s="2979">
        <v>244</v>
      </c>
    </row>
    <row r="54" spans="11:12" ht="13.15" customHeight="1">
      <c r="K54" s="3404" t="s">
        <v>4039</v>
      </c>
      <c r="L54" s="2979">
        <v>256</v>
      </c>
    </row>
    <row r="55" spans="11:12" ht="13.15" customHeight="1">
      <c r="K55" s="3404" t="s">
        <v>4040</v>
      </c>
      <c r="L55" s="2979">
        <v>396</v>
      </c>
    </row>
    <row r="59" spans="11:12" ht="13.15" customHeight="1">
      <c r="K59" s="3405">
        <v>0.02</v>
      </c>
    </row>
    <row r="60" spans="11:12" ht="13.15" customHeight="1">
      <c r="K60" s="3405">
        <f>1+K59</f>
        <v>1.02</v>
      </c>
    </row>
    <row r="61" spans="11:12" ht="13.15" customHeight="1">
      <c r="K61" s="3405">
        <f>K60+K59</f>
        <v>1.04</v>
      </c>
    </row>
    <row r="62" spans="11:12" ht="13.15" customHeight="1">
      <c r="K62" s="3405">
        <f>K61+K59</f>
        <v>1.06</v>
      </c>
    </row>
    <row r="63" spans="11:12" ht="13.15" customHeight="1">
      <c r="K63" s="3405">
        <f>K62+K59</f>
        <v>1.08</v>
      </c>
    </row>
    <row r="64" spans="11:12" ht="13.15" customHeight="1">
      <c r="K64" s="3405">
        <f>K63+K59</f>
        <v>1.1000000000000001</v>
      </c>
    </row>
  </sheetData>
  <sheetProtection algorithmName="SHA-512" hashValue="zoclasVbJosKjnKAEYqr7Dov9Rvz3/VoaucwzhBTxhcyMeq6NKQWiIbda/FWMggpS6W0uTNG22cas88IbDJT7A==" saltValue="jYgI/4OWjFMVIS8tiXGZTQ==" spinCount="100000"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G76"/>
  <sheetViews>
    <sheetView view="pageBreakPreview" topLeftCell="A19" zoomScale="80" zoomScaleNormal="60" zoomScaleSheetLayoutView="80" workbookViewId="0">
      <selection activeCell="G9" sqref="G9"/>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2732</v>
      </c>
      <c r="D1" s="2362" t="s">
        <v>4081</v>
      </c>
      <c r="E1" s="1947" t="s">
        <v>808</v>
      </c>
      <c r="F1" s="1948">
        <f ca="1">J53</f>
        <v>37.07</v>
      </c>
      <c r="G1" s="2757">
        <f>MATCH(C1,'数据-取费表'!A6:A16,0)+5</f>
        <v>8</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427</v>
      </c>
      <c r="B2" s="710">
        <f ca="1">C40+J29+L46</f>
        <v>2896</v>
      </c>
      <c r="C2" s="2762"/>
      <c r="D2" s="2761"/>
      <c r="E2" s="2763"/>
      <c r="F2" s="2763"/>
      <c r="G2" s="2758"/>
      <c r="H2" s="1670"/>
      <c r="I2" s="1670"/>
      <c r="J2" s="1670"/>
      <c r="K2" s="1671"/>
      <c r="L2" s="1670"/>
      <c r="M2" s="1670"/>
    </row>
    <row r="3" spans="1:33" ht="18" customHeight="1" thickBot="1">
      <c r="A3" s="767" t="s">
        <v>735</v>
      </c>
      <c r="B3" s="768">
        <f ca="1">IF(ISERROR(B2*10000/F43),0,ROUND(B2*10000/F43,0))</f>
        <v>13332</v>
      </c>
      <c r="C3" s="2762"/>
      <c r="D3" s="2761"/>
      <c r="E3" s="2763"/>
      <c r="F3" s="2763"/>
      <c r="G3" s="2758"/>
      <c r="H3" s="711" t="s">
        <v>642</v>
      </c>
      <c r="I3" s="1156"/>
      <c r="J3" s="1156"/>
      <c r="K3" s="1324"/>
      <c r="L3" s="1156"/>
      <c r="M3" s="1156"/>
    </row>
    <row r="4" spans="1:33" ht="18" customHeight="1">
      <c r="A4" s="712" t="s">
        <v>578</v>
      </c>
      <c r="B4" s="713" t="s">
        <v>579</v>
      </c>
      <c r="C4" s="713" t="s">
        <v>1259</v>
      </c>
      <c r="D4" s="713" t="s">
        <v>581</v>
      </c>
      <c r="E4" s="714" t="s">
        <v>1260</v>
      </c>
      <c r="F4" s="715"/>
      <c r="G4" s="1668"/>
      <c r="H4" s="712" t="s">
        <v>578</v>
      </c>
      <c r="I4" s="713" t="s">
        <v>579</v>
      </c>
      <c r="J4" s="713" t="s">
        <v>1259</v>
      </c>
      <c r="K4" s="713" t="s">
        <v>581</v>
      </c>
      <c r="L4" s="714" t="s">
        <v>1260</v>
      </c>
      <c r="M4" s="715"/>
    </row>
    <row r="5" spans="1:33" ht="18" customHeight="1">
      <c r="A5" s="716">
        <v>1</v>
      </c>
      <c r="B5" s="717" t="s">
        <v>1800</v>
      </c>
      <c r="C5" s="51">
        <f ca="1">C6+C10+C12</f>
        <v>178</v>
      </c>
      <c r="D5" s="2001" t="s">
        <v>1803</v>
      </c>
      <c r="E5" s="1995"/>
      <c r="F5" s="1996"/>
      <c r="G5" s="1668"/>
      <c r="H5" s="716">
        <v>1</v>
      </c>
      <c r="I5" s="717" t="s">
        <v>1800</v>
      </c>
      <c r="J5" s="51">
        <f ca="1">J6+J10+J12</f>
        <v>0</v>
      </c>
      <c r="K5" s="2001" t="s">
        <v>1803</v>
      </c>
      <c r="L5" s="1995"/>
      <c r="M5" s="1996"/>
    </row>
    <row r="6" spans="1:33" ht="18" customHeight="1">
      <c r="A6" s="1521" t="s">
        <v>1353</v>
      </c>
      <c r="B6" s="3675" t="s">
        <v>1805</v>
      </c>
      <c r="C6" s="718">
        <f ca="1">ROUND(F6*F8*F7*(1-F9)/10000,0)</f>
        <v>178</v>
      </c>
      <c r="D6" s="2002" t="s">
        <v>1804</v>
      </c>
      <c r="E6" s="719" t="s">
        <v>585</v>
      </c>
      <c r="F6" s="720">
        <f ca="1">INDIRECT("'数据-取费表'!u"&amp;$G$1)</f>
        <v>2.5</v>
      </c>
      <c r="G6" s="1668"/>
      <c r="H6" s="2009" t="s">
        <v>1353</v>
      </c>
      <c r="I6" s="3675" t="s">
        <v>1805</v>
      </c>
      <c r="J6" s="718">
        <f ca="1">ROUND(M6*M8*M7*(1-M9)/10000,0)</f>
        <v>0</v>
      </c>
      <c r="K6" s="315" t="s">
        <v>1266</v>
      </c>
      <c r="L6" s="719" t="s">
        <v>585</v>
      </c>
      <c r="M6" s="720">
        <f ca="1">INDIRECT("'数据-取费表'!z"&amp;$G$1)</f>
        <v>0</v>
      </c>
    </row>
    <row r="7" spans="1:33" ht="18" customHeight="1">
      <c r="A7" s="2005"/>
      <c r="B7" s="3676"/>
      <c r="C7" s="723"/>
      <c r="D7" s="724"/>
      <c r="E7" s="719" t="s">
        <v>586</v>
      </c>
      <c r="F7" s="720">
        <f ca="1">IF(INDIRECT("'数据-取费表'!ah"&amp;$G$1)="",INDIRECT("'数据-取费表'!k"&amp;$G$1),INDIRECT("'数据-取费表'!ah"&amp;$G$1))</f>
        <v>2172.2399999999998</v>
      </c>
      <c r="G7" s="1668"/>
      <c r="H7" s="1994"/>
      <c r="I7" s="3676"/>
      <c r="J7" s="723"/>
      <c r="K7" s="724"/>
      <c r="L7" s="719" t="s">
        <v>586</v>
      </c>
      <c r="M7" s="720">
        <f ca="1">F7</f>
        <v>2172.2399999999998</v>
      </c>
    </row>
    <row r="8" spans="1:33" ht="18" customHeight="1">
      <c r="A8" s="1998"/>
      <c r="B8" s="3677"/>
      <c r="C8" s="723"/>
      <c r="D8" s="724"/>
      <c r="E8" s="719" t="s">
        <v>587</v>
      </c>
      <c r="F8" s="720">
        <f ca="1">INDIRECT("'数据-取费表'!ai"&amp;$G$1)</f>
        <v>365</v>
      </c>
      <c r="G8" s="1668"/>
      <c r="H8" s="1994"/>
      <c r="I8" s="3677"/>
      <c r="J8" s="723"/>
      <c r="K8" s="724"/>
      <c r="L8" s="719" t="s">
        <v>587</v>
      </c>
      <c r="M8" s="720">
        <f ca="1">INDIRECT("'数据-取费表'!ai"&amp;$G$1)</f>
        <v>365</v>
      </c>
    </row>
    <row r="9" spans="1:33" ht="18" customHeight="1">
      <c r="A9" s="721"/>
      <c r="B9" s="3678"/>
      <c r="C9" s="723"/>
      <c r="D9" s="724"/>
      <c r="E9" s="719" t="s">
        <v>588</v>
      </c>
      <c r="F9" s="729">
        <f ca="1">INDIRECT("'数据-取费表'!w"&amp;$G$1)</f>
        <v>0.1</v>
      </c>
      <c r="G9" s="3428">
        <f ca="1">C6/12*F11</f>
        <v>0.2225</v>
      </c>
      <c r="H9" s="2010"/>
      <c r="I9" s="3677"/>
      <c r="J9" s="723"/>
      <c r="K9" s="724"/>
      <c r="L9" s="730" t="s">
        <v>588</v>
      </c>
      <c r="M9" s="731">
        <f ca="1">INDIRECT("'数据-取费表'!ab"&amp;$G$1)</f>
        <v>0</v>
      </c>
    </row>
    <row r="10" spans="1:33" ht="18" customHeight="1">
      <c r="A10" s="1521" t="s">
        <v>1354</v>
      </c>
      <c r="B10" s="1999" t="s">
        <v>1801</v>
      </c>
      <c r="C10" s="734">
        <f ca="1">ROUND(IF(F10="押一",C6/12*F11,IF(F10="押二",C6/12*2*F11,IF(F10="押三",C6/12*3*F11,C11*F11))),0)</f>
        <v>0</v>
      </c>
      <c r="D10" s="2006" t="s">
        <v>2225</v>
      </c>
      <c r="E10" s="2003" t="s">
        <v>1806</v>
      </c>
      <c r="F10" s="2076" t="s">
        <v>4082</v>
      </c>
      <c r="G10" s="1668"/>
      <c r="H10" s="2037" t="s">
        <v>1354</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1799</v>
      </c>
      <c r="F11" s="731">
        <f ca="1">'数据-取费表'!B39</f>
        <v>1.4999999999999999E-2</v>
      </c>
      <c r="G11" s="1668"/>
      <c r="H11" s="2038"/>
      <c r="I11" s="2000" t="s">
        <v>1854</v>
      </c>
      <c r="J11" s="2004"/>
      <c r="K11" s="287"/>
      <c r="L11" s="2003" t="s">
        <v>1799</v>
      </c>
      <c r="M11" s="1997">
        <f ca="1">'数据-取费表'!B39</f>
        <v>1.4999999999999999E-2</v>
      </c>
    </row>
    <row r="12" spans="1:33" ht="18" customHeight="1" thickBot="1">
      <c r="A12" s="2013" t="s">
        <v>1809</v>
      </c>
      <c r="B12" s="2014" t="s">
        <v>1802</v>
      </c>
      <c r="C12" s="2015"/>
      <c r="D12" s="2016"/>
      <c r="E12" s="2017"/>
      <c r="F12" s="2018"/>
      <c r="G12" s="1668"/>
      <c r="H12" s="2027" t="s">
        <v>1809</v>
      </c>
      <c r="I12" s="2039" t="s">
        <v>1802</v>
      </c>
      <c r="J12" s="2040"/>
      <c r="K12" s="2016"/>
      <c r="L12" s="2017"/>
      <c r="M12" s="2030"/>
    </row>
    <row r="13" spans="1:33" ht="18" customHeight="1" thickTop="1">
      <c r="A13" s="1520">
        <v>2</v>
      </c>
      <c r="B13" s="1518" t="s">
        <v>592</v>
      </c>
      <c r="C13" s="727">
        <f ca="1">ROUND(C29*F13,0)</f>
        <v>1591</v>
      </c>
      <c r="D13" s="1525" t="s">
        <v>1652</v>
      </c>
      <c r="E13" s="1525" t="s">
        <v>591</v>
      </c>
      <c r="F13" s="2012">
        <f ca="1">INDIRECT("'数据-取费表'!y"&amp;$G$1)</f>
        <v>1</v>
      </c>
      <c r="G13" s="1668"/>
      <c r="H13" s="1520">
        <v>2</v>
      </c>
      <c r="I13" s="1518" t="s">
        <v>592</v>
      </c>
      <c r="J13" s="1512">
        <f ca="1">ROUND(J14*J15,0)</f>
        <v>0</v>
      </c>
      <c r="K13" s="1514" t="s">
        <v>1272</v>
      </c>
      <c r="L13" s="2028"/>
      <c r="M13" s="2029"/>
    </row>
    <row r="14" spans="1:33" ht="18" customHeight="1">
      <c r="A14" s="1368" t="s">
        <v>1360</v>
      </c>
      <c r="B14" s="719" t="s">
        <v>593</v>
      </c>
      <c r="C14" s="739">
        <f ca="1">INDIRECT("'数据-取费表'!m"&amp;$G$1)+INDIRECT("'数据-取费表'!t"&amp;$G$1)</f>
        <v>1134</v>
      </c>
      <c r="D14" s="905" t="s">
        <v>1274</v>
      </c>
      <c r="E14" s="904"/>
      <c r="F14" s="740"/>
      <c r="G14" s="1668"/>
      <c r="H14" s="1369" t="s">
        <v>1353</v>
      </c>
      <c r="I14" s="1825" t="s">
        <v>2100</v>
      </c>
      <c r="J14" s="49">
        <f ca="1">C29</f>
        <v>1591</v>
      </c>
      <c r="K14" s="22"/>
      <c r="L14" s="736"/>
      <c r="M14" s="737"/>
    </row>
    <row r="15" spans="1:33" s="1676" customFormat="1" ht="18" customHeight="1" thickBot="1">
      <c r="A15" s="1368" t="s">
        <v>1361</v>
      </c>
      <c r="B15" s="719" t="s">
        <v>595</v>
      </c>
      <c r="C15" s="49">
        <f ca="1">ROUND(C14*F15,0)</f>
        <v>57</v>
      </c>
      <c r="D15" s="741" t="s">
        <v>596</v>
      </c>
      <c r="E15" s="741" t="s">
        <v>597</v>
      </c>
      <c r="F15" s="742">
        <f>'数据-取费表'!B33</f>
        <v>0.05</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9" t="s">
        <v>598</v>
      </c>
      <c r="C16" s="49">
        <f ca="1">ROUND(INDIRECT("'数据-取费表'!m"&amp;$G$1)*F16,0)</f>
        <v>0</v>
      </c>
      <c r="D16" s="719" t="s">
        <v>596</v>
      </c>
      <c r="E16" s="719" t="s">
        <v>597</v>
      </c>
      <c r="F16" s="744">
        <f ca="1">IF(INDIRECT("'数据-取费表'!c"&amp;$G$1)="住宅",'数据-取费表'!B34,0)</f>
        <v>0</v>
      </c>
      <c r="G16" s="1668"/>
      <c r="H16" s="1520" t="s">
        <v>1277</v>
      </c>
      <c r="I16" s="1518" t="s">
        <v>1278</v>
      </c>
      <c r="J16" s="727">
        <f ca="1">ROUND(J17+J22+J23+J24,0)</f>
        <v>3</v>
      </c>
      <c r="K16" s="1514" t="s">
        <v>600</v>
      </c>
      <c r="L16" s="908"/>
      <c r="M16" s="1996"/>
    </row>
    <row r="17" spans="1:33" s="1676" customFormat="1" ht="18" customHeight="1">
      <c r="A17" s="1368" t="s">
        <v>1412</v>
      </c>
      <c r="B17" s="719" t="s">
        <v>601</v>
      </c>
      <c r="C17" s="49">
        <f ca="1">ROUND(F17*(F43+INDIRECT("'数据-取费表'!S"&amp;$G$1))/10000,0)</f>
        <v>46</v>
      </c>
      <c r="D17" s="719" t="s">
        <v>602</v>
      </c>
      <c r="E17" s="719" t="s">
        <v>603</v>
      </c>
      <c r="F17" s="52">
        <f>'数据-取费表'!B35</f>
        <v>200</v>
      </c>
      <c r="G17" s="2759"/>
      <c r="H17" s="1369" t="s">
        <v>1353</v>
      </c>
      <c r="I17" s="719" t="s">
        <v>604</v>
      </c>
      <c r="J17" s="2554">
        <f ca="1">ROUND(IF(AND(项目基本情况!B11="自然人",项目基本情况!B10="北京市"),J6*M17/(1+'数据-取费表'!C42),J18+J19+J20),2)</f>
        <v>0.12</v>
      </c>
      <c r="K17" s="905" t="s">
        <v>605</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23</v>
      </c>
      <c r="D18" s="719" t="s">
        <v>596</v>
      </c>
      <c r="E18" s="719" t="s">
        <v>597</v>
      </c>
      <c r="F18" s="744">
        <f>'数据-取费表'!B36</f>
        <v>0.02</v>
      </c>
      <c r="G18" s="2759"/>
      <c r="H18" s="1368" t="s">
        <v>1360</v>
      </c>
      <c r="I18" s="719" t="s">
        <v>608</v>
      </c>
      <c r="J18" s="49">
        <f ca="1">ROUND(J6*M18/(1+'数据-取费表'!C42),2)</f>
        <v>0</v>
      </c>
      <c r="K18" s="906" t="s">
        <v>609</v>
      </c>
      <c r="L18" s="719" t="s">
        <v>597</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9" t="s">
        <v>610</v>
      </c>
      <c r="C19" s="49">
        <f ca="1">SUM(C14:C18)</f>
        <v>1260</v>
      </c>
      <c r="D19" s="241" t="s">
        <v>611</v>
      </c>
      <c r="E19" s="914"/>
      <c r="F19" s="52"/>
      <c r="G19" s="1668"/>
      <c r="H19" s="1368" t="s">
        <v>1361</v>
      </c>
      <c r="I19" s="719" t="s">
        <v>612</v>
      </c>
      <c r="J19" s="49">
        <f ca="1">IF(K19="按租金收入计税",ROUND(J6*M19/(1+'数据-取费表'!C42),1),ROUND(C29*F33*0.7,2))</f>
        <v>0</v>
      </c>
      <c r="K19" s="745" t="s">
        <v>3237</v>
      </c>
      <c r="L19" s="719" t="s">
        <v>597</v>
      </c>
      <c r="M19" s="744">
        <f>IF(K19="按租金收入计税",'数据-取费表'!B51,'数据-取费表'!B50)</f>
        <v>0.12</v>
      </c>
    </row>
    <row r="20" spans="1:33" s="1676" customFormat="1" ht="18" customHeight="1">
      <c r="A20" s="1369" t="s">
        <v>1414</v>
      </c>
      <c r="B20" s="719" t="s">
        <v>613</v>
      </c>
      <c r="C20" s="49">
        <f ca="1">ROUND(C19*F20,0)</f>
        <v>25</v>
      </c>
      <c r="D20" s="746" t="s">
        <v>614</v>
      </c>
      <c r="E20" s="719" t="s">
        <v>597</v>
      </c>
      <c r="F20" s="744">
        <f>'数据-取费表'!B37</f>
        <v>0.02</v>
      </c>
      <c r="G20" s="2759"/>
      <c r="H20" s="1371" t="s">
        <v>1362</v>
      </c>
      <c r="I20" s="315" t="s">
        <v>1289</v>
      </c>
      <c r="J20" s="50">
        <f ca="1">ROUND(M20*M21/10000,2)</f>
        <v>0.12</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618</v>
      </c>
      <c r="C21" s="49" t="s">
        <v>1293</v>
      </c>
      <c r="D21" s="746" t="s">
        <v>1653</v>
      </c>
      <c r="E21" s="719" t="s">
        <v>620</v>
      </c>
      <c r="F21" s="744">
        <f>'数据-取费表'!B38</f>
        <v>0.03</v>
      </c>
      <c r="G21" s="2759"/>
      <c r="H21" s="2011"/>
      <c r="I21" s="728"/>
      <c r="J21" s="65"/>
      <c r="K21" s="750"/>
      <c r="L21" s="719" t="s">
        <v>1295</v>
      </c>
      <c r="M21" s="720">
        <f ca="1">INDIRECT("'数据-取费表'!r"&amp;$G$1)</f>
        <v>771.69999999999993</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622</v>
      </c>
      <c r="C22" s="49"/>
      <c r="D22" s="2045" t="str">
        <f>IF(F23&lt;=1,"单利计息。","复利计息。")&amp;"建造成本、管理费用、销售费用产生的利息。"</f>
        <v>复利计息。建造成本、管理费用、销售费用产生的利息。</v>
      </c>
      <c r="E22" s="914"/>
      <c r="F22" s="52"/>
      <c r="G22" s="1668"/>
      <c r="H22" s="1369" t="s">
        <v>1414</v>
      </c>
      <c r="I22" s="719" t="s">
        <v>623</v>
      </c>
      <c r="J22" s="49">
        <f ca="1">ROUND(J14*M22,2)</f>
        <v>3.18</v>
      </c>
      <c r="K22" s="906" t="s">
        <v>1298</v>
      </c>
      <c r="L22" s="719" t="s">
        <v>597</v>
      </c>
      <c r="M22" s="751">
        <f ca="1">INDIRECT("'数据-取费表'!Ak"&amp;$G$1)</f>
        <v>2E-3</v>
      </c>
    </row>
    <row r="23" spans="1:33" s="1676" customFormat="1" ht="18" customHeight="1">
      <c r="A23" s="1368" t="s">
        <v>1360</v>
      </c>
      <c r="B23" s="719" t="s">
        <v>1782</v>
      </c>
      <c r="C23" s="49">
        <f ca="1">ROUND(IF('数据-取费表'!B22&lt;=1,(C19+C20)*F24*F23/2,(C19+C20)*(POWER((1+F24),F23/2)-1)),0)</f>
        <v>40</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597</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597</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-3</v>
      </c>
      <c r="K25" s="2024" t="s">
        <v>1306</v>
      </c>
      <c r="L25" s="2025"/>
      <c r="M25" s="2026"/>
    </row>
    <row r="26" spans="1:33" ht="18" customHeight="1">
      <c r="A26" s="1368" t="s">
        <v>1360</v>
      </c>
      <c r="B26" s="719" t="s">
        <v>1783</v>
      </c>
      <c r="C26" s="49">
        <f ca="1">ROUND((C19+C20)*F26,0)</f>
        <v>129</v>
      </c>
      <c r="D26" s="746" t="s">
        <v>1307</v>
      </c>
      <c r="E26" s="730" t="s">
        <v>649</v>
      </c>
      <c r="F26" s="729">
        <f ca="1">INDIRECT("'数据-取费表'!q"&amp;$G$1)</f>
        <v>0.1</v>
      </c>
      <c r="G26" s="1668"/>
      <c r="H26" s="2007" t="s">
        <v>1309</v>
      </c>
      <c r="I26" s="1826" t="s">
        <v>2102</v>
      </c>
      <c r="J26" s="718">
        <f ca="1">IF(J5&lt;&gt;0,ROUND(J25*(1-((1+M28)/(1+M26))^M27)/(M26-M28),0),0)</f>
        <v>0</v>
      </c>
      <c r="K26" s="748" t="s">
        <v>651</v>
      </c>
      <c r="L26" s="719" t="s">
        <v>1771</v>
      </c>
      <c r="M26" s="729">
        <f ca="1">INDIRECT("'数据-取费表'!I"&amp;$G$1)</f>
        <v>5.5E-2</v>
      </c>
    </row>
    <row r="27" spans="1:33" ht="18" customHeight="1">
      <c r="A27" s="1368" t="s">
        <v>1361</v>
      </c>
      <c r="B27" s="719" t="s">
        <v>633</v>
      </c>
      <c r="C27" s="49">
        <f ca="1">ROUND(F21*F26,4)</f>
        <v>3.0000000000000001E-3</v>
      </c>
      <c r="D27" s="746" t="s">
        <v>653</v>
      </c>
      <c r="E27" s="741"/>
      <c r="F27" s="742"/>
      <c r="G27" s="1668"/>
      <c r="H27" s="2008"/>
      <c r="I27" s="722"/>
      <c r="J27" s="723"/>
      <c r="K27" s="755" t="s">
        <v>654</v>
      </c>
      <c r="L27" s="719" t="s">
        <v>655</v>
      </c>
      <c r="M27" s="756">
        <f ca="1">INDIRECT("'数据-取费表'!ag"&amp;$G$1)</f>
        <v>0</v>
      </c>
    </row>
    <row r="28" spans="1:33" s="1676" customFormat="1" ht="18" customHeight="1">
      <c r="A28" s="1370" t="s">
        <v>1370</v>
      </c>
      <c r="B28" s="719" t="s">
        <v>634</v>
      </c>
      <c r="C28" s="49">
        <f>ROUND(F28/(1+'数据-取费表'!C42),4)</f>
        <v>5.2400000000000002E-2</v>
      </c>
      <c r="D28" s="746" t="s">
        <v>1654</v>
      </c>
      <c r="E28" s="719" t="s">
        <v>597</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1591</v>
      </c>
      <c r="D29" s="2021"/>
      <c r="E29" s="2022"/>
      <c r="F29" s="2023"/>
      <c r="G29" s="2759"/>
      <c r="H29" s="757" t="s">
        <v>1316</v>
      </c>
      <c r="I29" s="758" t="s">
        <v>1317</v>
      </c>
      <c r="J29" s="759">
        <f ca="1">ROUND(J26/(1+F40)^F41,0)</f>
        <v>0</v>
      </c>
      <c r="K29" s="760" t="s">
        <v>1318</v>
      </c>
      <c r="L29" s="761"/>
      <c r="M29" s="762">
        <f ca="1">INDIRECT("'数据-取费表'!k"&amp;$G$1)</f>
        <v>2172.2399999999998</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1277</v>
      </c>
      <c r="B30" s="1518" t="s">
        <v>1278</v>
      </c>
      <c r="C30" s="727">
        <f ca="1">ROUND(C31+C36+C37+C38,0)</f>
        <v>36</v>
      </c>
      <c r="D30" s="1514" t="s">
        <v>600</v>
      </c>
      <c r="E30" s="908"/>
      <c r="F30" s="1996"/>
      <c r="G30" s="1668"/>
      <c r="H30" s="1677"/>
      <c r="I30" s="1678"/>
      <c r="J30" s="1679"/>
      <c r="K30" s="1636"/>
      <c r="L30" s="1680"/>
      <c r="M30" s="1681"/>
    </row>
    <row r="31" spans="1:33" ht="18" customHeight="1">
      <c r="A31" s="1369" t="s">
        <v>1353</v>
      </c>
      <c r="B31" s="719" t="s">
        <v>604</v>
      </c>
      <c r="C31" s="2554">
        <f ca="1">ROUND(IF(AND(项目基本情况!B11="自然人",项目基本情况!B10="北京市"),C6*F31/(1+'数据-取费表'!C42),C32+C33+C34),2)</f>
        <v>29.78</v>
      </c>
      <c r="D31" s="905" t="s">
        <v>605</v>
      </c>
      <c r="E31" s="906" t="s">
        <v>1322</v>
      </c>
      <c r="F31" s="2553" t="str">
        <f>IF(项目基本情况!B11="企业","——",IF(M47="住宅",IF(F6*F7*F8/12/(1+'数据-取费表'!F30)&gt;100000,4%,2.5%),IF(F6*F7*F8/12/(1+'数据-取费表'!F30)&gt;100000,12%,7%)))</f>
        <v>——</v>
      </c>
      <c r="G31" s="1668"/>
      <c r="H31" s="2756" t="s">
        <v>2274</v>
      </c>
      <c r="I31" s="1678"/>
      <c r="J31" s="1679"/>
      <c r="K31" s="1636"/>
      <c r="L31" s="1680"/>
      <c r="M31" s="1681"/>
    </row>
    <row r="32" spans="1:33" ht="18" customHeight="1">
      <c r="A32" s="1368" t="s">
        <v>1360</v>
      </c>
      <c r="B32" s="719" t="s">
        <v>608</v>
      </c>
      <c r="C32" s="49">
        <f ca="1">ROUND(C6*F32/(1+'数据-取费表'!C42),2)</f>
        <v>9.32</v>
      </c>
      <c r="D32" s="906" t="s">
        <v>609</v>
      </c>
      <c r="E32" s="719" t="s">
        <v>597</v>
      </c>
      <c r="F32" s="744">
        <f>'数据-取费表'!B41</f>
        <v>5.5000000000000007E-2</v>
      </c>
      <c r="G32" s="1668"/>
      <c r="H32" s="1682"/>
      <c r="I32" s="1683"/>
      <c r="J32" s="1684"/>
      <c r="K32" s="1685"/>
      <c r="L32" s="1686"/>
      <c r="M32" s="1687"/>
    </row>
    <row r="33" spans="1:18" ht="18" customHeight="1">
      <c r="A33" s="1368" t="s">
        <v>1361</v>
      </c>
      <c r="B33" s="719" t="s">
        <v>612</v>
      </c>
      <c r="C33" s="49">
        <f ca="1">IF(D33="按租金收入计税",ROUND(C6*F33/(1+'数据-取费表'!C42),2),IF(D33="按房产原值计税",ROUND(C29*F33*0.7,2),INDIRECT("'数据-取费表'!Aj"&amp;$G$1)))</f>
        <v>20.34</v>
      </c>
      <c r="D33" s="745" t="s">
        <v>3237</v>
      </c>
      <c r="E33" s="719" t="s">
        <v>597</v>
      </c>
      <c r="F33" s="744">
        <f>IF(D33="按租金收入计税",'数据-取费表'!B51,'数据-取费表'!B50)</f>
        <v>0.12</v>
      </c>
      <c r="G33" s="1668"/>
      <c r="H33" s="1688"/>
      <c r="I33" s="1688"/>
      <c r="J33" s="1688"/>
      <c r="K33" s="1689"/>
      <c r="L33" s="1688"/>
      <c r="M33" s="1688"/>
    </row>
    <row r="34" spans="1:18" ht="18" customHeight="1">
      <c r="A34" s="1371" t="s">
        <v>1362</v>
      </c>
      <c r="B34" s="315" t="s">
        <v>1289</v>
      </c>
      <c r="C34" s="50">
        <f ca="1">ROUND(F34*F35/10000,2)</f>
        <v>0.12</v>
      </c>
      <c r="D34" s="748" t="s">
        <v>1290</v>
      </c>
      <c r="E34" s="719" t="s">
        <v>1291</v>
      </c>
      <c r="F34" s="587">
        <f>'数据-取费表'!B52</f>
        <v>1.5</v>
      </c>
      <c r="G34" s="1668"/>
      <c r="H34" s="1677"/>
      <c r="I34" s="769" t="s">
        <v>1342</v>
      </c>
      <c r="J34" s="770"/>
      <c r="K34" s="1691"/>
      <c r="L34" s="1690"/>
      <c r="M34" s="1690"/>
    </row>
    <row r="35" spans="1:18" ht="18" customHeight="1">
      <c r="A35" s="749"/>
      <c r="B35" s="728"/>
      <c r="C35" s="65"/>
      <c r="D35" s="750"/>
      <c r="E35" s="719" t="s">
        <v>1295</v>
      </c>
      <c r="F35" s="720">
        <f ca="1">INDIRECT("'数据-取费表'!r"&amp;$G$1)</f>
        <v>771.69999999999993</v>
      </c>
      <c r="G35" s="1668"/>
      <c r="H35" s="1677"/>
      <c r="I35" s="771" t="s">
        <v>1343</v>
      </c>
      <c r="J35" s="772">
        <f ca="1">ROUND(C13*J36,0)</f>
        <v>111</v>
      </c>
      <c r="K35" s="1689"/>
      <c r="L35" s="1688"/>
      <c r="M35" s="1688"/>
    </row>
    <row r="36" spans="1:18" ht="18" customHeight="1">
      <c r="A36" s="1369" t="s">
        <v>1414</v>
      </c>
      <c r="B36" s="719" t="s">
        <v>623</v>
      </c>
      <c r="C36" s="49">
        <f ca="1">ROUND(C29*F36,2)</f>
        <v>3.18</v>
      </c>
      <c r="D36" s="906" t="s">
        <v>1332</v>
      </c>
      <c r="E36" s="719" t="s">
        <v>597</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1.59</v>
      </c>
      <c r="D37" s="906" t="s">
        <v>1300</v>
      </c>
      <c r="E37" s="719" t="s">
        <v>597</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1.78</v>
      </c>
      <c r="D38" s="2021" t="s">
        <v>1303</v>
      </c>
      <c r="E38" s="2022" t="s">
        <v>597</v>
      </c>
      <c r="F38" s="2018">
        <f ca="1">INDIRECT("'数据-取费表'!Am"&amp;$G$1)</f>
        <v>0.01</v>
      </c>
      <c r="G38" s="1668"/>
      <c r="H38" s="1688"/>
      <c r="I38" s="777" t="s">
        <v>1346</v>
      </c>
      <c r="J38" s="778"/>
      <c r="K38" s="1693"/>
      <c r="L38" s="1688"/>
      <c r="M38" s="1688"/>
    </row>
    <row r="39" spans="1:18" ht="24.6" customHeight="1" thickTop="1">
      <c r="A39" s="1520" t="s">
        <v>1305</v>
      </c>
      <c r="B39" s="2296" t="s">
        <v>2097</v>
      </c>
      <c r="C39" s="727">
        <f ca="1">C5-C30</f>
        <v>142</v>
      </c>
      <c r="D39" s="2024" t="s">
        <v>1306</v>
      </c>
      <c r="E39" s="2025"/>
      <c r="F39" s="2026"/>
      <c r="G39" s="1668"/>
      <c r="H39" s="1688"/>
      <c r="I39" s="771" t="s">
        <v>1347</v>
      </c>
      <c r="J39" s="779">
        <f ca="1">ROUND(J35/C39,3)</f>
        <v>0.78200000000000003</v>
      </c>
      <c r="K39" s="1693"/>
      <c r="L39" s="1688"/>
      <c r="M39" s="1688"/>
    </row>
    <row r="40" spans="1:18" ht="18" customHeight="1">
      <c r="A40" s="716" t="s">
        <v>1309</v>
      </c>
      <c r="B40" s="1826" t="s">
        <v>1656</v>
      </c>
      <c r="C40" s="718">
        <f ca="1">ROUND(C39*(1-((1+F42)/(1+F40))^F41)/(F40-F42),0)</f>
        <v>2896</v>
      </c>
      <c r="D40" s="748" t="s">
        <v>651</v>
      </c>
      <c r="E40" s="719" t="s">
        <v>1771</v>
      </c>
      <c r="F40" s="729">
        <f ca="1">INDIRECT("'数据-取费表'!I"&amp;$G$1)</f>
        <v>5.5E-2</v>
      </c>
      <c r="G40" s="1668"/>
      <c r="H40" s="1668"/>
      <c r="I40" s="771" t="s">
        <v>1348</v>
      </c>
      <c r="J40" s="779">
        <f ca="1">1-J39</f>
        <v>0.21799999999999997</v>
      </c>
      <c r="K40" s="1693"/>
      <c r="L40" s="1668"/>
      <c r="M40" s="1668"/>
    </row>
    <row r="41" spans="1:18" ht="18" customHeight="1">
      <c r="A41" s="721"/>
      <c r="B41" s="722"/>
      <c r="C41" s="723"/>
      <c r="D41" s="755" t="s">
        <v>1337</v>
      </c>
      <c r="E41" s="719" t="s">
        <v>655</v>
      </c>
      <c r="F41" s="756">
        <f ca="1">IF(INDIRECT("'数据-取费表'!af"&amp;$G$1)=0,INDIRECT("'数据-取费表'!ae"&amp;$G$1),INDIRECT("'数据-取费表'!af"&amp;$G$1))</f>
        <v>37.07</v>
      </c>
      <c r="G41" s="1668"/>
      <c r="H41" s="1636"/>
      <c r="I41" s="777" t="s">
        <v>1349</v>
      </c>
      <c r="J41" s="780"/>
      <c r="K41" s="1692"/>
      <c r="L41" s="1636"/>
      <c r="M41" s="1636"/>
    </row>
    <row r="42" spans="1:18" ht="18" customHeight="1">
      <c r="A42" s="725"/>
      <c r="B42" s="726"/>
      <c r="C42" s="727"/>
      <c r="D42" s="750"/>
      <c r="E42" s="719" t="s">
        <v>1315</v>
      </c>
      <c r="F42" s="729">
        <f ca="1">INDIRECT("'数据-取费表'!v"&amp;$G$1)</f>
        <v>0.02</v>
      </c>
      <c r="G42" s="1668"/>
      <c r="H42" s="1636"/>
      <c r="I42" s="781" t="s">
        <v>1350</v>
      </c>
      <c r="J42" s="779">
        <f ca="1">ROUND(C13/C40,3)</f>
        <v>0.54900000000000004</v>
      </c>
      <c r="K42" s="1692"/>
      <c r="L42" s="1636"/>
      <c r="M42" s="1636"/>
    </row>
    <row r="43" spans="1:18" ht="18" customHeight="1" thickBot="1">
      <c r="A43" s="757" t="s">
        <v>1316</v>
      </c>
      <c r="B43" s="758" t="s">
        <v>1339</v>
      </c>
      <c r="C43" s="759">
        <f ca="1">ROUND(C40*10000/F43,0)</f>
        <v>13332</v>
      </c>
      <c r="D43" s="760" t="s">
        <v>1340</v>
      </c>
      <c r="E43" s="761" t="s">
        <v>1341</v>
      </c>
      <c r="F43" s="762">
        <f ca="1">INDIRECT("'数据-取费表'!k"&amp;$G$1)</f>
        <v>2172.2399999999998</v>
      </c>
      <c r="G43" s="1668"/>
      <c r="H43" s="1636"/>
      <c r="I43" s="781" t="s">
        <v>1351</v>
      </c>
      <c r="J43" s="782">
        <f ca="1">1-J42</f>
        <v>0.45099999999999996</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-2974</v>
      </c>
      <c r="D46" s="2760"/>
      <c r="E46" s="2760"/>
      <c r="F46" s="2760"/>
      <c r="I46" s="1939" t="s">
        <v>1695</v>
      </c>
      <c r="J46" s="1940"/>
      <c r="K46" s="1941"/>
      <c r="L46" s="2374">
        <f>IF(OR(M47="住宅",D1="土地（套用方法）"),0,IF(L48&gt;J51,L60,J60))</f>
        <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t="s">
        <v>4070</v>
      </c>
      <c r="K47" s="2371" t="s">
        <v>1701</v>
      </c>
      <c r="L47" s="2375">
        <f ca="1">INDIRECT("'数据-取费表'!d"&amp;$G$1)</f>
        <v>40</v>
      </c>
      <c r="M47" s="1330" t="str">
        <f>IF(ISNUMBER(FIND("住宅",C1)),"住宅","非住宅")</f>
        <v>非住宅</v>
      </c>
      <c r="O47" s="1954" t="s">
        <v>1727</v>
      </c>
      <c r="P47" s="1955" t="s">
        <v>1728</v>
      </c>
      <c r="Q47" s="1956" t="s">
        <v>1729</v>
      </c>
      <c r="R47" s="1955" t="s">
        <v>1730</v>
      </c>
    </row>
    <row r="48" spans="1:18" s="1672" customFormat="1" ht="18" customHeight="1" thickBot="1">
      <c r="A48" s="2084" t="s">
        <v>1395</v>
      </c>
      <c r="B48" s="2085" t="s">
        <v>1819</v>
      </c>
      <c r="C48" s="1935">
        <f ca="1">ROUND(F48*F50*F49*(1-F51)/10000,0)</f>
        <v>0</v>
      </c>
      <c r="D48" s="1936" t="s">
        <v>584</v>
      </c>
      <c r="E48" s="1937" t="s">
        <v>1651</v>
      </c>
      <c r="F48" s="1938">
        <f ca="1">M6</f>
        <v>0</v>
      </c>
      <c r="G48" s="1699"/>
      <c r="I48" s="2363" t="s">
        <v>1697</v>
      </c>
      <c r="J48" s="1943" t="s">
        <v>1702</v>
      </c>
      <c r="K48" s="2372" t="s">
        <v>1703</v>
      </c>
      <c r="L48" s="1567">
        <f ca="1">INDIRECT("'数据-取费表'!f"&amp;$G$1)</f>
        <v>39.07</v>
      </c>
      <c r="M48" s="2761"/>
      <c r="O48" s="1957" t="s">
        <v>1731</v>
      </c>
      <c r="P48" s="1958" t="s">
        <v>1757</v>
      </c>
      <c r="Q48" s="1959">
        <f ca="1">C40+J29</f>
        <v>2896</v>
      </c>
      <c r="R48" s="1958" t="s">
        <v>1732</v>
      </c>
    </row>
    <row r="49" spans="1:18" s="1672" customFormat="1" ht="18" customHeight="1" thickBot="1">
      <c r="A49" s="721"/>
      <c r="B49" s="722"/>
      <c r="C49" s="723"/>
      <c r="D49" s="724"/>
      <c r="E49" s="719" t="s">
        <v>586</v>
      </c>
      <c r="F49" s="720">
        <f ca="1">F7</f>
        <v>2172.2399999999998</v>
      </c>
      <c r="G49" s="1699"/>
      <c r="H49" s="1702"/>
      <c r="I49" s="2363" t="s">
        <v>1698</v>
      </c>
      <c r="J49" s="1944"/>
      <c r="K49" s="2373" t="s">
        <v>1704</v>
      </c>
      <c r="L49" s="1566"/>
      <c r="M49" s="2761"/>
      <c r="O49" s="1957" t="s">
        <v>1733</v>
      </c>
      <c r="P49" s="1958" t="s">
        <v>1758</v>
      </c>
      <c r="Q49" s="1959">
        <f ca="1">J60</f>
        <v>636</v>
      </c>
      <c r="R49" s="1958" t="s">
        <v>1734</v>
      </c>
    </row>
    <row r="50" spans="1:18" s="1672" customFormat="1" ht="18" customHeight="1" thickBot="1">
      <c r="A50" s="721"/>
      <c r="B50" s="722"/>
      <c r="C50" s="723"/>
      <c r="D50" s="724"/>
      <c r="E50" s="719" t="s">
        <v>587</v>
      </c>
      <c r="F50" s="720">
        <f ca="1">F8</f>
        <v>365</v>
      </c>
      <c r="H50" s="1702"/>
      <c r="I50" s="2363" t="s">
        <v>1699</v>
      </c>
      <c r="J50" s="2370">
        <f>SUMPRODUCT((I63:I65=J47)*(J62:L62=J48)*(J63:L65))</f>
        <v>60</v>
      </c>
      <c r="K50" s="2373" t="s">
        <v>1705</v>
      </c>
      <c r="L50" s="1566"/>
      <c r="M50" s="2761"/>
      <c r="O50" s="1960" t="s">
        <v>1735</v>
      </c>
      <c r="P50" s="1958" t="s">
        <v>1759</v>
      </c>
      <c r="Q50" s="1959">
        <f ca="1">C29</f>
        <v>1591</v>
      </c>
      <c r="R50" s="1958" t="s">
        <v>1732</v>
      </c>
    </row>
    <row r="51" spans="1:18" s="1672" customFormat="1" ht="18" customHeight="1" thickBot="1">
      <c r="A51" s="721"/>
      <c r="B51" s="722"/>
      <c r="C51" s="723"/>
      <c r="D51" s="724"/>
      <c r="E51" s="719" t="s">
        <v>588</v>
      </c>
      <c r="F51" s="1934"/>
      <c r="H51" s="1702"/>
      <c r="I51" s="2367" t="s">
        <v>1700</v>
      </c>
      <c r="J51" s="1567">
        <f>IF(J49="",J50,J49+J50-YEAR('数据-取费表'!B2))</f>
        <v>60</v>
      </c>
      <c r="K51" s="2363" t="s">
        <v>1706</v>
      </c>
      <c r="L51" s="2376">
        <f ca="1">ROUND(-PV(INDIRECT("'数据-取费表'!h"&amp;$G$1),J51,(C39-C13*J36),0),0)</f>
        <v>580</v>
      </c>
      <c r="M51" s="2761"/>
      <c r="O51" s="1960" t="s">
        <v>1736</v>
      </c>
      <c r="P51" s="1958" t="s">
        <v>1737</v>
      </c>
      <c r="Q51" s="1961">
        <f ca="1">J58</f>
        <v>0.4</v>
      </c>
      <c r="R51" s="1962"/>
    </row>
    <row r="52" spans="1:18" s="1672" customFormat="1" ht="18" customHeight="1" thickBot="1">
      <c r="A52" s="716" t="s">
        <v>1817</v>
      </c>
      <c r="B52" s="1999" t="s">
        <v>1801</v>
      </c>
      <c r="C52" s="734">
        <f ca="1">ROUND(IF(F52="押一",C48/12*F11,IF(F52="押二",C48/12*2*F11,IF(F52="押三",C48/12*3*F11,C53*F11))),0)</f>
        <v>0</v>
      </c>
      <c r="D52" s="2006" t="s">
        <v>2225</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37.07</v>
      </c>
      <c r="K53" s="3679" t="s">
        <v>2219</v>
      </c>
      <c r="L53" s="3680"/>
      <c r="M53" s="2761"/>
      <c r="O53" s="1960" t="s">
        <v>1740</v>
      </c>
      <c r="P53" s="1958" t="s">
        <v>1741</v>
      </c>
      <c r="Q53" s="1959">
        <f ca="1">J53</f>
        <v>37.07</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1743</v>
      </c>
      <c r="P54" s="1958" t="s">
        <v>1760</v>
      </c>
      <c r="Q54" s="1959">
        <f ca="1">Q48+Q49</f>
        <v>3532</v>
      </c>
      <c r="R54" s="1962" t="s">
        <v>1744</v>
      </c>
    </row>
    <row r="55" spans="1:18" s="1672" customFormat="1" ht="18" customHeight="1" thickTop="1" thickBot="1">
      <c r="A55" s="732">
        <v>2</v>
      </c>
      <c r="B55" s="733" t="s">
        <v>592</v>
      </c>
      <c r="C55" s="734">
        <f ca="1">C13</f>
        <v>1591</v>
      </c>
      <c r="D55" s="730"/>
      <c r="E55" s="730"/>
      <c r="F55" s="735"/>
      <c r="I55" s="2379" t="s">
        <v>1707</v>
      </c>
      <c r="J55" s="2352">
        <f ca="1">ROUND(IF(J47="钢混",J57/J50,1-(1-2%)*(J50-J57)/J50),3)</f>
        <v>0.34899999999999998</v>
      </c>
      <c r="K55" s="2380" t="s">
        <v>1708</v>
      </c>
      <c r="L55" s="1946"/>
      <c r="M55" s="2761"/>
      <c r="O55" s="1963" t="s">
        <v>1763</v>
      </c>
      <c r="P55" s="1144"/>
      <c r="Q55" s="1330"/>
      <c r="R55" s="1144"/>
    </row>
    <row r="56" spans="1:18" s="1672" customFormat="1" ht="42.75" customHeight="1" thickBot="1">
      <c r="A56" s="1370"/>
      <c r="B56" s="1825" t="s">
        <v>1655</v>
      </c>
      <c r="C56" s="49">
        <f ca="1">C29</f>
        <v>1591</v>
      </c>
      <c r="D56" s="906"/>
      <c r="E56" s="719"/>
      <c r="F56" s="744"/>
      <c r="I56" s="2381" t="s">
        <v>1709</v>
      </c>
      <c r="J56" s="2391"/>
      <c r="K56" s="2363" t="s">
        <v>1714</v>
      </c>
      <c r="L56" s="1567" t="str">
        <f ca="1">IF(L48&lt;J51,"——",L48-J51)</f>
        <v>——</v>
      </c>
      <c r="M56" s="2761"/>
      <c r="O56" s="1954" t="s">
        <v>1727</v>
      </c>
      <c r="P56" s="1955" t="s">
        <v>1728</v>
      </c>
      <c r="Q56" s="1956" t="s">
        <v>1729</v>
      </c>
      <c r="R56" s="1955" t="s">
        <v>1730</v>
      </c>
    </row>
    <row r="57" spans="1:18" s="1672" customFormat="1" ht="28.5" customHeight="1" thickBot="1">
      <c r="A57" s="732" t="s">
        <v>1277</v>
      </c>
      <c r="B57" s="733" t="s">
        <v>599</v>
      </c>
      <c r="C57" s="734">
        <f ca="1">ROUND(C58+C63+C64+C65,0)</f>
        <v>5</v>
      </c>
      <c r="D57" s="22" t="s">
        <v>600</v>
      </c>
      <c r="E57" s="914"/>
      <c r="F57" s="52"/>
      <c r="I57" s="2382" t="s">
        <v>1710</v>
      </c>
      <c r="J57" s="2383">
        <f ca="1">IF(OR(M47="住宅",J51&lt;L48,J56="是"),"——",J51-L48)</f>
        <v>20.93</v>
      </c>
      <c r="K57" s="2363" t="s">
        <v>1715</v>
      </c>
      <c r="L57" s="1567" t="str">
        <f ca="1">IF(L48&lt;J51,"——",IF(L55="比较法",L49,IF(L55="基准地价",L50,L51)))</f>
        <v>——</v>
      </c>
      <c r="M57" s="2761"/>
      <c r="O57" s="1957" t="s">
        <v>1731</v>
      </c>
      <c r="P57" s="1958" t="s">
        <v>1757</v>
      </c>
      <c r="Q57" s="1959">
        <f ca="1">C40+J29</f>
        <v>2896</v>
      </c>
      <c r="R57" s="1958" t="s">
        <v>1732</v>
      </c>
    </row>
    <row r="58" spans="1:18" s="1672" customFormat="1" ht="28.5" customHeight="1" thickBot="1">
      <c r="A58" s="1369" t="s">
        <v>1353</v>
      </c>
      <c r="B58" s="719" t="s">
        <v>604</v>
      </c>
      <c r="C58" s="2554">
        <f ca="1">ROUND(IF(AND(项目基本情况!B11="自然人",项目基本情况!B10="北京市"),C48*F58/(1+'数据-取费表'!C42),C59+C60+C61),2)</f>
        <v>0.12</v>
      </c>
      <c r="D58" s="905" t="s">
        <v>605</v>
      </c>
      <c r="E58" s="906" t="s">
        <v>637</v>
      </c>
      <c r="F58" s="2553" t="str">
        <f>IF(项目基本情况!B11="企业","——",IF('数据-取费表'!B10="住宅",IF(F48*F49*F50/12/(1+'数据-取费表'!F30)&gt;100000,4%,2.5%),IF(F48*F49*F50/12/(1+'数据-取费表'!F30)&gt;100000,12%,7%)))</f>
        <v>——</v>
      </c>
      <c r="I58" s="2382" t="s">
        <v>1711</v>
      </c>
      <c r="J58" s="2353">
        <f ca="1">IF(J55&lt;0.4,0.4,J55)</f>
        <v>0.4</v>
      </c>
      <c r="K58" s="2363" t="s">
        <v>1716</v>
      </c>
      <c r="L58" s="1567" t="e">
        <f ca="1">ROUND(POWER(1+L52,L47-L48)*(POWER(1+L52,L48)-1)/(POWER(1+L52,L47)-1),4)</f>
        <v>#DIV/0!</v>
      </c>
      <c r="M58" s="2761"/>
      <c r="O58" s="1957" t="s">
        <v>1733</v>
      </c>
      <c r="P58" s="1958" t="s">
        <v>1764</v>
      </c>
      <c r="Q58" s="1959">
        <f ca="1">L60</f>
        <v>0</v>
      </c>
      <c r="R58" s="1962" t="s">
        <v>1766</v>
      </c>
    </row>
    <row r="59" spans="1:18" s="1672" customFormat="1" ht="28.5" customHeight="1" thickBot="1">
      <c r="A59" s="1368" t="s">
        <v>1360</v>
      </c>
      <c r="B59" s="719" t="s">
        <v>608</v>
      </c>
      <c r="C59" s="49">
        <f ca="1">ROUND(C47*F59/1.05,2)</f>
        <v>0</v>
      </c>
      <c r="D59" s="906" t="s">
        <v>609</v>
      </c>
      <c r="E59" s="719" t="s">
        <v>597</v>
      </c>
      <c r="F59" s="744">
        <f t="shared" ref="F59:F65" si="0">F32</f>
        <v>5.5000000000000007E-2</v>
      </c>
      <c r="I59" s="2382" t="s">
        <v>1712</v>
      </c>
      <c r="J59" s="2383">
        <f ca="1">IF(OR(M47="住宅",J51&lt;L48,J56="是"),"——",ROUND(C29*J58,0))</f>
        <v>636</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612</v>
      </c>
      <c r="C60" s="49">
        <f ca="1">IF(D60="按租金收入计税",ROUND(C48*F60/(1+'数据-取费表'!C42),2),IF(D60="按房产原值计税",ROUND(C56*F60*0.7,2),INDIRECT("'数据-取费表'!Aj"&amp;$G$1)))</f>
        <v>0</v>
      </c>
      <c r="D60" s="906" t="str">
        <f>D33</f>
        <v>按租金收入计税</v>
      </c>
      <c r="E60" s="719" t="s">
        <v>597</v>
      </c>
      <c r="F60" s="744">
        <f t="shared" si="0"/>
        <v>0.12</v>
      </c>
      <c r="I60" s="2384" t="s">
        <v>1713</v>
      </c>
      <c r="J60" s="2385">
        <f ca="1">IF(OR(M47="住宅",J51&lt;L48,J56="是"),"0",ROUND(J59/(1+J52)^J53,0))</f>
        <v>636</v>
      </c>
      <c r="K60" s="2386" t="s">
        <v>1718</v>
      </c>
      <c r="L60" s="2385">
        <f ca="1">IF(OR(M47="住宅",L48&lt;J51),0,ROUND(L57*(L58/L59-1),0))</f>
        <v>0</v>
      </c>
      <c r="M60" s="2761"/>
      <c r="O60" s="1960" t="s">
        <v>1736</v>
      </c>
      <c r="P60" s="1958" t="s">
        <v>1745</v>
      </c>
      <c r="Q60" s="1961">
        <f>L52</f>
        <v>0</v>
      </c>
      <c r="R60" s="1962"/>
    </row>
    <row r="61" spans="1:18" s="1672" customFormat="1" ht="18" customHeight="1" thickBot="1">
      <c r="A61" s="1371" t="s">
        <v>1362</v>
      </c>
      <c r="B61" s="315" t="s">
        <v>615</v>
      </c>
      <c r="C61" s="50">
        <f ca="1">ROUND(F61*F62/10000,2)</f>
        <v>0.12</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771.69999999999993</v>
      </c>
      <c r="I62" s="2387" t="s">
        <v>1719</v>
      </c>
      <c r="J62" s="2388" t="s">
        <v>1720</v>
      </c>
      <c r="K62" s="2388" t="s">
        <v>1721</v>
      </c>
      <c r="L62" s="2388" t="s">
        <v>1702</v>
      </c>
      <c r="M62" s="2389" t="s">
        <v>2198</v>
      </c>
      <c r="O62" s="1960" t="s">
        <v>1740</v>
      </c>
      <c r="P62" s="1958" t="str">
        <f>K59</f>
        <v>建设期及建筑物耐用年限下的土地年期修正系数Kn</v>
      </c>
      <c r="Q62" s="1959" t="e">
        <f ca="1">L59</f>
        <v>#DIV/0!</v>
      </c>
      <c r="R62" s="1962" t="s">
        <v>1749</v>
      </c>
    </row>
    <row r="63" spans="1:18" s="1672" customFormat="1" ht="15.75" thickBot="1">
      <c r="A63" s="1369" t="s">
        <v>1414</v>
      </c>
      <c r="B63" s="719" t="s">
        <v>623</v>
      </c>
      <c r="C63" s="49">
        <f ca="1">ROUND(C56*F63,2)</f>
        <v>3.18</v>
      </c>
      <c r="D63" s="906" t="s">
        <v>1332</v>
      </c>
      <c r="E63" s="719" t="s">
        <v>597</v>
      </c>
      <c r="F63" s="751">
        <f t="shared" ca="1" si="0"/>
        <v>2E-3</v>
      </c>
      <c r="I63" s="2387" t="s">
        <v>1722</v>
      </c>
      <c r="J63" s="2388">
        <v>70</v>
      </c>
      <c r="K63" s="2388">
        <v>50</v>
      </c>
      <c r="L63" s="2388">
        <v>80</v>
      </c>
      <c r="M63" s="2390">
        <v>0.02</v>
      </c>
      <c r="O63" s="1957" t="s">
        <v>1743</v>
      </c>
      <c r="P63" s="1958" t="s">
        <v>1760</v>
      </c>
      <c r="Q63" s="1959">
        <f ca="1">Q57+Q58</f>
        <v>2896</v>
      </c>
      <c r="R63" s="1962" t="s">
        <v>1744</v>
      </c>
    </row>
    <row r="64" spans="1:18" s="1672" customFormat="1" ht="16.5" thickBot="1">
      <c r="A64" s="1369" t="s">
        <v>1415</v>
      </c>
      <c r="B64" s="719" t="s">
        <v>626</v>
      </c>
      <c r="C64" s="49">
        <f ca="1">ROUND(C55*F64,2)</f>
        <v>1.59</v>
      </c>
      <c r="D64" s="906" t="s">
        <v>627</v>
      </c>
      <c r="E64" s="719" t="s">
        <v>597</v>
      </c>
      <c r="F64" s="752">
        <f t="shared" ca="1" si="0"/>
        <v>1E-3</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597</v>
      </c>
      <c r="F65" s="729">
        <f t="shared" ca="1" si="0"/>
        <v>0.01</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-5</v>
      </c>
      <c r="D66" s="905" t="s">
        <v>647</v>
      </c>
      <c r="E66" s="903"/>
      <c r="F66" s="754"/>
      <c r="K66" s="1696"/>
      <c r="O66" s="1957" t="s">
        <v>1731</v>
      </c>
      <c r="P66" s="1958" t="s">
        <v>1757</v>
      </c>
      <c r="Q66" s="1959">
        <f ca="1">C40+J29</f>
        <v>2896</v>
      </c>
      <c r="R66" s="1958" t="s">
        <v>1732</v>
      </c>
    </row>
    <row r="67" spans="1:18" s="1672" customFormat="1" ht="20.25" thickBot="1">
      <c r="A67" s="716" t="s">
        <v>1309</v>
      </c>
      <c r="B67" s="1826" t="s">
        <v>1656</v>
      </c>
      <c r="C67" s="718">
        <f ca="1">ROUND(C66*(1-((1+F69)/(1+F67))^F68)/(F67-F69),0)</f>
        <v>-78</v>
      </c>
      <c r="D67" s="748" t="s">
        <v>651</v>
      </c>
      <c r="E67" s="719" t="s">
        <v>652</v>
      </c>
      <c r="F67" s="729">
        <f ca="1">F40</f>
        <v>5.5E-2</v>
      </c>
      <c r="K67" s="1696"/>
      <c r="O67" s="1957" t="s">
        <v>1733</v>
      </c>
      <c r="P67" s="1958" t="s">
        <v>1764</v>
      </c>
      <c r="Q67" s="1959">
        <f ca="1">L60</f>
        <v>0</v>
      </c>
      <c r="R67" s="1962" t="s">
        <v>1766</v>
      </c>
    </row>
    <row r="68" spans="1:18" ht="21.75" thickBot="1">
      <c r="A68" s="721"/>
      <c r="B68" s="722"/>
      <c r="C68" s="723"/>
      <c r="D68" s="755" t="s">
        <v>1337</v>
      </c>
      <c r="E68" s="719" t="s">
        <v>655</v>
      </c>
      <c r="F68" s="756">
        <f ca="1">F41</f>
        <v>37.07</v>
      </c>
      <c r="O68" s="1960" t="s">
        <v>1735</v>
      </c>
      <c r="P68" s="1958" t="s">
        <v>1765</v>
      </c>
      <c r="Q68" s="1964">
        <f ca="1">L51</f>
        <v>580</v>
      </c>
      <c r="R68" s="1965" t="s">
        <v>1768</v>
      </c>
    </row>
    <row r="69" spans="1:18" ht="20.25" thickBot="1">
      <c r="A69" s="725"/>
      <c r="B69" s="726"/>
      <c r="C69" s="727"/>
      <c r="D69" s="750"/>
      <c r="E69" s="719" t="s">
        <v>657</v>
      </c>
      <c r="F69" s="1934"/>
      <c r="O69" s="1960" t="s">
        <v>1736</v>
      </c>
      <c r="P69" s="1966" t="s">
        <v>1750</v>
      </c>
      <c r="Q69" s="1959">
        <f ca="1">ROUND(Q70-Q71*Q72,0)</f>
        <v>31</v>
      </c>
      <c r="R69" s="1962"/>
    </row>
    <row r="70" spans="1:18" ht="15.75" thickBot="1">
      <c r="A70" s="757" t="s">
        <v>1316</v>
      </c>
      <c r="B70" s="758" t="s">
        <v>1339</v>
      </c>
      <c r="C70" s="759">
        <f ca="1">ROUND(C67*10000/F70,0)</f>
        <v>-359</v>
      </c>
      <c r="D70" s="760" t="s">
        <v>1340</v>
      </c>
      <c r="E70" s="761" t="s">
        <v>1341</v>
      </c>
      <c r="F70" s="762">
        <f ca="1">F43</f>
        <v>2172.2399999999998</v>
      </c>
      <c r="O70" s="1960" t="s">
        <v>1751</v>
      </c>
      <c r="P70" s="1966" t="s">
        <v>1752</v>
      </c>
      <c r="Q70" s="1959">
        <f ca="1">C39</f>
        <v>142</v>
      </c>
      <c r="R70" s="1958" t="s">
        <v>1732</v>
      </c>
    </row>
    <row r="71" spans="1:18" ht="15.75" thickBot="1">
      <c r="O71" s="1960" t="s">
        <v>1753</v>
      </c>
      <c r="P71" s="1966" t="s">
        <v>1754</v>
      </c>
      <c r="Q71" s="1959">
        <f ca="1">C13</f>
        <v>1591</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建设期及建筑物耐用年限下的土地年期修正系数Kn</v>
      </c>
      <c r="Q75" s="1959" t="e">
        <f ca="1">L59</f>
        <v>#DIV/0!</v>
      </c>
      <c r="R75" s="1962" t="s">
        <v>1749</v>
      </c>
    </row>
    <row r="76" spans="1:18" ht="15.75" thickBot="1">
      <c r="O76" s="1957" t="s">
        <v>1743</v>
      </c>
      <c r="P76" s="1958" t="s">
        <v>1760</v>
      </c>
      <c r="Q76" s="1959">
        <f ca="1">Q66+Q67</f>
        <v>2896</v>
      </c>
      <c r="R76" s="1962"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115" priority="3">
      <formula>$F$10="自定义"</formula>
    </cfRule>
  </conditionalFormatting>
  <conditionalFormatting sqref="C53">
    <cfRule type="expression" dxfId="114" priority="1">
      <formula>$F$52="自定义"</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J11">
    <cfRule type="expression" dxfId="111" priority="2">
      <formula>$M$10="自定义"</formula>
    </cfRule>
  </conditionalFormatting>
  <conditionalFormatting sqref="K55">
    <cfRule type="expression" dxfId="110" priority="6">
      <formula>$L$48&gt;$J$51</formula>
    </cfRule>
  </conditionalFormatting>
  <conditionalFormatting sqref="K60">
    <cfRule type="expression" dxfId="109" priority="4">
      <formula>$L$48&gt;$J$51</formula>
    </cfRule>
  </conditionalFormatting>
  <dataValidations count="8">
    <dataValidation type="list" allowBlank="1" showInputMessage="1" showErrorMessage="1" sqref="D1" xr:uid="{00000000-0002-0000-1A00-000000000000}">
      <formula1>"土地（套用方法）,——"</formula1>
    </dataValidation>
    <dataValidation type="list" allowBlank="1" showInputMessage="1" showErrorMessage="1" sqref="F10 M10 F52" xr:uid="{00000000-0002-0000-1A00-000001000000}">
      <formula1>"押一,押二,押三,自定义"</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J56" xr:uid="{00000000-0002-0000-1A00-000004000000}">
      <formula1>估价范围判定</formula1>
    </dataValidation>
    <dataValidation type="list" allowBlank="1" showInputMessage="1" showErrorMessage="1" sqref="D33"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C1:C3" xr:uid="{00000000-0002-0000-1A00-000007000000}">
      <formula1>项目类型</formula1>
    </dataValidation>
  </dataValidations>
  <pageMargins left="0.7" right="0.7" top="0.75" bottom="0.75" header="0.3" footer="0.3"/>
  <pageSetup paperSize="9" scale="62"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235"/>
  <sheetViews>
    <sheetView view="pageBreakPreview" zoomScale="90" zoomScaleNormal="60" zoomScaleSheetLayoutView="90" workbookViewId="0">
      <selection activeCell="B2" sqref="B2"/>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t="s">
        <v>851</v>
      </c>
      <c r="C1" s="455" t="s">
        <v>732</v>
      </c>
      <c r="D1" s="783" t="s">
        <v>4089</v>
      </c>
      <c r="E1" s="457"/>
      <c r="F1" s="2118" t="s">
        <v>4080</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734</v>
      </c>
      <c r="B2" s="784">
        <f>IF(B37="元/平方米",ROUND(B3*D3/10000,0),ROUND(F3*C39/10000,0))</f>
        <v>2337</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f>IF(B37="元/平方米",C39,ROUND(B2*10000/D3,0))</f>
        <v>3423</v>
      </c>
      <c r="C3" s="786" t="s">
        <v>736</v>
      </c>
      <c r="D3" s="785">
        <f>SUMIF('数据-汇总表'!$C19:$C33,D1,'数据-汇总表'!$E19:$E33)</f>
        <v>6827.6900000000005</v>
      </c>
      <c r="E3" s="1537" t="s">
        <v>1592</v>
      </c>
      <c r="F3" s="785">
        <f>SUMIF('数据-取费表'!A5:A15,D1,'数据-取费表'!AH5:AH15)</f>
        <v>179</v>
      </c>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05" t="s">
        <v>738</v>
      </c>
      <c r="D4" s="3606"/>
      <c r="E4" s="3605" t="s">
        <v>739</v>
      </c>
      <c r="F4" s="3606"/>
      <c r="G4" s="3605" t="s">
        <v>740</v>
      </c>
      <c r="H4" s="3606"/>
      <c r="I4" s="3605" t="s">
        <v>741</v>
      </c>
      <c r="J4" s="3606"/>
      <c r="K4" s="465" t="s">
        <v>742</v>
      </c>
      <c r="L4" s="1741"/>
      <c r="M4" s="1742"/>
      <c r="N4" s="1742"/>
      <c r="O4" s="1742"/>
      <c r="P4" s="3607" t="s">
        <v>743</v>
      </c>
      <c r="Q4" s="3608"/>
      <c r="R4" s="3613" t="s">
        <v>739</v>
      </c>
      <c r="S4" s="3614"/>
      <c r="T4" s="3613" t="s">
        <v>740</v>
      </c>
      <c r="U4" s="3614"/>
      <c r="V4" s="3600" t="s">
        <v>741</v>
      </c>
      <c r="W4" s="3600"/>
      <c r="X4" s="1302"/>
      <c r="Y4" s="3613" t="s">
        <v>743</v>
      </c>
      <c r="Z4" s="3614"/>
      <c r="AA4" s="3602" t="s">
        <v>739</v>
      </c>
      <c r="AB4" s="3603" t="s">
        <v>740</v>
      </c>
      <c r="AC4" s="3602" t="s">
        <v>741</v>
      </c>
    </row>
    <row r="5" spans="1:29" ht="15">
      <c r="A5" s="466"/>
      <c r="B5" s="467"/>
      <c r="C5" s="3621" t="s">
        <v>2185</v>
      </c>
      <c r="D5" s="3622"/>
      <c r="E5" s="3621" t="str">
        <f>案例!B6</f>
        <v>中海云筑</v>
      </c>
      <c r="F5" s="3622"/>
      <c r="G5" s="3621" t="str">
        <f>案例!B7</f>
        <v>和悦璞云</v>
      </c>
      <c r="H5" s="3622"/>
      <c r="I5" s="3621" t="str">
        <f>案例!B8</f>
        <v>和悦春风</v>
      </c>
      <c r="J5" s="3622"/>
      <c r="K5" s="465"/>
      <c r="L5" s="1741"/>
      <c r="M5" s="1742"/>
      <c r="N5" s="1742"/>
      <c r="O5" s="1742"/>
      <c r="P5" s="3609"/>
      <c r="Q5" s="3610"/>
      <c r="R5" s="3615"/>
      <c r="S5" s="3616"/>
      <c r="T5" s="3615"/>
      <c r="U5" s="3616"/>
      <c r="V5" s="3600"/>
      <c r="W5" s="3600"/>
      <c r="X5" s="1302"/>
      <c r="Y5" s="3615"/>
      <c r="Z5" s="3616"/>
      <c r="AA5" s="3603"/>
      <c r="AB5" s="3603"/>
      <c r="AC5" s="3603"/>
    </row>
    <row r="6" spans="1:29" ht="15.75" thickBot="1">
      <c r="A6" s="468"/>
      <c r="B6" s="469"/>
      <c r="C6" s="3619" t="s">
        <v>2189</v>
      </c>
      <c r="D6" s="3620"/>
      <c r="E6" s="3624" t="s">
        <v>2189</v>
      </c>
      <c r="F6" s="3625"/>
      <c r="G6" s="3619" t="s">
        <v>2189</v>
      </c>
      <c r="H6" s="3620"/>
      <c r="I6" s="3619" t="s">
        <v>2189</v>
      </c>
      <c r="J6" s="3620"/>
      <c r="K6" s="465" t="s">
        <v>477</v>
      </c>
      <c r="L6" s="1741"/>
      <c r="M6" s="1742"/>
      <c r="N6" s="1742"/>
      <c r="O6" s="1742"/>
      <c r="P6" s="3611"/>
      <c r="Q6" s="3612"/>
      <c r="R6" s="3615"/>
      <c r="S6" s="3616"/>
      <c r="T6" s="3617"/>
      <c r="U6" s="3618"/>
      <c r="V6" s="3600"/>
      <c r="W6" s="3600"/>
      <c r="X6" s="1302"/>
      <c r="Y6" s="3617"/>
      <c r="Z6" s="3618"/>
      <c r="AA6" s="3604"/>
      <c r="AB6" s="3604"/>
      <c r="AC6" s="3604"/>
    </row>
    <row r="7" spans="1:29" s="1059" customFormat="1" ht="15.75" thickBot="1">
      <c r="A7" s="2208"/>
      <c r="B7" s="2215" t="s">
        <v>478</v>
      </c>
      <c r="C7" s="470">
        <f>'数据-取费表'!B2</f>
        <v>45617</v>
      </c>
      <c r="D7" s="471">
        <v>100</v>
      </c>
      <c r="E7" s="472">
        <f>C7</f>
        <v>45617</v>
      </c>
      <c r="F7" s="473">
        <f>SUMIF(48:48,YEAR(E7)&amp;"-"&amp;MONTH(E7),49:49)</f>
        <v>100</v>
      </c>
      <c r="G7" s="474">
        <f>C7</f>
        <v>45617</v>
      </c>
      <c r="H7" s="471">
        <f>SUMIF(48:48,YEAR(G7)&amp;"-"&amp;MONTH(G7),49:49)</f>
        <v>100</v>
      </c>
      <c r="I7" s="474">
        <f>C7</f>
        <v>45617</v>
      </c>
      <c r="J7" s="471">
        <f>SUMIF(48:48,YEAR(I7)&amp;"-"&amp;MONTH(I7),49:49)</f>
        <v>100</v>
      </c>
      <c r="K7" s="88"/>
      <c r="L7" s="1743"/>
      <c r="M7" s="1640"/>
      <c r="N7" s="1640"/>
      <c r="O7" s="1640"/>
      <c r="P7" s="3630" t="s">
        <v>479</v>
      </c>
      <c r="Q7" s="3632"/>
      <c r="R7" s="1303" t="s">
        <v>5</v>
      </c>
      <c r="S7" s="1304">
        <f t="shared" ref="S7:S14" si="0">F7</f>
        <v>100</v>
      </c>
      <c r="T7" s="1303" t="s">
        <v>5</v>
      </c>
      <c r="U7" s="1304">
        <f t="shared" ref="U7:U14" si="1">H7</f>
        <v>100</v>
      </c>
      <c r="V7" s="1303" t="s">
        <v>5</v>
      </c>
      <c r="W7" s="1304">
        <f t="shared" ref="W7:W14" si="2">J7</f>
        <v>100</v>
      </c>
      <c r="X7" s="1305"/>
      <c r="Y7" s="3630" t="s">
        <v>479</v>
      </c>
      <c r="Z7" s="3631"/>
      <c r="AA7" s="996">
        <f>D7/F7</f>
        <v>1</v>
      </c>
      <c r="AB7" s="996">
        <f>D7/H7</f>
        <v>1</v>
      </c>
      <c r="AC7" s="996">
        <f>D7/J7</f>
        <v>1</v>
      </c>
    </row>
    <row r="8" spans="1:29" s="1059" customFormat="1" ht="15.75" thickBot="1">
      <c r="A8" s="2209"/>
      <c r="B8" s="2216" t="s">
        <v>480</v>
      </c>
      <c r="C8" s="475" t="s">
        <v>524</v>
      </c>
      <c r="D8" s="471">
        <v>100</v>
      </c>
      <c r="E8" s="475" t="s">
        <v>4098</v>
      </c>
      <c r="F8" s="473">
        <f>SUMIF(51:51,E8,52:52)-SUMIF(51:51,C8,52:52)+100</f>
        <v>100</v>
      </c>
      <c r="G8" s="475" t="s">
        <v>4098</v>
      </c>
      <c r="H8" s="471">
        <f>SUMIF(51:51,G8,52:52)-SUMIF(51:51,C8,52:52)+100</f>
        <v>100</v>
      </c>
      <c r="I8" s="475" t="s">
        <v>4098</v>
      </c>
      <c r="J8" s="471">
        <f>SUMIF(51:51,I8,52:52)-SUMIF(51:51,C8,52:52)+100</f>
        <v>100</v>
      </c>
      <c r="K8" s="88"/>
      <c r="L8" s="1743"/>
      <c r="M8" s="1640"/>
      <c r="N8" s="1640"/>
      <c r="O8" s="1640"/>
      <c r="P8" s="3630" t="s">
        <v>482</v>
      </c>
      <c r="Q8" s="3631"/>
      <c r="R8" s="1303" t="s">
        <v>5</v>
      </c>
      <c r="S8" s="1304">
        <f t="shared" si="0"/>
        <v>100</v>
      </c>
      <c r="T8" s="1303" t="s">
        <v>5</v>
      </c>
      <c r="U8" s="1304">
        <f t="shared" si="1"/>
        <v>100</v>
      </c>
      <c r="V8" s="1303" t="s">
        <v>5</v>
      </c>
      <c r="W8" s="1304">
        <f t="shared" si="2"/>
        <v>100</v>
      </c>
      <c r="X8" s="1305"/>
      <c r="Y8" s="3630" t="s">
        <v>482</v>
      </c>
      <c r="Z8" s="3631"/>
      <c r="AA8" s="996">
        <f t="shared" ref="AA8:AA36" si="3">D8/F8</f>
        <v>1</v>
      </c>
      <c r="AB8" s="996">
        <f t="shared" ref="AB8:AB36" si="4">D8/H8</f>
        <v>1</v>
      </c>
      <c r="AC8" s="996">
        <f t="shared" ref="AC8:AC36" si="5">D8/J8</f>
        <v>1</v>
      </c>
    </row>
    <row r="9" spans="1:29" s="1059" customFormat="1" ht="15">
      <c r="A9" s="2210"/>
      <c r="B9" s="2217" t="s">
        <v>2036</v>
      </c>
      <c r="C9" s="3410" t="s">
        <v>4099</v>
      </c>
      <c r="D9" s="154">
        <v>100</v>
      </c>
      <c r="E9" s="793" t="s">
        <v>3315</v>
      </c>
      <c r="F9" s="154">
        <f>SUMIF(53:53,E9,54:54)-SUMIF(53:53,C9,54:54)+100</f>
        <v>100</v>
      </c>
      <c r="G9" s="793" t="s">
        <v>3315</v>
      </c>
      <c r="H9" s="154">
        <f>SUMIF(53:53,G9,54:54)-SUMIF(53:53,C9,54:54)+100</f>
        <v>100</v>
      </c>
      <c r="I9" s="793" t="s">
        <v>3315</v>
      </c>
      <c r="J9" s="154">
        <f>SUMIF(53:53,I9,54:54)-SUMIF(53:53,C9,54:54)+100</f>
        <v>100</v>
      </c>
      <c r="K9" s="88"/>
      <c r="L9" s="1743"/>
      <c r="M9" s="1640"/>
      <c r="N9" s="1640"/>
      <c r="O9" s="1744"/>
      <c r="P9" s="3599" t="s">
        <v>484</v>
      </c>
      <c r="Q9" s="817" t="str">
        <f t="shared" ref="Q9:Q14" si="6">B9</f>
        <v>用途</v>
      </c>
      <c r="R9" s="1303" t="s">
        <v>5</v>
      </c>
      <c r="S9" s="1304">
        <f t="shared" si="0"/>
        <v>100</v>
      </c>
      <c r="T9" s="1303" t="s">
        <v>5</v>
      </c>
      <c r="U9" s="1304">
        <f t="shared" si="1"/>
        <v>100</v>
      </c>
      <c r="V9" s="1303" t="s">
        <v>5</v>
      </c>
      <c r="W9" s="1304">
        <f t="shared" si="2"/>
        <v>100</v>
      </c>
      <c r="X9" s="1305"/>
      <c r="Y9" s="3547" t="s">
        <v>485</v>
      </c>
      <c r="Z9" s="996" t="str">
        <f t="shared" ref="Z9:Z14" si="7">Q9</f>
        <v>用途</v>
      </c>
      <c r="AA9" s="996">
        <f t="shared" si="3"/>
        <v>1</v>
      </c>
      <c r="AB9" s="996">
        <f t="shared" si="4"/>
        <v>1</v>
      </c>
      <c r="AC9" s="996">
        <f t="shared" si="5"/>
        <v>1</v>
      </c>
    </row>
    <row r="10" spans="1:29" s="1132" customFormat="1" ht="27.75" thickBot="1">
      <c r="A10" s="2211"/>
      <c r="B10" s="2216" t="s">
        <v>2037</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599"/>
      <c r="Q10" s="817" t="str">
        <f t="shared" si="6"/>
        <v>土地使用年限（年）</v>
      </c>
      <c r="R10" s="1303" t="s">
        <v>5</v>
      </c>
      <c r="S10" s="1304">
        <f t="shared" si="0"/>
        <v>100</v>
      </c>
      <c r="T10" s="1303" t="s">
        <v>5</v>
      </c>
      <c r="U10" s="1304">
        <f t="shared" si="1"/>
        <v>100</v>
      </c>
      <c r="V10" s="1303" t="s">
        <v>5</v>
      </c>
      <c r="W10" s="1304">
        <f t="shared" si="2"/>
        <v>100</v>
      </c>
      <c r="X10" s="1305"/>
      <c r="Y10" s="3547"/>
      <c r="Z10" s="996" t="str">
        <f t="shared" si="7"/>
        <v>土地使用年限（年）</v>
      </c>
      <c r="AA10" s="996">
        <f t="shared" si="3"/>
        <v>1</v>
      </c>
      <c r="AB10" s="996">
        <f t="shared" si="4"/>
        <v>1</v>
      </c>
      <c r="AC10" s="996">
        <f t="shared" si="5"/>
        <v>1</v>
      </c>
    </row>
    <row r="11" spans="1:29" ht="15" hidden="1">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9"/>
      <c r="Q11" s="817">
        <f t="shared" si="6"/>
        <v>111</v>
      </c>
      <c r="R11" s="1303" t="s">
        <v>5</v>
      </c>
      <c r="S11" s="1304">
        <f t="shared" si="0"/>
        <v>100</v>
      </c>
      <c r="T11" s="1303" t="s">
        <v>5</v>
      </c>
      <c r="U11" s="1304">
        <f t="shared" si="1"/>
        <v>100</v>
      </c>
      <c r="V11" s="1303" t="s">
        <v>5</v>
      </c>
      <c r="W11" s="1304">
        <f t="shared" si="2"/>
        <v>100</v>
      </c>
      <c r="X11" s="1305"/>
      <c r="Y11" s="3547"/>
      <c r="Z11" s="996">
        <f t="shared" si="7"/>
        <v>111</v>
      </c>
      <c r="AA11" s="996">
        <f t="shared" si="3"/>
        <v>1</v>
      </c>
      <c r="AB11" s="996">
        <f t="shared" si="4"/>
        <v>1</v>
      </c>
      <c r="AC11" s="996">
        <f t="shared" si="5"/>
        <v>1</v>
      </c>
    </row>
    <row r="12" spans="1:29" s="1059" customFormat="1" ht="15" hidden="1">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9"/>
      <c r="Q12" s="817">
        <f t="shared" si="6"/>
        <v>111</v>
      </c>
      <c r="R12" s="1303" t="s">
        <v>5</v>
      </c>
      <c r="S12" s="1304">
        <f t="shared" si="0"/>
        <v>100</v>
      </c>
      <c r="T12" s="1303" t="s">
        <v>5</v>
      </c>
      <c r="U12" s="1304">
        <f t="shared" si="1"/>
        <v>100</v>
      </c>
      <c r="V12" s="1303" t="s">
        <v>5</v>
      </c>
      <c r="W12" s="1304">
        <f t="shared" si="2"/>
        <v>100</v>
      </c>
      <c r="X12" s="1305"/>
      <c r="Y12" s="3547"/>
      <c r="Z12" s="996">
        <f t="shared" si="7"/>
        <v>111</v>
      </c>
      <c r="AA12" s="996">
        <f>D12/F12</f>
        <v>1</v>
      </c>
      <c r="AB12" s="996">
        <f>D12/H12</f>
        <v>1</v>
      </c>
      <c r="AC12" s="996">
        <f>D12/J12</f>
        <v>1</v>
      </c>
    </row>
    <row r="13" spans="1:29" ht="15.75" hidden="1"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9"/>
      <c r="Q13" s="817">
        <f t="shared" si="6"/>
        <v>111</v>
      </c>
      <c r="R13" s="1303" t="s">
        <v>5</v>
      </c>
      <c r="S13" s="1304">
        <f t="shared" si="0"/>
        <v>100</v>
      </c>
      <c r="T13" s="1303" t="s">
        <v>5</v>
      </c>
      <c r="U13" s="1304">
        <f t="shared" si="1"/>
        <v>100</v>
      </c>
      <c r="V13" s="1303" t="s">
        <v>5</v>
      </c>
      <c r="W13" s="1304">
        <f t="shared" si="2"/>
        <v>100</v>
      </c>
      <c r="X13" s="1305"/>
      <c r="Y13" s="3547"/>
      <c r="Z13" s="996">
        <f t="shared" si="7"/>
        <v>111</v>
      </c>
      <c r="AA13" s="996">
        <f t="shared" si="3"/>
        <v>1</v>
      </c>
      <c r="AB13" s="996">
        <f t="shared" si="4"/>
        <v>1</v>
      </c>
      <c r="AC13" s="996">
        <f t="shared" si="5"/>
        <v>1</v>
      </c>
    </row>
    <row r="14" spans="1:29" ht="15">
      <c r="A14" s="2206" t="s">
        <v>2034</v>
      </c>
      <c r="B14" s="497" t="s">
        <v>492</v>
      </c>
      <c r="C14" s="842" t="str">
        <f>IF(B1="工业",估价对象房地状况!G4,估价对象房地状况!C6)</f>
        <v>较差</v>
      </c>
      <c r="D14" s="499">
        <v>100</v>
      </c>
      <c r="E14" s="3411" t="s">
        <v>4100</v>
      </c>
      <c r="F14" s="501">
        <f>SUMIF(63:63,E15,64:64)-SUMIF(63:63,C15,64:64)+100</f>
        <v>101</v>
      </c>
      <c r="G14" s="3411" t="s">
        <v>4100</v>
      </c>
      <c r="H14" s="499">
        <f>SUMIF(63:63,G15,64:64)-SUMIF(63:63,C15,64:64)+100</f>
        <v>101</v>
      </c>
      <c r="I14" s="3411" t="s">
        <v>4100</v>
      </c>
      <c r="J14" s="499">
        <f>SUMIF(63:63,I15,64:64)-SUMIF(63:63,C15,64:64)+100</f>
        <v>101</v>
      </c>
      <c r="K14" s="821">
        <v>1</v>
      </c>
      <c r="L14" s="1749"/>
      <c r="M14" s="1742"/>
      <c r="N14" s="1742"/>
      <c r="O14" s="1748"/>
      <c r="P14" s="3633" t="s">
        <v>489</v>
      </c>
      <c r="Q14" s="1306" t="str">
        <f t="shared" si="6"/>
        <v>交通便捷度</v>
      </c>
      <c r="R14" s="1307" t="s">
        <v>5</v>
      </c>
      <c r="S14" s="1308">
        <f t="shared" si="0"/>
        <v>101</v>
      </c>
      <c r="T14" s="1307" t="s">
        <v>5</v>
      </c>
      <c r="U14" s="1308">
        <f t="shared" si="1"/>
        <v>101</v>
      </c>
      <c r="V14" s="1307" t="s">
        <v>5</v>
      </c>
      <c r="W14" s="1308">
        <f t="shared" si="2"/>
        <v>101</v>
      </c>
      <c r="X14" s="1302"/>
      <c r="Y14" s="3633" t="s">
        <v>489</v>
      </c>
      <c r="Z14" s="1309" t="str">
        <f t="shared" si="7"/>
        <v>交通便捷度</v>
      </c>
      <c r="AA14" s="1309">
        <f t="shared" si="3"/>
        <v>0.99009900990099009</v>
      </c>
      <c r="AB14" s="1309">
        <f t="shared" si="4"/>
        <v>0.99009900990099009</v>
      </c>
      <c r="AC14" s="1309">
        <f t="shared" si="5"/>
        <v>0.99009900990099009</v>
      </c>
    </row>
    <row r="15" spans="1:29" ht="15">
      <c r="A15" s="466"/>
      <c r="B15" s="845"/>
      <c r="C15" s="526" t="s">
        <v>3344</v>
      </c>
      <c r="D15" s="505"/>
      <c r="E15" s="526" t="s">
        <v>3343</v>
      </c>
      <c r="F15" s="507"/>
      <c r="G15" s="526" t="s">
        <v>3343</v>
      </c>
      <c r="H15" s="509"/>
      <c r="I15" s="526" t="s">
        <v>3343</v>
      </c>
      <c r="J15" s="505"/>
      <c r="K15" s="822"/>
      <c r="L15" s="1749"/>
      <c r="M15" s="1742"/>
      <c r="N15" s="1742"/>
      <c r="O15" s="1748"/>
      <c r="P15" s="3634"/>
      <c r="Q15" s="1306"/>
      <c r="R15" s="1307"/>
      <c r="S15" s="1308"/>
      <c r="T15" s="1307"/>
      <c r="U15" s="1308"/>
      <c r="V15" s="1307"/>
      <c r="W15" s="1308"/>
      <c r="X15" s="1302"/>
      <c r="Y15" s="3634"/>
      <c r="Z15" s="1309"/>
      <c r="AA15" s="1309">
        <v>1</v>
      </c>
      <c r="AB15" s="1309">
        <v>1</v>
      </c>
      <c r="AC15" s="1309">
        <v>1</v>
      </c>
    </row>
    <row r="16" spans="1:29" ht="15">
      <c r="A16" s="466"/>
      <c r="B16" s="2062" t="s">
        <v>1827</v>
      </c>
      <c r="C16" s="801" t="str">
        <f>IF(B1="工业",估价对象房地状况!G5,估价对象房地状况!C7)</f>
        <v>较差</v>
      </c>
      <c r="D16" s="515">
        <v>100</v>
      </c>
      <c r="E16" s="522" t="s">
        <v>3343</v>
      </c>
      <c r="F16" s="521">
        <f>SUMIF(65:65,E17,66:66)-SUMIF(65:65,C17,66:66)+100</f>
        <v>101</v>
      </c>
      <c r="G16" s="522" t="s">
        <v>3343</v>
      </c>
      <c r="H16" s="515">
        <f>SUMIF(65:65,G17,66:66)-SUMIF(65:65,C17,66:66)+100</f>
        <v>101</v>
      </c>
      <c r="I16" s="522" t="s">
        <v>3343</v>
      </c>
      <c r="J16" s="515">
        <f>SUMIF(65:65,I17,66:66)-SUMIF(65:65,C17,66:66)+100</f>
        <v>101</v>
      </c>
      <c r="K16" s="821">
        <v>1</v>
      </c>
      <c r="L16" s="1749"/>
      <c r="M16" s="1742"/>
      <c r="N16" s="1742"/>
      <c r="O16" s="1748"/>
      <c r="P16" s="3634"/>
      <c r="Q16" s="1306" t="str">
        <f>B16</f>
        <v>公共配套设施</v>
      </c>
      <c r="R16" s="1307" t="s">
        <v>5</v>
      </c>
      <c r="S16" s="1308">
        <f>F16</f>
        <v>101</v>
      </c>
      <c r="T16" s="1307" t="s">
        <v>5</v>
      </c>
      <c r="U16" s="1308">
        <f>H16</f>
        <v>101</v>
      </c>
      <c r="V16" s="1307" t="s">
        <v>5</v>
      </c>
      <c r="W16" s="1308">
        <f>J16</f>
        <v>101</v>
      </c>
      <c r="X16" s="1302"/>
      <c r="Y16" s="3634"/>
      <c r="Z16" s="1309" t="str">
        <f>Q16</f>
        <v>公共配套设施</v>
      </c>
      <c r="AA16" s="1309">
        <f t="shared" si="3"/>
        <v>0.99009900990099009</v>
      </c>
      <c r="AB16" s="1309">
        <f t="shared" si="4"/>
        <v>0.99009900990099009</v>
      </c>
      <c r="AC16" s="1309">
        <f t="shared" si="5"/>
        <v>0.99009900990099009</v>
      </c>
    </row>
    <row r="17" spans="1:29" ht="15">
      <c r="A17" s="466"/>
      <c r="B17" s="516"/>
      <c r="C17" s="802" t="s">
        <v>3344</v>
      </c>
      <c r="D17" s="505"/>
      <c r="E17" s="526" t="s">
        <v>3343</v>
      </c>
      <c r="F17" s="507"/>
      <c r="G17" s="526" t="s">
        <v>3343</v>
      </c>
      <c r="H17" s="505"/>
      <c r="I17" s="526" t="s">
        <v>3343</v>
      </c>
      <c r="J17" s="505"/>
      <c r="K17" s="822"/>
      <c r="L17" s="1749"/>
      <c r="M17" s="1742"/>
      <c r="N17" s="1742"/>
      <c r="O17" s="1748"/>
      <c r="P17" s="3634"/>
      <c r="Q17" s="1306"/>
      <c r="R17" s="1307"/>
      <c r="S17" s="1308"/>
      <c r="T17" s="1307"/>
      <c r="U17" s="1308"/>
      <c r="V17" s="1307"/>
      <c r="W17" s="1308"/>
      <c r="X17" s="1302"/>
      <c r="Y17" s="3634"/>
      <c r="Z17" s="1309"/>
      <c r="AA17" s="1309">
        <v>1</v>
      </c>
      <c r="AB17" s="1309">
        <v>1</v>
      </c>
      <c r="AC17" s="1309">
        <v>1</v>
      </c>
    </row>
    <row r="18" spans="1:29" ht="15">
      <c r="A18" s="466"/>
      <c r="B18" s="2050" t="s">
        <v>1839</v>
      </c>
      <c r="C18" s="801" t="str">
        <f>IF(B1="工业",估价对象房地状况!G6,估价对象房地状况!C8)</f>
        <v>七通</v>
      </c>
      <c r="D18" s="509">
        <v>100</v>
      </c>
      <c r="E18" s="522" t="s">
        <v>3346</v>
      </c>
      <c r="F18" s="521">
        <f>SUMIF(67:67,E19,68:68)-SUMIF(67:67,C19,68:68)+100</f>
        <v>100</v>
      </c>
      <c r="G18" s="522" t="s">
        <v>3346</v>
      </c>
      <c r="H18" s="515">
        <f>SUMIF(67:67,G19,68:68)-SUMIF(67:67,C19,68:68)+100</f>
        <v>100</v>
      </c>
      <c r="I18" s="522" t="s">
        <v>3346</v>
      </c>
      <c r="J18" s="515">
        <f>SUMIF(67:67,I19,68:68)-SUMIF(67:67,C19,68:68)+100</f>
        <v>100</v>
      </c>
      <c r="K18" s="821">
        <v>1</v>
      </c>
      <c r="L18" s="1749"/>
      <c r="M18" s="1742"/>
      <c r="N18" s="1742"/>
      <c r="O18" s="1748"/>
      <c r="P18" s="3634"/>
      <c r="Q18" s="1306" t="str">
        <f>B18</f>
        <v>基础设施水平</v>
      </c>
      <c r="R18" s="1307" t="s">
        <v>5</v>
      </c>
      <c r="S18" s="1308">
        <f>F18</f>
        <v>100</v>
      </c>
      <c r="T18" s="1307" t="s">
        <v>5</v>
      </c>
      <c r="U18" s="1308">
        <f>H18</f>
        <v>100</v>
      </c>
      <c r="V18" s="1307" t="s">
        <v>5</v>
      </c>
      <c r="W18" s="1308">
        <f>J18</f>
        <v>100</v>
      </c>
      <c r="X18" s="1302"/>
      <c r="Y18" s="3634"/>
      <c r="Z18" s="1309" t="str">
        <f>Q18</f>
        <v>基础设施水平</v>
      </c>
      <c r="AA18" s="1309">
        <f>D18/F18</f>
        <v>1</v>
      </c>
      <c r="AB18" s="1309">
        <f>D18/H18</f>
        <v>1</v>
      </c>
      <c r="AC18" s="1309">
        <f>D18/J18</f>
        <v>1</v>
      </c>
    </row>
    <row r="19" spans="1:29" ht="15">
      <c r="A19" s="466"/>
      <c r="B19" s="528"/>
      <c r="C19" s="802" t="s">
        <v>3346</v>
      </c>
      <c r="D19" s="509"/>
      <c r="E19" s="526" t="s">
        <v>3346</v>
      </c>
      <c r="F19" s="507"/>
      <c r="G19" s="526" t="s">
        <v>3346</v>
      </c>
      <c r="H19" s="505"/>
      <c r="I19" s="526" t="s">
        <v>3346</v>
      </c>
      <c r="J19" s="505"/>
      <c r="K19" s="2061"/>
      <c r="L19" s="1749"/>
      <c r="M19" s="1742"/>
      <c r="N19" s="1742"/>
      <c r="O19" s="1748"/>
      <c r="P19" s="3634"/>
      <c r="Q19" s="1306"/>
      <c r="R19" s="1307"/>
      <c r="S19" s="1308"/>
      <c r="T19" s="1307"/>
      <c r="U19" s="1308"/>
      <c r="V19" s="1307"/>
      <c r="W19" s="1308"/>
      <c r="X19" s="1302"/>
      <c r="Y19" s="3634"/>
      <c r="Z19" s="1309"/>
      <c r="AA19" s="1309">
        <v>1</v>
      </c>
      <c r="AB19" s="1309">
        <v>1</v>
      </c>
      <c r="AC19" s="1309">
        <v>1</v>
      </c>
    </row>
    <row r="20" spans="1:29" ht="15">
      <c r="A20" s="466"/>
      <c r="B20" s="510" t="s">
        <v>744</v>
      </c>
      <c r="C20" s="801" t="str">
        <f>IF(B1="工业",估价对象房地状况!G7,估价对象房地状况!C9)</f>
        <v>较差</v>
      </c>
      <c r="D20" s="515">
        <v>100</v>
      </c>
      <c r="E20" s="522" t="s">
        <v>3343</v>
      </c>
      <c r="F20" s="513">
        <f>SUMIF(69:69,E21,70:70)-SUMIF(69:69,C21,70:70)+100</f>
        <v>101</v>
      </c>
      <c r="G20" s="522" t="s">
        <v>3343</v>
      </c>
      <c r="H20" s="509">
        <f>SUMIF(69:69,G21,70:70)-SUMIF(69:69,C21,70:70)+100</f>
        <v>101</v>
      </c>
      <c r="I20" s="522" t="s">
        <v>3343</v>
      </c>
      <c r="J20" s="509">
        <f>SUMIF(69:69,I21,70:70)-SUMIF(69:69,C21,70:70)+100</f>
        <v>101</v>
      </c>
      <c r="K20" s="821">
        <v>1</v>
      </c>
      <c r="L20" s="1749"/>
      <c r="M20" s="1742"/>
      <c r="N20" s="1742"/>
      <c r="O20" s="1748"/>
      <c r="P20" s="3634"/>
      <c r="Q20" s="1306" t="str">
        <f>B20</f>
        <v>自然及人文环境</v>
      </c>
      <c r="R20" s="1307" t="s">
        <v>5</v>
      </c>
      <c r="S20" s="1308">
        <f>F20</f>
        <v>101</v>
      </c>
      <c r="T20" s="1307" t="s">
        <v>5</v>
      </c>
      <c r="U20" s="1308">
        <f>H20</f>
        <v>101</v>
      </c>
      <c r="V20" s="1307" t="s">
        <v>5</v>
      </c>
      <c r="W20" s="1308">
        <f>J20</f>
        <v>101</v>
      </c>
      <c r="X20" s="1302"/>
      <c r="Y20" s="3634"/>
      <c r="Z20" s="1309" t="str">
        <f>Q20</f>
        <v>自然及人文环境</v>
      </c>
      <c r="AA20" s="1309">
        <f t="shared" si="3"/>
        <v>0.99009900990099009</v>
      </c>
      <c r="AB20" s="1309">
        <f t="shared" si="4"/>
        <v>0.99009900990099009</v>
      </c>
      <c r="AC20" s="1309">
        <f t="shared" si="5"/>
        <v>0.99009900990099009</v>
      </c>
    </row>
    <row r="21" spans="1:29" ht="15.75" thickBot="1">
      <c r="A21" s="466"/>
      <c r="B21" s="516"/>
      <c r="C21" s="526" t="s">
        <v>3344</v>
      </c>
      <c r="D21" s="505"/>
      <c r="E21" s="526" t="s">
        <v>3343</v>
      </c>
      <c r="F21" s="507"/>
      <c r="G21" s="526" t="s">
        <v>3343</v>
      </c>
      <c r="H21" s="505"/>
      <c r="I21" s="526" t="s">
        <v>3343</v>
      </c>
      <c r="J21" s="505"/>
      <c r="K21" s="822"/>
      <c r="L21" s="1749"/>
      <c r="M21" s="1742"/>
      <c r="N21" s="1742"/>
      <c r="O21" s="1748"/>
      <c r="P21" s="3634"/>
      <c r="Q21" s="1306"/>
      <c r="R21" s="1307"/>
      <c r="S21" s="1308"/>
      <c r="T21" s="1307"/>
      <c r="U21" s="1308"/>
      <c r="V21" s="1307"/>
      <c r="W21" s="1308"/>
      <c r="X21" s="1302"/>
      <c r="Y21" s="3634"/>
      <c r="Z21" s="1309"/>
      <c r="AA21" s="1309">
        <v>1</v>
      </c>
      <c r="AB21" s="1309">
        <v>1</v>
      </c>
      <c r="AC21" s="1309">
        <v>1</v>
      </c>
    </row>
    <row r="22" spans="1:29" ht="15" hidden="1">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34"/>
      <c r="Q22" s="1306" t="str">
        <f>B22</f>
        <v>楼层</v>
      </c>
      <c r="R22" s="1307" t="s">
        <v>5</v>
      </c>
      <c r="S22" s="1308">
        <f>F22</f>
        <v>100</v>
      </c>
      <c r="T22" s="1307" t="s">
        <v>5</v>
      </c>
      <c r="U22" s="1308">
        <f>H22</f>
        <v>100</v>
      </c>
      <c r="V22" s="1307" t="s">
        <v>5</v>
      </c>
      <c r="W22" s="1308">
        <f>J22</f>
        <v>100</v>
      </c>
      <c r="X22" s="1302"/>
      <c r="Y22" s="3634"/>
      <c r="Z22" s="1309" t="str">
        <f>Q22</f>
        <v>楼层</v>
      </c>
      <c r="AA22" s="1309">
        <f t="shared" si="3"/>
        <v>1</v>
      </c>
      <c r="AB22" s="1309">
        <f t="shared" si="4"/>
        <v>1</v>
      </c>
      <c r="AC22" s="1309">
        <f t="shared" si="5"/>
        <v>1</v>
      </c>
    </row>
    <row r="23" spans="1:29" ht="15" hidden="1">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34"/>
      <c r="Q23" s="1306">
        <f>B23</f>
        <v>111</v>
      </c>
      <c r="R23" s="1307" t="s">
        <v>5</v>
      </c>
      <c r="S23" s="1308">
        <f>F23</f>
        <v>100</v>
      </c>
      <c r="T23" s="1307" t="s">
        <v>5</v>
      </c>
      <c r="U23" s="1308">
        <f>H23</f>
        <v>100</v>
      </c>
      <c r="V23" s="1307" t="s">
        <v>5</v>
      </c>
      <c r="W23" s="1308">
        <f>J23</f>
        <v>100</v>
      </c>
      <c r="X23" s="1302"/>
      <c r="Y23" s="3634"/>
      <c r="Z23" s="1309">
        <f>Q23</f>
        <v>111</v>
      </c>
      <c r="AA23" s="1309">
        <f t="shared" si="3"/>
        <v>1</v>
      </c>
      <c r="AB23" s="1309">
        <f t="shared" si="4"/>
        <v>1</v>
      </c>
      <c r="AC23" s="1309">
        <f t="shared" si="5"/>
        <v>1</v>
      </c>
    </row>
    <row r="24" spans="1:29" ht="15" hidden="1">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34"/>
      <c r="Q24" s="1306">
        <f t="shared" ref="Q24:Q36" si="8">B24</f>
        <v>111</v>
      </c>
      <c r="R24" s="1307" t="s">
        <v>5</v>
      </c>
      <c r="S24" s="1308">
        <f>F24</f>
        <v>100</v>
      </c>
      <c r="T24" s="1307" t="s">
        <v>5</v>
      </c>
      <c r="U24" s="1308">
        <f>H24</f>
        <v>100</v>
      </c>
      <c r="V24" s="1307" t="s">
        <v>5</v>
      </c>
      <c r="W24" s="1308">
        <f>J24</f>
        <v>100</v>
      </c>
      <c r="X24" s="1302"/>
      <c r="Y24" s="3634"/>
      <c r="Z24" s="1309">
        <f>Q24</f>
        <v>111</v>
      </c>
      <c r="AA24" s="1309">
        <f t="shared" si="3"/>
        <v>1</v>
      </c>
      <c r="AB24" s="1309">
        <f t="shared" si="4"/>
        <v>1</v>
      </c>
      <c r="AC24" s="1309">
        <f t="shared" si="5"/>
        <v>1</v>
      </c>
    </row>
    <row r="25" spans="1:29" s="1059" customFormat="1" ht="15.75" hidden="1"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34"/>
      <c r="Q25" s="817">
        <f t="shared" si="8"/>
        <v>111</v>
      </c>
      <c r="R25" s="1303" t="s">
        <v>5</v>
      </c>
      <c r="S25" s="1304">
        <f>F25</f>
        <v>100</v>
      </c>
      <c r="T25" s="1303" t="s">
        <v>5</v>
      </c>
      <c r="U25" s="1304">
        <f>H25</f>
        <v>100</v>
      </c>
      <c r="V25" s="1303" t="s">
        <v>5</v>
      </c>
      <c r="W25" s="1304">
        <f>J25</f>
        <v>100</v>
      </c>
      <c r="X25" s="1305"/>
      <c r="Y25" s="3634"/>
      <c r="Z25" s="996">
        <f>Q25</f>
        <v>111</v>
      </c>
      <c r="AA25" s="1309">
        <f>D25/F25</f>
        <v>1</v>
      </c>
      <c r="AB25" s="1309">
        <f>D25/H25</f>
        <v>1</v>
      </c>
      <c r="AC25" s="1309">
        <f>D25/J25</f>
        <v>1</v>
      </c>
    </row>
    <row r="26" spans="1:29" ht="15">
      <c r="A26" s="2204" t="s">
        <v>2035</v>
      </c>
      <c r="B26" s="154" t="s">
        <v>746</v>
      </c>
      <c r="C26" s="848" t="str">
        <f>B1</f>
        <v>住宅</v>
      </c>
      <c r="D26" s="505">
        <v>100</v>
      </c>
      <c r="E26" s="526" t="s">
        <v>851</v>
      </c>
      <c r="F26" s="507">
        <f>SUMIF(79:79,E26,80:80)-SUMIF(79:79,C26,80:80)+100</f>
        <v>100</v>
      </c>
      <c r="G26" s="526" t="s">
        <v>851</v>
      </c>
      <c r="H26" s="505">
        <f>SUMIF(79:79,G26,80:80)-SUMIF(79:79,C26,80:80)+100</f>
        <v>100</v>
      </c>
      <c r="I26" s="526" t="s">
        <v>851</v>
      </c>
      <c r="J26" s="505">
        <f>SUMIF(79:79,I26,80:80)-SUMIF(79:79,C26,80:80)+100</f>
        <v>100</v>
      </c>
      <c r="K26" s="533">
        <v>5</v>
      </c>
      <c r="L26" s="1749"/>
      <c r="M26" s="1742"/>
      <c r="N26" s="1742"/>
      <c r="O26" s="1748"/>
      <c r="P26" s="3635"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6"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36"/>
      <c r="Q27" s="818" t="str">
        <f t="shared" si="8"/>
        <v>项目停车位配比</v>
      </c>
      <c r="R27" s="1310" t="s">
        <v>5</v>
      </c>
      <c r="S27" s="1311">
        <f t="shared" si="9"/>
        <v>100</v>
      </c>
      <c r="T27" s="1310" t="s">
        <v>5</v>
      </c>
      <c r="U27" s="1311">
        <f t="shared" si="10"/>
        <v>100</v>
      </c>
      <c r="V27" s="1310" t="s">
        <v>5</v>
      </c>
      <c r="W27" s="1311">
        <f t="shared" si="11"/>
        <v>100</v>
      </c>
      <c r="X27" s="1312"/>
      <c r="Y27" s="3636"/>
      <c r="Z27" s="1313" t="str">
        <f t="shared" si="12"/>
        <v>项目停车位配比</v>
      </c>
      <c r="AA27" s="1309">
        <f t="shared" si="3"/>
        <v>1</v>
      </c>
      <c r="AB27" s="1309">
        <f t="shared" si="4"/>
        <v>1</v>
      </c>
      <c r="AC27" s="1309">
        <f t="shared" si="5"/>
        <v>1</v>
      </c>
    </row>
    <row r="28" spans="1:29" ht="15">
      <c r="A28" s="851"/>
      <c r="B28" s="235" t="s">
        <v>748</v>
      </c>
      <c r="C28" s="524" t="s">
        <v>4072</v>
      </c>
      <c r="D28" s="490">
        <v>100</v>
      </c>
      <c r="E28" s="524" t="s">
        <v>4072</v>
      </c>
      <c r="F28" s="525">
        <f>SUMIF(83:83,E28,84:84)-SUMIF(83:83,C28,84:84)+100</f>
        <v>100</v>
      </c>
      <c r="G28" s="524" t="s">
        <v>4072</v>
      </c>
      <c r="H28" s="490">
        <f>SUMIF(83:83,G28,84:84)-SUMIF(83:83,C28,84:84)+100</f>
        <v>100</v>
      </c>
      <c r="I28" s="524" t="s">
        <v>4072</v>
      </c>
      <c r="J28" s="490">
        <f>SUMIF(83:83,I28,84:84)-SUMIF(83:83,C28,84:84)+100</f>
        <v>100</v>
      </c>
      <c r="K28" s="533">
        <v>1</v>
      </c>
      <c r="L28" s="1749"/>
      <c r="M28" s="1742"/>
      <c r="N28" s="1742"/>
      <c r="O28" s="1748"/>
      <c r="P28" s="3636"/>
      <c r="Q28" s="1306" t="str">
        <f t="shared" si="8"/>
        <v>公共部分装修</v>
      </c>
      <c r="R28" s="1307" t="s">
        <v>5</v>
      </c>
      <c r="S28" s="1308">
        <f t="shared" si="9"/>
        <v>100</v>
      </c>
      <c r="T28" s="1307" t="s">
        <v>5</v>
      </c>
      <c r="U28" s="1308">
        <f t="shared" si="10"/>
        <v>100</v>
      </c>
      <c r="V28" s="1307" t="s">
        <v>5</v>
      </c>
      <c r="W28" s="1308">
        <f t="shared" si="11"/>
        <v>100</v>
      </c>
      <c r="X28" s="1302"/>
      <c r="Y28" s="3636"/>
      <c r="Z28" s="1309" t="str">
        <f t="shared" si="12"/>
        <v>公共部分装修</v>
      </c>
      <c r="AA28" s="1309">
        <f t="shared" si="3"/>
        <v>1</v>
      </c>
      <c r="AB28" s="1309">
        <f t="shared" si="4"/>
        <v>1</v>
      </c>
      <c r="AC28" s="1309">
        <f t="shared" si="5"/>
        <v>1</v>
      </c>
    </row>
    <row r="29" spans="1:29" ht="15">
      <c r="A29" s="851"/>
      <c r="B29" s="235" t="s">
        <v>749</v>
      </c>
      <c r="C29" s="807">
        <v>1</v>
      </c>
      <c r="D29" s="490">
        <v>100</v>
      </c>
      <c r="E29" s="807">
        <v>1</v>
      </c>
      <c r="F29" s="525">
        <f>LOOKUP(E29,86:86,87:87)-LOOKUP(C29,86:86,87:87)+100</f>
        <v>100</v>
      </c>
      <c r="G29" s="807">
        <v>1</v>
      </c>
      <c r="H29" s="525">
        <f>LOOKUP(G29,86:86,87:87)-LOOKUP(C29,86:86,87:87)+100</f>
        <v>100</v>
      </c>
      <c r="I29" s="807">
        <v>1</v>
      </c>
      <c r="J29" s="490">
        <f>LOOKUP(I29,86:86,87:87)-LOOKUP(C29,86:86,87:87)+100</f>
        <v>100</v>
      </c>
      <c r="K29" s="533">
        <v>1</v>
      </c>
      <c r="L29" s="1749"/>
      <c r="M29" s="1742"/>
      <c r="N29" s="1742"/>
      <c r="O29" s="1748"/>
      <c r="P29" s="3636"/>
      <c r="Q29" s="1306" t="str">
        <f t="shared" si="8"/>
        <v>成新率</v>
      </c>
      <c r="R29" s="1307" t="s">
        <v>5</v>
      </c>
      <c r="S29" s="1308">
        <f t="shared" si="9"/>
        <v>100</v>
      </c>
      <c r="T29" s="1307" t="s">
        <v>5</v>
      </c>
      <c r="U29" s="1308">
        <f t="shared" si="10"/>
        <v>100</v>
      </c>
      <c r="V29" s="1307" t="s">
        <v>5</v>
      </c>
      <c r="W29" s="1308">
        <f t="shared" si="11"/>
        <v>100</v>
      </c>
      <c r="X29" s="1302"/>
      <c r="Y29" s="3636"/>
      <c r="Z29" s="1309" t="str">
        <f t="shared" si="12"/>
        <v>成新率</v>
      </c>
      <c r="AA29" s="1309">
        <f t="shared" si="3"/>
        <v>1</v>
      </c>
      <c r="AB29" s="1309">
        <f t="shared" si="4"/>
        <v>1</v>
      </c>
      <c r="AC29" s="1309">
        <f t="shared" si="5"/>
        <v>1</v>
      </c>
    </row>
    <row r="30" spans="1:29" ht="15">
      <c r="A30" s="851"/>
      <c r="B30" s="235" t="s">
        <v>750</v>
      </c>
      <c r="C30" s="852" t="s">
        <v>4074</v>
      </c>
      <c r="D30" s="490">
        <v>100</v>
      </c>
      <c r="E30" s="852" t="s">
        <v>4074</v>
      </c>
      <c r="F30" s="525">
        <f>SUMIF(88:88,E30,89:89)-SUMIF(88:88,C30,89:89)+100</f>
        <v>100</v>
      </c>
      <c r="G30" s="852" t="s">
        <v>4074</v>
      </c>
      <c r="H30" s="490">
        <f>SUMIF(88:88,E30,89:89)-SUMIF(88:88,C30,89:89)+100</f>
        <v>100</v>
      </c>
      <c r="I30" s="852" t="s">
        <v>4074</v>
      </c>
      <c r="J30" s="490">
        <f>SUMIF(88:88,E30,89:89)-SUMIF(88:88,C30,89:89)+100</f>
        <v>100</v>
      </c>
      <c r="K30" s="533">
        <v>1</v>
      </c>
      <c r="L30" s="1749"/>
      <c r="M30" s="1742"/>
      <c r="N30" s="1742"/>
      <c r="O30" s="1748"/>
      <c r="P30" s="3636"/>
      <c r="Q30" s="1306" t="str">
        <f t="shared" si="8"/>
        <v>物业等级</v>
      </c>
      <c r="R30" s="1307" t="s">
        <v>5</v>
      </c>
      <c r="S30" s="1308">
        <f t="shared" si="9"/>
        <v>100</v>
      </c>
      <c r="T30" s="1307" t="s">
        <v>5</v>
      </c>
      <c r="U30" s="1308">
        <f t="shared" si="10"/>
        <v>100</v>
      </c>
      <c r="V30" s="1307" t="s">
        <v>5</v>
      </c>
      <c r="W30" s="1308">
        <f t="shared" si="11"/>
        <v>100</v>
      </c>
      <c r="X30" s="1302"/>
      <c r="Y30" s="3636"/>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f>LOOKUP(E31,91:91,92:92)-LOOKUP(C31,91:91,92:92)+100</f>
        <v>100</v>
      </c>
      <c r="G31" s="805"/>
      <c r="H31" s="490">
        <f>LOOKUP(G31,91:91,92:92)-LOOKUP(C31,91:91,92:92)+100</f>
        <v>100</v>
      </c>
      <c r="I31" s="805"/>
      <c r="J31" s="490">
        <f>LOOKUP(I31,91:91,92:92)-LOOKUP(C31,91:91,92:92)+100</f>
        <v>100</v>
      </c>
      <c r="K31" s="533">
        <v>1</v>
      </c>
      <c r="L31" s="1743"/>
      <c r="M31" s="1640"/>
      <c r="N31" s="1640"/>
      <c r="O31" s="1744"/>
      <c r="P31" s="3636"/>
      <c r="Q31" s="817" t="str">
        <f t="shared" si="8"/>
        <v>停车位面积</v>
      </c>
      <c r="R31" s="1303" t="s">
        <v>5</v>
      </c>
      <c r="S31" s="1304">
        <f t="shared" si="9"/>
        <v>100</v>
      </c>
      <c r="T31" s="1303" t="s">
        <v>5</v>
      </c>
      <c r="U31" s="1304">
        <f t="shared" si="10"/>
        <v>100</v>
      </c>
      <c r="V31" s="1303" t="s">
        <v>5</v>
      </c>
      <c r="W31" s="1304">
        <f t="shared" si="11"/>
        <v>100</v>
      </c>
      <c r="X31" s="1305"/>
      <c r="Y31" s="3636"/>
      <c r="Z31" s="996" t="str">
        <f t="shared" si="12"/>
        <v>停车位面积</v>
      </c>
      <c r="AA31" s="996">
        <f t="shared" si="3"/>
        <v>1</v>
      </c>
      <c r="AB31" s="996">
        <f t="shared" si="4"/>
        <v>1</v>
      </c>
      <c r="AC31" s="996">
        <f t="shared" si="5"/>
        <v>1</v>
      </c>
    </row>
    <row r="32" spans="1:29" ht="15">
      <c r="A32" s="851"/>
      <c r="B32" s="235" t="s">
        <v>752</v>
      </c>
      <c r="C32" s="524" t="s">
        <v>3323</v>
      </c>
      <c r="D32" s="490">
        <v>100</v>
      </c>
      <c r="E32" s="524" t="s">
        <v>3323</v>
      </c>
      <c r="F32" s="525">
        <f>SUMIF(93:93,E32,94:94)-SUMIF(93:93,C32,94:94)+100</f>
        <v>100</v>
      </c>
      <c r="G32" s="524" t="s">
        <v>3323</v>
      </c>
      <c r="H32" s="490">
        <f>SUMIF(93:93,G32,94:94)-SUMIF(93:93,C32,94:94)+100</f>
        <v>100</v>
      </c>
      <c r="I32" s="524" t="s">
        <v>3323</v>
      </c>
      <c r="J32" s="490">
        <f>SUMIF(93:93,I32,94:94)-SUMIF(93:93,C32,94:94)+100</f>
        <v>100</v>
      </c>
      <c r="K32" s="533">
        <v>1</v>
      </c>
      <c r="L32" s="1749"/>
      <c r="M32" s="1742"/>
      <c r="N32" s="1742"/>
      <c r="O32" s="1748"/>
      <c r="P32" s="3636" t="s">
        <v>499</v>
      </c>
      <c r="Q32" s="1306" t="str">
        <f t="shared" si="8"/>
        <v>车位类型</v>
      </c>
      <c r="R32" s="1307" t="s">
        <v>5</v>
      </c>
      <c r="S32" s="1308">
        <f t="shared" si="9"/>
        <v>100</v>
      </c>
      <c r="T32" s="1307" t="s">
        <v>5</v>
      </c>
      <c r="U32" s="1308">
        <f t="shared" si="10"/>
        <v>100</v>
      </c>
      <c r="V32" s="1307" t="s">
        <v>5</v>
      </c>
      <c r="W32" s="1308">
        <f t="shared" si="11"/>
        <v>100</v>
      </c>
      <c r="X32" s="1302"/>
      <c r="Y32" s="3636" t="s">
        <v>499</v>
      </c>
      <c r="Z32" s="1309" t="str">
        <f t="shared" si="12"/>
        <v>车位类型</v>
      </c>
      <c r="AA32" s="1309">
        <f t="shared" si="3"/>
        <v>1</v>
      </c>
      <c r="AB32" s="1309">
        <f t="shared" si="4"/>
        <v>1</v>
      </c>
      <c r="AC32" s="1309">
        <f t="shared" si="5"/>
        <v>1</v>
      </c>
    </row>
    <row r="33" spans="1:29" ht="15.75" thickBot="1">
      <c r="A33" s="851"/>
      <c r="B33" s="235" t="s">
        <v>753</v>
      </c>
      <c r="C33" s="524" t="s">
        <v>3276</v>
      </c>
      <c r="D33" s="490">
        <v>100</v>
      </c>
      <c r="E33" s="524" t="s">
        <v>3276</v>
      </c>
      <c r="F33" s="525">
        <f>SUMIF(95:95,E33,96:96)-SUMIF(95:95,C33,96:96)+100</f>
        <v>100</v>
      </c>
      <c r="G33" s="524" t="s">
        <v>3276</v>
      </c>
      <c r="H33" s="490">
        <f>SUMIF(95:95,G33,96:96)-SUMIF(95:95,C33,96:96)+100</f>
        <v>100</v>
      </c>
      <c r="I33" s="524" t="s">
        <v>3276</v>
      </c>
      <c r="J33" s="490">
        <f>SUMIF(95:95,I33,96:96)-SUMIF(95:95,C33,96:96)+100</f>
        <v>100</v>
      </c>
      <c r="K33" s="533">
        <v>1</v>
      </c>
      <c r="L33" s="1749"/>
      <c r="M33" s="1742"/>
      <c r="N33" s="1742"/>
      <c r="O33" s="1748"/>
      <c r="P33" s="3636"/>
      <c r="Q33" s="1306" t="str">
        <f t="shared" si="8"/>
        <v>是否直接入户</v>
      </c>
      <c r="R33" s="1307" t="s">
        <v>5</v>
      </c>
      <c r="S33" s="1308">
        <f t="shared" si="9"/>
        <v>100</v>
      </c>
      <c r="T33" s="1307" t="s">
        <v>5</v>
      </c>
      <c r="U33" s="1308">
        <f t="shared" si="10"/>
        <v>100</v>
      </c>
      <c r="V33" s="1307" t="s">
        <v>5</v>
      </c>
      <c r="W33" s="1308">
        <f t="shared" si="11"/>
        <v>100</v>
      </c>
      <c r="X33" s="1302"/>
      <c r="Y33" s="3636"/>
      <c r="Z33" s="1309" t="str">
        <f t="shared" si="12"/>
        <v>是否直接入户</v>
      </c>
      <c r="AA33" s="1309">
        <f t="shared" si="3"/>
        <v>1</v>
      </c>
      <c r="AB33" s="1309">
        <f t="shared" si="4"/>
        <v>1</v>
      </c>
      <c r="AC33" s="1309">
        <f t="shared" si="5"/>
        <v>1</v>
      </c>
    </row>
    <row r="34" spans="1:29" ht="15" hidden="1">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36"/>
      <c r="Q34" s="1306">
        <f t="shared" si="8"/>
        <v>111</v>
      </c>
      <c r="R34" s="1307" t="s">
        <v>5</v>
      </c>
      <c r="S34" s="1308">
        <f t="shared" si="9"/>
        <v>100</v>
      </c>
      <c r="T34" s="1307" t="s">
        <v>5</v>
      </c>
      <c r="U34" s="1308">
        <f t="shared" si="10"/>
        <v>100</v>
      </c>
      <c r="V34" s="1307" t="s">
        <v>5</v>
      </c>
      <c r="W34" s="1308">
        <f t="shared" si="11"/>
        <v>100</v>
      </c>
      <c r="X34" s="1302"/>
      <c r="Y34" s="3636"/>
      <c r="Z34" s="1309">
        <f t="shared" si="12"/>
        <v>111</v>
      </c>
      <c r="AA34" s="1309">
        <f t="shared" si="3"/>
        <v>1</v>
      </c>
      <c r="AB34" s="1309">
        <f t="shared" si="4"/>
        <v>1</v>
      </c>
      <c r="AC34" s="1309">
        <f t="shared" si="5"/>
        <v>1</v>
      </c>
    </row>
    <row r="35" spans="1:29" s="1133" customFormat="1" ht="15" hidden="1">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36"/>
      <c r="Q35" s="818">
        <f t="shared" si="8"/>
        <v>111</v>
      </c>
      <c r="R35" s="1310" t="s">
        <v>5</v>
      </c>
      <c r="S35" s="1311">
        <f t="shared" si="9"/>
        <v>100</v>
      </c>
      <c r="T35" s="1310" t="s">
        <v>5</v>
      </c>
      <c r="U35" s="1311">
        <f t="shared" si="10"/>
        <v>100</v>
      </c>
      <c r="V35" s="1310" t="s">
        <v>5</v>
      </c>
      <c r="W35" s="1311">
        <f t="shared" si="11"/>
        <v>100</v>
      </c>
      <c r="X35" s="1312"/>
      <c r="Y35" s="3636"/>
      <c r="Z35" s="1313">
        <f t="shared" si="12"/>
        <v>111</v>
      </c>
      <c r="AA35" s="1309">
        <f t="shared" si="3"/>
        <v>1</v>
      </c>
      <c r="AB35" s="1309">
        <f t="shared" si="4"/>
        <v>1</v>
      </c>
      <c r="AC35" s="1309">
        <f t="shared" si="5"/>
        <v>1</v>
      </c>
    </row>
    <row r="36" spans="1:29" ht="15.75" hidden="1"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36"/>
      <c r="Q36" s="1306">
        <f t="shared" si="8"/>
        <v>111</v>
      </c>
      <c r="R36" s="1307" t="s">
        <v>5</v>
      </c>
      <c r="S36" s="1308">
        <f t="shared" si="9"/>
        <v>100</v>
      </c>
      <c r="T36" s="1307" t="s">
        <v>5</v>
      </c>
      <c r="U36" s="1308">
        <f t="shared" si="10"/>
        <v>100</v>
      </c>
      <c r="V36" s="1307" t="s">
        <v>5</v>
      </c>
      <c r="W36" s="1308">
        <f t="shared" si="11"/>
        <v>100</v>
      </c>
      <c r="X36" s="1302"/>
      <c r="Y36" s="3636"/>
      <c r="Z36" s="1309">
        <f t="shared" si="12"/>
        <v>111</v>
      </c>
      <c r="AA36" s="1309">
        <f t="shared" si="3"/>
        <v>1</v>
      </c>
      <c r="AB36" s="1309">
        <f t="shared" si="4"/>
        <v>1</v>
      </c>
      <c r="AC36" s="1309">
        <f t="shared" si="5"/>
        <v>1</v>
      </c>
    </row>
    <row r="37" spans="1:29" ht="15">
      <c r="A37" s="1535" t="s">
        <v>1593</v>
      </c>
      <c r="B37" s="1536" t="s">
        <v>4105</v>
      </c>
      <c r="C37" s="2081" t="s">
        <v>0</v>
      </c>
      <c r="D37" s="559"/>
      <c r="E37" s="560">
        <f>案例!E6*10000</f>
        <v>134300</v>
      </c>
      <c r="F37" s="561"/>
      <c r="G37" s="562">
        <f>案例!E7*10000</f>
        <v>121700</v>
      </c>
      <c r="H37" s="563"/>
      <c r="I37" s="560">
        <f>案例!E8*10000</f>
        <v>147500</v>
      </c>
      <c r="J37" s="563"/>
      <c r="K37" s="1335"/>
      <c r="L37" s="1751"/>
      <c r="M37" s="1742"/>
      <c r="N37" s="1742"/>
      <c r="O37" s="1742"/>
      <c r="P37" s="3599" t="str">
        <f>A37</f>
        <v>成交单价</v>
      </c>
      <c r="Q37" s="3599"/>
      <c r="R37" s="3600">
        <f>E37</f>
        <v>134300</v>
      </c>
      <c r="S37" s="3600"/>
      <c r="T37" s="3600">
        <f>G37</f>
        <v>121700</v>
      </c>
      <c r="U37" s="3600"/>
      <c r="V37" s="3600">
        <f>I37</f>
        <v>147500</v>
      </c>
      <c r="W37" s="3600"/>
      <c r="X37" s="799"/>
      <c r="Y37" s="1314"/>
      <c r="Z37" s="799"/>
      <c r="AA37" s="799"/>
      <c r="AB37" s="799"/>
      <c r="AC37" s="799"/>
    </row>
    <row r="38" spans="1:29" ht="15.75" thickBot="1">
      <c r="A38" s="564" t="s">
        <v>2040</v>
      </c>
      <c r="B38" s="812"/>
      <c r="C38" s="2082">
        <f>R39</f>
        <v>130544</v>
      </c>
      <c r="D38" s="2549" t="s">
        <v>2254</v>
      </c>
      <c r="E38" s="2083">
        <f>R38</f>
        <v>130350</v>
      </c>
      <c r="F38" s="2550"/>
      <c r="G38" s="2082">
        <f>T38</f>
        <v>118121</v>
      </c>
      <c r="H38" s="2550"/>
      <c r="I38" s="2083">
        <f>V38</f>
        <v>143162</v>
      </c>
      <c r="J38" s="2550"/>
      <c r="K38" s="2557">
        <f>F38+H38+J38</f>
        <v>0</v>
      </c>
      <c r="L38" s="1751"/>
      <c r="M38" s="1742"/>
      <c r="N38" s="1742"/>
      <c r="O38" s="1742"/>
      <c r="P38" s="3599" t="str">
        <f>A38</f>
        <v>比较价格（元/平方米）</v>
      </c>
      <c r="Q38" s="3599"/>
      <c r="R38" s="3600">
        <f>IF(F1="售价",ROUND(PRODUCT(R37,AA7:AA36),0),ROUND(PRODUCT(R37,AA7:AA36),1))</f>
        <v>130350</v>
      </c>
      <c r="S38" s="3600"/>
      <c r="T38" s="3600">
        <f>IF(F1="售价",ROUND(PRODUCT(T37,AB7:AB36),0),ROUND(PRODUCT(T37,AB7:AB36),1))</f>
        <v>118121</v>
      </c>
      <c r="U38" s="3600"/>
      <c r="V38" s="3600">
        <f>IF(F1="售价",ROUND(PRODUCT(V37,AC7:AC36),0),ROUND(PRODUCT(V37,AC7:AC36),1))</f>
        <v>143162</v>
      </c>
      <c r="W38" s="3600"/>
      <c r="X38" s="799"/>
      <c r="Y38" s="799"/>
      <c r="Z38" s="799"/>
      <c r="AA38" s="799"/>
      <c r="AB38" s="799"/>
      <c r="AC38" s="799"/>
    </row>
    <row r="39" spans="1:29" ht="15.75" thickBot="1">
      <c r="A39" s="568" t="s">
        <v>2191</v>
      </c>
      <c r="B39" s="569"/>
      <c r="C39" s="469">
        <f>R39</f>
        <v>130544</v>
      </c>
      <c r="D39" s="469"/>
      <c r="E39" s="469"/>
      <c r="F39" s="469"/>
      <c r="G39" s="469"/>
      <c r="H39" s="469"/>
      <c r="I39" s="469"/>
      <c r="J39" s="469"/>
      <c r="K39" s="1336"/>
      <c r="L39" s="1751"/>
      <c r="M39" s="1742"/>
      <c r="N39" s="1742"/>
      <c r="O39" s="1742"/>
      <c r="P39" s="3637" t="str">
        <f>A39</f>
        <v>估价对象XX用房的比较价格（楼面单价，元/平方米）</v>
      </c>
      <c r="Q39" s="3638"/>
      <c r="R39" s="3654">
        <f>IF(F1="售价",ROUND(IF(D38="简单平均",AVERAGE(R38:W38),R38*F38+T38*H38+V38*J38),0),ROUND(IF(D38="简单平均",AVERAGE(R38:V38),R38*F38+T38*H38+V38*J38),1))</f>
        <v>130544</v>
      </c>
      <c r="S39" s="3654"/>
      <c r="T39" s="3654"/>
      <c r="U39" s="3654"/>
      <c r="V39" s="3654"/>
      <c r="W39" s="3654"/>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3.0303030303030276E-2</v>
      </c>
      <c r="F42" s="574" t="str">
        <f>IF(OR(E42&gt;=0.3,E42&lt;=-0.3),"超过30%","")</f>
        <v/>
      </c>
      <c r="G42" s="573">
        <f>IF(G37&lt;G38,G38/G37-1,G37/G38-1)</f>
        <v>3.0299438711152149E-2</v>
      </c>
      <c r="H42" s="574" t="str">
        <f>IF(OR(G42&gt;=0.3,G42&lt;=-0.3),"超过30%","")</f>
        <v/>
      </c>
      <c r="I42" s="573">
        <f>IF(I37&lt;I38,I38/I37-1,I37/I38-1)</f>
        <v>3.0301336946955137E-2</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0.10352943168445905</v>
      </c>
      <c r="F43" s="574" t="str">
        <f>IF(OR(E43&gt;=0.2,E43&lt;=-0.2),"超过20%","")</f>
        <v/>
      </c>
      <c r="G43" s="573">
        <f>IF(G38&lt;I38,I38/G38-1,G38/I38-1)</f>
        <v>0.2119944802363678</v>
      </c>
      <c r="H43" s="574" t="str">
        <f>IF(OR(G43&gt;=0.2,G43&lt;=-0.2),"超过20%","")</f>
        <v>超过20%</v>
      </c>
      <c r="I43" s="573">
        <f>IF(I38&lt;E38,E38/I38-1,I38/E38-1)</f>
        <v>9.8289221327195975E-2</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19"/>
      <c r="B44" s="2719"/>
      <c r="C44" s="571" t="s">
        <v>508</v>
      </c>
      <c r="D44" s="575"/>
      <c r="E44" s="573">
        <f>IF(E37&lt;G37,G37/E37-1,E37/G37-1)</f>
        <v>0.10353327855382077</v>
      </c>
      <c r="F44" s="574" t="str">
        <f>IF(OR(E44&gt;=0.3,E44&lt;=-0.3),"超过30%","")</f>
        <v/>
      </c>
      <c r="G44" s="573">
        <f>IF(G37&lt;I37,I37/G37-1,G37/I37-1)</f>
        <v>0.21199671322925218</v>
      </c>
      <c r="H44" s="574" t="str">
        <f>IF(OR(G44&gt;=0.3,G44&lt;=-0.3),"超过30%","")</f>
        <v/>
      </c>
      <c r="I44" s="573">
        <f>IF(I37&lt;E37,E37/I37-1,I37/E37-1)</f>
        <v>9.8287416232315739E-2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2024-11</v>
      </c>
      <c r="D48" s="2115">
        <f>EDATE(C48,-1)</f>
        <v>45566</v>
      </c>
      <c r="E48" s="2115">
        <f t="shared" ref="E48:O48" si="13">EDATE(D48,-1)</f>
        <v>45536</v>
      </c>
      <c r="F48" s="2115">
        <f t="shared" si="13"/>
        <v>45505</v>
      </c>
      <c r="G48" s="2115">
        <f t="shared" si="13"/>
        <v>45474</v>
      </c>
      <c r="H48" s="2115">
        <f t="shared" si="13"/>
        <v>45444</v>
      </c>
      <c r="I48" s="2115">
        <f t="shared" si="13"/>
        <v>45413</v>
      </c>
      <c r="J48" s="2115">
        <f t="shared" si="13"/>
        <v>45383</v>
      </c>
      <c r="K48" s="2115">
        <f t="shared" si="13"/>
        <v>45352</v>
      </c>
      <c r="L48" s="2115">
        <f t="shared" si="13"/>
        <v>45323</v>
      </c>
      <c r="M48" s="2115">
        <f t="shared" si="13"/>
        <v>45292</v>
      </c>
      <c r="N48" s="2115">
        <f t="shared" si="13"/>
        <v>45261</v>
      </c>
      <c r="O48" s="2115">
        <f t="shared" si="13"/>
        <v>45231</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车位</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99</v>
      </c>
      <c r="E64" s="621">
        <f>D64-$K14</f>
        <v>98</v>
      </c>
      <c r="F64" s="621">
        <f>E64-$K14</f>
        <v>97</v>
      </c>
      <c r="G64" s="621">
        <f>F64-$K14</f>
        <v>96</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1838</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99</v>
      </c>
      <c r="E66" s="621">
        <f>D66-$K16</f>
        <v>98</v>
      </c>
      <c r="F66" s="621">
        <f>E66-$K16</f>
        <v>97</v>
      </c>
      <c r="G66" s="621">
        <f>F66-$K16</f>
        <v>96</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1839</v>
      </c>
      <c r="C67" s="2057" t="s">
        <v>1840</v>
      </c>
      <c r="D67" s="2057" t="s">
        <v>1841</v>
      </c>
      <c r="E67" s="2057" t="s">
        <v>1842</v>
      </c>
      <c r="F67" s="2057" t="s">
        <v>1843</v>
      </c>
      <c r="G67" s="2057" t="s">
        <v>1844</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99</v>
      </c>
      <c r="E70" s="621">
        <f>D70-$K20</f>
        <v>98</v>
      </c>
      <c r="F70" s="621">
        <f>E70-$K20</f>
        <v>97</v>
      </c>
      <c r="G70" s="621">
        <f>F70-$K20</f>
        <v>96</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住宅</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95</v>
      </c>
      <c r="E80" s="621">
        <f t="shared" si="14"/>
        <v>90</v>
      </c>
      <c r="F80" s="621">
        <f t="shared" si="14"/>
        <v>85</v>
      </c>
      <c r="G80" s="621">
        <f t="shared" si="14"/>
        <v>80</v>
      </c>
      <c r="H80" s="621">
        <f t="shared" si="14"/>
        <v>75</v>
      </c>
      <c r="I80" s="621">
        <f t="shared" si="14"/>
        <v>70</v>
      </c>
      <c r="J80" s="621">
        <f t="shared" si="14"/>
        <v>65</v>
      </c>
      <c r="K80" s="621">
        <f t="shared" si="14"/>
        <v>60</v>
      </c>
      <c r="L80" s="621">
        <f t="shared" si="14"/>
        <v>55</v>
      </c>
      <c r="M80" s="622">
        <f t="shared" si="14"/>
        <v>50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2" t="s">
        <v>4101</v>
      </c>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99</v>
      </c>
      <c r="E84" s="621">
        <f t="shared" si="15"/>
        <v>98</v>
      </c>
      <c r="F84" s="621">
        <f t="shared" si="15"/>
        <v>97</v>
      </c>
      <c r="G84" s="621">
        <f t="shared" si="15"/>
        <v>96</v>
      </c>
      <c r="H84" s="621">
        <f t="shared" si="15"/>
        <v>95</v>
      </c>
      <c r="I84" s="621">
        <f t="shared" si="15"/>
        <v>94</v>
      </c>
      <c r="J84" s="621">
        <f t="shared" si="15"/>
        <v>93</v>
      </c>
      <c r="K84" s="621">
        <f t="shared" si="15"/>
        <v>92</v>
      </c>
      <c r="L84" s="621">
        <f t="shared" si="15"/>
        <v>91</v>
      </c>
      <c r="M84" s="622">
        <f t="shared" si="15"/>
        <v>90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0" t="s">
        <v>4102</v>
      </c>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101</v>
      </c>
      <c r="E89" s="621">
        <f t="shared" si="17"/>
        <v>102</v>
      </c>
      <c r="F89" s="621">
        <f t="shared" si="17"/>
        <v>103</v>
      </c>
      <c r="G89" s="621">
        <f t="shared" si="17"/>
        <v>104</v>
      </c>
      <c r="H89" s="621">
        <f t="shared" si="17"/>
        <v>105</v>
      </c>
      <c r="I89" s="621">
        <f t="shared" si="17"/>
        <v>106</v>
      </c>
      <c r="J89" s="621">
        <f t="shared" si="17"/>
        <v>107</v>
      </c>
      <c r="K89" s="621">
        <f t="shared" si="17"/>
        <v>108</v>
      </c>
      <c r="L89" s="621">
        <f t="shared" si="17"/>
        <v>109</v>
      </c>
      <c r="M89" s="621">
        <f t="shared" si="17"/>
        <v>110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0(含)-50</v>
      </c>
      <c r="D90" s="649" t="str">
        <f t="shared" ref="D90:L90" si="18">D91&amp;"(含)"&amp;"-"&amp;E91</f>
        <v>50(含)-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v>0</v>
      </c>
      <c r="D91" s="79">
        <v>50</v>
      </c>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v>100</v>
      </c>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2" t="s">
        <v>4103</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99</v>
      </c>
      <c r="E94" s="621">
        <f t="shared" si="19"/>
        <v>98</v>
      </c>
      <c r="F94" s="621">
        <f t="shared" si="19"/>
        <v>97</v>
      </c>
      <c r="G94" s="621">
        <f t="shared" si="19"/>
        <v>96</v>
      </c>
      <c r="H94" s="621">
        <f t="shared" si="19"/>
        <v>95</v>
      </c>
      <c r="I94" s="621">
        <f t="shared" si="19"/>
        <v>94</v>
      </c>
      <c r="J94" s="621">
        <f t="shared" si="19"/>
        <v>93</v>
      </c>
      <c r="K94" s="621">
        <f t="shared" si="19"/>
        <v>92</v>
      </c>
      <c r="L94" s="621">
        <f t="shared" si="19"/>
        <v>91</v>
      </c>
      <c r="M94" s="622">
        <f t="shared" si="19"/>
        <v>90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0" t="s">
        <v>4104</v>
      </c>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99</v>
      </c>
      <c r="E96" s="621">
        <f>D96-$K33</f>
        <v>98</v>
      </c>
      <c r="F96" s="621">
        <f>E96-$K33</f>
        <v>97</v>
      </c>
      <c r="G96" s="621">
        <f>F96-$K33</f>
        <v>96</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108" priority="13" stopIfTrue="1">
      <formula>$F$42="超过30%"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F7:F36 H7:H36 J7:J36">
    <cfRule type="cellIs" dxfId="105" priority="1" operator="notEqual">
      <formula>100</formula>
    </cfRule>
  </conditionalFormatting>
  <conditionalFormatting sqref="F38">
    <cfRule type="expression" dxfId="104" priority="4">
      <formula>$D$38="简单平均"</formula>
    </cfRule>
  </conditionalFormatting>
  <conditionalFormatting sqref="F42:F44 H42:H44 J42:J44">
    <cfRule type="containsText" dxfId="103" priority="14" stopIfTrue="1" operator="containsText" text="超过">
      <formula>NOT(ISERROR(SEARCH("超过",F42)))</formula>
    </cfRule>
  </conditionalFormatting>
  <conditionalFormatting sqref="G42">
    <cfRule type="expression" dxfId="102" priority="9" stopIfTrue="1">
      <formula>$H$52+$H$42="超过30%"</formula>
    </cfRule>
  </conditionalFormatting>
  <conditionalFormatting sqref="G43">
    <cfRule type="expression" dxfId="101" priority="8" stopIfTrue="1">
      <formula>$H$43="超过20%"</formula>
    </cfRule>
  </conditionalFormatting>
  <conditionalFormatting sqref="G44">
    <cfRule type="expression" dxfId="100" priority="12" stopIfTrue="1">
      <formula>$H$54+$H$44="超过30%"</formula>
    </cfRule>
  </conditionalFormatting>
  <conditionalFormatting sqref="H38">
    <cfRule type="expression" dxfId="99" priority="3">
      <formula>$D$38="简单平均"</formula>
    </cfRule>
  </conditionalFormatting>
  <conditionalFormatting sqref="I42">
    <cfRule type="expression" dxfId="98" priority="7" stopIfTrue="1">
      <formula>$J$52+$J$42="超过30%"</formula>
    </cfRule>
  </conditionalFormatting>
  <conditionalFormatting sqref="I43">
    <cfRule type="expression" dxfId="97" priority="6" stopIfTrue="1">
      <formula>$J$53+$J$43="超过20%"</formula>
    </cfRule>
  </conditionalFormatting>
  <conditionalFormatting sqref="I44">
    <cfRule type="expression" dxfId="96" priority="5" stopIfTrue="1">
      <formula>$J$44="超过30%"</formula>
    </cfRule>
  </conditionalFormatting>
  <conditionalFormatting sqref="J38">
    <cfRule type="expression" dxfId="95" priority="2">
      <formula>$D$38="简单平均"</formula>
    </cfRule>
  </conditionalFormatting>
  <dataValidations count="17">
    <dataValidation type="list" allowBlank="1" showInputMessage="1" showErrorMessage="1" sqref="D1" xr:uid="{00000000-0002-0000-1B00-000000000000}">
      <formula1>项目类型</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D38" xr:uid="{00000000-0002-0000-1B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G76"/>
  <sheetViews>
    <sheetView tabSelected="1" view="pageBreakPreview" topLeftCell="A25" zoomScale="80" zoomScaleNormal="60" zoomScaleSheetLayoutView="80" workbookViewId="0">
      <selection activeCell="C12" sqref="C12"/>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4091</v>
      </c>
      <c r="D1" s="2362" t="s">
        <v>4081</v>
      </c>
      <c r="E1" s="1947" t="s">
        <v>808</v>
      </c>
      <c r="F1" s="1948">
        <f ca="1">J53</f>
        <v>47.08</v>
      </c>
      <c r="G1" s="2757">
        <f>MATCH(C1,'数据-取费表'!A6:A16,0)+5</f>
        <v>10</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427</v>
      </c>
      <c r="B2" s="710">
        <f ca="1">C40+J29+L46</f>
        <v>2767</v>
      </c>
      <c r="C2" s="2762"/>
      <c r="D2" s="2761"/>
      <c r="E2" s="2763"/>
      <c r="F2" s="2763"/>
      <c r="G2" s="2758"/>
      <c r="H2" s="1670"/>
      <c r="I2" s="1670"/>
      <c r="J2" s="1670"/>
      <c r="K2" s="1671"/>
      <c r="L2" s="1670"/>
      <c r="M2" s="1670"/>
    </row>
    <row r="3" spans="1:33" ht="18" customHeight="1" thickBot="1">
      <c r="A3" s="767" t="s">
        <v>735</v>
      </c>
      <c r="B3" s="768">
        <f ca="1">IF(ISERROR(B2*10000/F43),0,ROUND(B2*10000/F43,0))</f>
        <v>6148</v>
      </c>
      <c r="C3" s="2762"/>
      <c r="D3" s="2761"/>
      <c r="E3" s="2763"/>
      <c r="F3" s="2763"/>
      <c r="G3" s="2758"/>
      <c r="H3" s="711" t="s">
        <v>642</v>
      </c>
      <c r="I3" s="1156"/>
      <c r="J3" s="1156"/>
      <c r="K3" s="1324"/>
      <c r="L3" s="1156"/>
      <c r="M3" s="1156"/>
    </row>
    <row r="4" spans="1:33" ht="18" customHeight="1">
      <c r="A4" s="712" t="s">
        <v>578</v>
      </c>
      <c r="B4" s="713" t="s">
        <v>579</v>
      </c>
      <c r="C4" s="713" t="s">
        <v>1259</v>
      </c>
      <c r="D4" s="713" t="s">
        <v>581</v>
      </c>
      <c r="E4" s="714" t="s">
        <v>1260</v>
      </c>
      <c r="F4" s="715"/>
      <c r="G4" s="1668"/>
      <c r="H4" s="712" t="s">
        <v>578</v>
      </c>
      <c r="I4" s="713" t="s">
        <v>579</v>
      </c>
      <c r="J4" s="713" t="s">
        <v>1259</v>
      </c>
      <c r="K4" s="713" t="s">
        <v>581</v>
      </c>
      <c r="L4" s="714" t="s">
        <v>1260</v>
      </c>
      <c r="M4" s="715"/>
    </row>
    <row r="5" spans="1:33" ht="18" customHeight="1">
      <c r="A5" s="716">
        <v>1</v>
      </c>
      <c r="B5" s="717" t="s">
        <v>1800</v>
      </c>
      <c r="C5" s="51">
        <f ca="1">C6+C10+C12</f>
        <v>134.5</v>
      </c>
      <c r="D5" s="2001" t="s">
        <v>1803</v>
      </c>
      <c r="E5" s="1995"/>
      <c r="F5" s="1996"/>
      <c r="G5" s="1668"/>
      <c r="H5" s="716">
        <v>1</v>
      </c>
      <c r="I5" s="717" t="s">
        <v>1800</v>
      </c>
      <c r="J5" s="51">
        <f ca="1">J6+J10+J12</f>
        <v>0</v>
      </c>
      <c r="K5" s="2001" t="s">
        <v>1803</v>
      </c>
      <c r="L5" s="1995"/>
      <c r="M5" s="1996"/>
    </row>
    <row r="6" spans="1:33" ht="18" customHeight="1">
      <c r="A6" s="1521" t="s">
        <v>1353</v>
      </c>
      <c r="B6" s="3675" t="s">
        <v>1805</v>
      </c>
      <c r="C6" s="718">
        <f ca="1">ROUND(F6*F8*F7*(1-F9)/10000,0)</f>
        <v>71</v>
      </c>
      <c r="D6" s="2002" t="s">
        <v>1804</v>
      </c>
      <c r="E6" s="719" t="s">
        <v>585</v>
      </c>
      <c r="F6" s="720">
        <f ca="1">INDIRECT("'数据-取费表'!u"&amp;$G$1)</f>
        <v>280</v>
      </c>
      <c r="G6" s="1668"/>
      <c r="H6" s="2009" t="s">
        <v>1353</v>
      </c>
      <c r="I6" s="3675" t="s">
        <v>1805</v>
      </c>
      <c r="J6" s="718">
        <f ca="1">ROUND(M6*M8*M7*(1-M9)/10000,0)</f>
        <v>0</v>
      </c>
      <c r="K6" s="315" t="s">
        <v>1266</v>
      </c>
      <c r="L6" s="719" t="s">
        <v>585</v>
      </c>
      <c r="M6" s="720">
        <f ca="1">INDIRECT("'数据-取费表'!z"&amp;$G$1)</f>
        <v>0</v>
      </c>
    </row>
    <row r="7" spans="1:33" ht="18" customHeight="1">
      <c r="A7" s="2005"/>
      <c r="B7" s="3676"/>
      <c r="C7" s="723"/>
      <c r="D7" s="724"/>
      <c r="E7" s="719" t="s">
        <v>586</v>
      </c>
      <c r="F7" s="720">
        <f ca="1">IF(INDIRECT("'数据-取费表'!ah"&amp;$G$1)="",INDIRECT("'数据-取费表'!k"&amp;$G$1),INDIRECT("'数据-取费表'!ah"&amp;$G$1))</f>
        <v>236</v>
      </c>
      <c r="G7" s="1668"/>
      <c r="H7" s="1994"/>
      <c r="I7" s="3676"/>
      <c r="J7" s="723"/>
      <c r="K7" s="724"/>
      <c r="L7" s="719" t="s">
        <v>586</v>
      </c>
      <c r="M7" s="720">
        <f ca="1">F7</f>
        <v>236</v>
      </c>
    </row>
    <row r="8" spans="1:33" ht="18" customHeight="1">
      <c r="A8" s="1998"/>
      <c r="B8" s="3677"/>
      <c r="C8" s="723"/>
      <c r="D8" s="724"/>
      <c r="E8" s="719" t="s">
        <v>587</v>
      </c>
      <c r="F8" s="720">
        <f ca="1">INDIRECT("'数据-取费表'!ai"&amp;$G$1)</f>
        <v>12</v>
      </c>
      <c r="G8" s="1668"/>
      <c r="H8" s="1994"/>
      <c r="I8" s="3677"/>
      <c r="J8" s="723"/>
      <c r="K8" s="724"/>
      <c r="L8" s="719" t="s">
        <v>587</v>
      </c>
      <c r="M8" s="720">
        <f ca="1">INDIRECT("'数据-取费表'!ai"&amp;$G$1)</f>
        <v>12</v>
      </c>
    </row>
    <row r="9" spans="1:33" ht="18" customHeight="1">
      <c r="A9" s="721"/>
      <c r="B9" s="3678"/>
      <c r="C9" s="723"/>
      <c r="D9" s="724"/>
      <c r="E9" s="719" t="s">
        <v>588</v>
      </c>
      <c r="F9" s="729">
        <f ca="1">INDIRECT("'数据-取费表'!w"&amp;$G$1)</f>
        <v>0.1</v>
      </c>
      <c r="G9" s="1668"/>
      <c r="H9" s="2010"/>
      <c r="I9" s="3677"/>
      <c r="J9" s="723"/>
      <c r="K9" s="724"/>
      <c r="L9" s="730" t="s">
        <v>588</v>
      </c>
      <c r="M9" s="731">
        <f ca="1">INDIRECT("'数据-取费表'!ab"&amp;$G$1)</f>
        <v>0</v>
      </c>
    </row>
    <row r="10" spans="1:33" ht="18" customHeight="1">
      <c r="A10" s="1521" t="s">
        <v>1354</v>
      </c>
      <c r="B10" s="1999" t="s">
        <v>1801</v>
      </c>
      <c r="C10" s="734">
        <f ca="1">ROUND(IF(F10="押一",C6/12*F11,IF(F10="押二",C6/12*2*F11,IF(F10="押三",C6/12*3*F11,C11*F11))),0)</f>
        <v>0</v>
      </c>
      <c r="D10" s="2006" t="s">
        <v>2225</v>
      </c>
      <c r="E10" s="2003" t="s">
        <v>1806</v>
      </c>
      <c r="F10" s="2076" t="s">
        <v>4093</v>
      </c>
      <c r="G10" s="1668"/>
      <c r="H10" s="2037" t="s">
        <v>1354</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1799</v>
      </c>
      <c r="F11" s="731">
        <f ca="1">'数据-取费表'!B39</f>
        <v>1.4999999999999999E-2</v>
      </c>
      <c r="G11" s="1668"/>
      <c r="H11" s="2038"/>
      <c r="I11" s="2000" t="s">
        <v>1854</v>
      </c>
      <c r="J11" s="2004"/>
      <c r="K11" s="287"/>
      <c r="L11" s="2003" t="s">
        <v>1799</v>
      </c>
      <c r="M11" s="1997">
        <f ca="1">'数据-取费表'!B39</f>
        <v>1.4999999999999999E-2</v>
      </c>
    </row>
    <row r="12" spans="1:33" ht="18" customHeight="1" thickBot="1">
      <c r="A12" s="2013" t="s">
        <v>1809</v>
      </c>
      <c r="B12" s="2014" t="s">
        <v>1802</v>
      </c>
      <c r="C12" s="2015">
        <f ca="1">ROUND('数据-取费表'!AH21*'数据-取费表'!U9*'不动产收益法-机械车位'!F8*(1-'不动产收益法-机械车位'!F9)/10000,2)</f>
        <v>63.5</v>
      </c>
      <c r="D12" s="2016"/>
      <c r="E12" s="2017"/>
      <c r="F12" s="2018"/>
      <c r="G12" s="1668"/>
      <c r="H12" s="2027" t="s">
        <v>1809</v>
      </c>
      <c r="I12" s="2039" t="s">
        <v>1802</v>
      </c>
      <c r="J12" s="2040"/>
      <c r="K12" s="2016"/>
      <c r="L12" s="2017"/>
      <c r="M12" s="2030"/>
    </row>
    <row r="13" spans="1:33" ht="18" customHeight="1" thickTop="1">
      <c r="A13" s="1520">
        <v>2</v>
      </c>
      <c r="B13" s="1518" t="s">
        <v>592</v>
      </c>
      <c r="C13" s="727">
        <f ca="1">ROUND(C29*F13,0)</f>
        <v>3145</v>
      </c>
      <c r="D13" s="1525" t="s">
        <v>1652</v>
      </c>
      <c r="E13" s="1525" t="s">
        <v>591</v>
      </c>
      <c r="F13" s="2012">
        <f ca="1">INDIRECT("'数据-取费表'!y"&amp;$G$1)</f>
        <v>1</v>
      </c>
      <c r="G13" s="1668"/>
      <c r="H13" s="1520">
        <v>2</v>
      </c>
      <c r="I13" s="1518" t="s">
        <v>592</v>
      </c>
      <c r="J13" s="1512">
        <f ca="1">ROUND(J14*J15,0)</f>
        <v>0</v>
      </c>
      <c r="K13" s="1514" t="s">
        <v>1272</v>
      </c>
      <c r="L13" s="2028"/>
      <c r="M13" s="2029"/>
    </row>
    <row r="14" spans="1:33" ht="18" customHeight="1">
      <c r="A14" s="1368" t="s">
        <v>1360</v>
      </c>
      <c r="B14" s="719" t="s">
        <v>593</v>
      </c>
      <c r="C14" s="739">
        <f ca="1">INDIRECT("'数据-取费表'!m"&amp;$G$1)+INDIRECT("'数据-取费表'!t"&amp;$G$1)</f>
        <v>2350</v>
      </c>
      <c r="D14" s="905" t="s">
        <v>1274</v>
      </c>
      <c r="E14" s="904"/>
      <c r="F14" s="740"/>
      <c r="G14" s="1668"/>
      <c r="H14" s="1369" t="s">
        <v>1353</v>
      </c>
      <c r="I14" s="1825" t="s">
        <v>2100</v>
      </c>
      <c r="J14" s="49">
        <f ca="1">C29</f>
        <v>3145</v>
      </c>
      <c r="K14" s="22"/>
      <c r="L14" s="736"/>
      <c r="M14" s="737"/>
    </row>
    <row r="15" spans="1:33" s="1676" customFormat="1" ht="18" customHeight="1" thickBot="1">
      <c r="A15" s="1368" t="s">
        <v>1361</v>
      </c>
      <c r="B15" s="719" t="s">
        <v>595</v>
      </c>
      <c r="C15" s="49">
        <f ca="1">ROUND(C14*F15,0)</f>
        <v>118</v>
      </c>
      <c r="D15" s="741" t="s">
        <v>596</v>
      </c>
      <c r="E15" s="741" t="s">
        <v>597</v>
      </c>
      <c r="F15" s="742">
        <f>'数据-取费表'!B33</f>
        <v>0.05</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9" t="s">
        <v>598</v>
      </c>
      <c r="C16" s="49">
        <f ca="1">ROUND(INDIRECT("'数据-取费表'!m"&amp;$G$1)*F16,0)</f>
        <v>0</v>
      </c>
      <c r="D16" s="719" t="s">
        <v>596</v>
      </c>
      <c r="E16" s="719" t="s">
        <v>597</v>
      </c>
      <c r="F16" s="744">
        <f ca="1">IF(INDIRECT("'数据-取费表'!c"&amp;$G$1)="住宅",'数据-取费表'!B34,0)</f>
        <v>0</v>
      </c>
      <c r="G16" s="1668"/>
      <c r="H16" s="1520" t="s">
        <v>1277</v>
      </c>
      <c r="I16" s="1518" t="s">
        <v>1278</v>
      </c>
      <c r="J16" s="727">
        <f ca="1">ROUND(J17+J22+J23+J24,0)</f>
        <v>7</v>
      </c>
      <c r="K16" s="1514" t="s">
        <v>600</v>
      </c>
      <c r="L16" s="908"/>
      <c r="M16" s="1996"/>
    </row>
    <row r="17" spans="1:33" s="1676" customFormat="1" ht="18" customHeight="1">
      <c r="A17" s="1368" t="s">
        <v>1412</v>
      </c>
      <c r="B17" s="719" t="s">
        <v>601</v>
      </c>
      <c r="C17" s="49">
        <f ca="1">ROUND(F17*(F43+INDIRECT("'数据-取费表'!S"&amp;$G$1))/10000,0)</f>
        <v>95</v>
      </c>
      <c r="D17" s="719" t="s">
        <v>602</v>
      </c>
      <c r="E17" s="719" t="s">
        <v>603</v>
      </c>
      <c r="F17" s="52">
        <f>'数据-取费表'!B35</f>
        <v>200</v>
      </c>
      <c r="G17" s="2759"/>
      <c r="H17" s="1369" t="s">
        <v>1353</v>
      </c>
      <c r="I17" s="719" t="s">
        <v>604</v>
      </c>
      <c r="J17" s="2554">
        <f ca="1">ROUND(IF(AND(项目基本情况!B11="自然人",项目基本情况!B10="北京市"),J6*M17/(1+'数据-取费表'!C42),J18+J19+J20),2)</f>
        <v>0.24</v>
      </c>
      <c r="K17" s="905" t="s">
        <v>605</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47</v>
      </c>
      <c r="D18" s="719" t="s">
        <v>596</v>
      </c>
      <c r="E18" s="719" t="s">
        <v>597</v>
      </c>
      <c r="F18" s="744">
        <f>'数据-取费表'!B36</f>
        <v>0.02</v>
      </c>
      <c r="G18" s="2759"/>
      <c r="H18" s="1368" t="s">
        <v>1360</v>
      </c>
      <c r="I18" s="719" t="s">
        <v>608</v>
      </c>
      <c r="J18" s="49">
        <f ca="1">ROUND(J6*M18/(1+'数据-取费表'!C42),2)</f>
        <v>0</v>
      </c>
      <c r="K18" s="906" t="s">
        <v>609</v>
      </c>
      <c r="L18" s="719" t="s">
        <v>597</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9" t="s">
        <v>610</v>
      </c>
      <c r="C19" s="49">
        <f ca="1">SUM(C14:C18)</f>
        <v>2610</v>
      </c>
      <c r="D19" s="241" t="s">
        <v>611</v>
      </c>
      <c r="E19" s="914"/>
      <c r="F19" s="52"/>
      <c r="G19" s="1668"/>
      <c r="H19" s="1368" t="s">
        <v>1361</v>
      </c>
      <c r="I19" s="719" t="s">
        <v>612</v>
      </c>
      <c r="J19" s="49">
        <f ca="1">IF(K19="按租金收入计税",ROUND(J6*M19/(1+'数据-取费表'!C42),1),ROUND(C29*F33*0.7,2))</f>
        <v>0</v>
      </c>
      <c r="K19" s="745" t="s">
        <v>3237</v>
      </c>
      <c r="L19" s="719" t="s">
        <v>597</v>
      </c>
      <c r="M19" s="744">
        <f>IF(K19="按租金收入计税",'数据-取费表'!B51,'数据-取费表'!B50)</f>
        <v>0.12</v>
      </c>
    </row>
    <row r="20" spans="1:33" s="1676" customFormat="1" ht="18" customHeight="1">
      <c r="A20" s="1369" t="s">
        <v>1414</v>
      </c>
      <c r="B20" s="719" t="s">
        <v>613</v>
      </c>
      <c r="C20" s="49">
        <f ca="1">ROUND(C19*F20,0)</f>
        <v>52</v>
      </c>
      <c r="D20" s="746" t="s">
        <v>614</v>
      </c>
      <c r="E20" s="719" t="s">
        <v>597</v>
      </c>
      <c r="F20" s="744">
        <f>'数据-取费表'!B37</f>
        <v>0.02</v>
      </c>
      <c r="G20" s="2759"/>
      <c r="H20" s="1371" t="s">
        <v>1362</v>
      </c>
      <c r="I20" s="315" t="s">
        <v>1289</v>
      </c>
      <c r="J20" s="50">
        <f ca="1">ROUND(M20*M21/10000,2)</f>
        <v>0.24</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618</v>
      </c>
      <c r="C21" s="49" t="s">
        <v>1293</v>
      </c>
      <c r="D21" s="746" t="s">
        <v>1653</v>
      </c>
      <c r="E21" s="719" t="s">
        <v>620</v>
      </c>
      <c r="F21" s="744">
        <f>'数据-取费表'!B38</f>
        <v>0.03</v>
      </c>
      <c r="G21" s="2759"/>
      <c r="H21" s="2011"/>
      <c r="I21" s="728"/>
      <c r="J21" s="65"/>
      <c r="K21" s="750"/>
      <c r="L21" s="719" t="s">
        <v>1295</v>
      </c>
      <c r="M21" s="720">
        <f ca="1">INDIRECT("'数据-取费表'!r"&amp;$G$1)</f>
        <v>1598.98</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622</v>
      </c>
      <c r="C22" s="49"/>
      <c r="D22" s="2045" t="str">
        <f>IF(F23&lt;=1,"单利计息。","复利计息。")&amp;"建造成本、管理费用、销售费用产生的利息。"</f>
        <v>复利计息。建造成本、管理费用、销售费用产生的利息。</v>
      </c>
      <c r="E22" s="914"/>
      <c r="F22" s="52"/>
      <c r="G22" s="1668"/>
      <c r="H22" s="1369" t="s">
        <v>1414</v>
      </c>
      <c r="I22" s="719" t="s">
        <v>623</v>
      </c>
      <c r="J22" s="49">
        <f ca="1">ROUND(J14*M22,2)</f>
        <v>6.29</v>
      </c>
      <c r="K22" s="906" t="s">
        <v>1298</v>
      </c>
      <c r="L22" s="719" t="s">
        <v>597</v>
      </c>
      <c r="M22" s="751">
        <f ca="1">INDIRECT("'数据-取费表'!Ak"&amp;$G$1)</f>
        <v>2E-3</v>
      </c>
    </row>
    <row r="23" spans="1:33" s="1676" customFormat="1" ht="18" customHeight="1">
      <c r="A23" s="1368" t="s">
        <v>1360</v>
      </c>
      <c r="B23" s="719" t="s">
        <v>1782</v>
      </c>
      <c r="C23" s="49">
        <f ca="1">ROUND(IF('数据-取费表'!B22&lt;=1,(C19+C20)*F24*F23/2,(C19+C20)*(POWER((1+F24),F23/2)-1)),0)</f>
        <v>83</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597</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597</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-7</v>
      </c>
      <c r="K25" s="2024" t="s">
        <v>1306</v>
      </c>
      <c r="L25" s="2025"/>
      <c r="M25" s="2026"/>
    </row>
    <row r="26" spans="1:33" ht="18" customHeight="1">
      <c r="A26" s="1368" t="s">
        <v>1360</v>
      </c>
      <c r="B26" s="719" t="s">
        <v>1783</v>
      </c>
      <c r="C26" s="49">
        <f ca="1">ROUND((C19+C20)*F26,0)</f>
        <v>133</v>
      </c>
      <c r="D26" s="746" t="s">
        <v>1307</v>
      </c>
      <c r="E26" s="730" t="s">
        <v>649</v>
      </c>
      <c r="F26" s="729">
        <f ca="1">INDIRECT("'数据-取费表'!q"&amp;$G$1)</f>
        <v>0.05</v>
      </c>
      <c r="G26" s="1668"/>
      <c r="H26" s="2007" t="s">
        <v>1309</v>
      </c>
      <c r="I26" s="1826" t="s">
        <v>2102</v>
      </c>
      <c r="J26" s="718">
        <f ca="1">IF(J5&lt;&gt;0,ROUND(J25*(1-((1+M28)/(1+M26))^M27)/(M26-M28),0),0)</f>
        <v>0</v>
      </c>
      <c r="K26" s="748" t="s">
        <v>651</v>
      </c>
      <c r="L26" s="719" t="s">
        <v>1771</v>
      </c>
      <c r="M26" s="729">
        <f ca="1">INDIRECT("'数据-取费表'!I"&amp;$G$1)</f>
        <v>0.05</v>
      </c>
    </row>
    <row r="27" spans="1:33" ht="18" customHeight="1">
      <c r="A27" s="1368" t="s">
        <v>1361</v>
      </c>
      <c r="B27" s="719" t="s">
        <v>633</v>
      </c>
      <c r="C27" s="49">
        <f ca="1">ROUND(F21*F26,4)</f>
        <v>1.5E-3</v>
      </c>
      <c r="D27" s="746" t="s">
        <v>653</v>
      </c>
      <c r="E27" s="741"/>
      <c r="F27" s="742"/>
      <c r="G27" s="1668"/>
      <c r="H27" s="2008"/>
      <c r="I27" s="722"/>
      <c r="J27" s="723"/>
      <c r="K27" s="755" t="s">
        <v>654</v>
      </c>
      <c r="L27" s="719" t="s">
        <v>655</v>
      </c>
      <c r="M27" s="756">
        <f ca="1">INDIRECT("'数据-取费表'!ag"&amp;$G$1)</f>
        <v>0</v>
      </c>
    </row>
    <row r="28" spans="1:33" s="1676" customFormat="1" ht="18" customHeight="1">
      <c r="A28" s="1370" t="s">
        <v>1370</v>
      </c>
      <c r="B28" s="719" t="s">
        <v>634</v>
      </c>
      <c r="C28" s="49">
        <f>ROUND(F28/(1+'数据-取费表'!C42),4)</f>
        <v>5.2400000000000002E-2</v>
      </c>
      <c r="D28" s="746" t="s">
        <v>1654</v>
      </c>
      <c r="E28" s="719" t="s">
        <v>597</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3145</v>
      </c>
      <c r="D29" s="2021"/>
      <c r="E29" s="2022"/>
      <c r="F29" s="2023"/>
      <c r="G29" s="2759"/>
      <c r="H29" s="757" t="s">
        <v>1316</v>
      </c>
      <c r="I29" s="758" t="s">
        <v>1317</v>
      </c>
      <c r="J29" s="759">
        <f ca="1">ROUND(J26/(1+F40)^F41,0)</f>
        <v>0</v>
      </c>
      <c r="K29" s="760" t="s">
        <v>1318</v>
      </c>
      <c r="L29" s="761"/>
      <c r="M29" s="762">
        <f ca="1">INDIRECT("'数据-取费表'!k"&amp;$G$1)</f>
        <v>4500.93</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1277</v>
      </c>
      <c r="B30" s="1518" t="s">
        <v>1278</v>
      </c>
      <c r="C30" s="727">
        <f ca="1">ROUND(C31+C36+C37+C38,0)</f>
        <v>23</v>
      </c>
      <c r="D30" s="1514" t="s">
        <v>600</v>
      </c>
      <c r="E30" s="908"/>
      <c r="F30" s="1996"/>
      <c r="G30" s="1668"/>
      <c r="H30" s="1677"/>
      <c r="I30" s="1678"/>
      <c r="J30" s="1679"/>
      <c r="K30" s="1636"/>
      <c r="L30" s="1680"/>
      <c r="M30" s="1681"/>
    </row>
    <row r="31" spans="1:33" ht="18" customHeight="1">
      <c r="A31" s="1369" t="s">
        <v>1353</v>
      </c>
      <c r="B31" s="719" t="s">
        <v>604</v>
      </c>
      <c r="C31" s="2554">
        <f ca="1">ROUND(IF(AND(项目基本情况!B11="自然人",项目基本情况!B10="北京市"),C6*F31/(1+'数据-取费表'!C42),C32+C33+C34),2)</f>
        <v>12.07</v>
      </c>
      <c r="D31" s="905" t="s">
        <v>605</v>
      </c>
      <c r="E31" s="906" t="s">
        <v>1322</v>
      </c>
      <c r="F31" s="2553" t="str">
        <f>IF(项目基本情况!B11="企业","——",IF(M47="住宅",IF(F6*F7*F8/12/(1+'数据-取费表'!F30)&gt;100000,4%,2.5%),IF(F6*F7*F8/12/(1+'数据-取费表'!F30)&gt;100000,12%,7%)))</f>
        <v>——</v>
      </c>
      <c r="G31" s="1668"/>
      <c r="H31" s="2756" t="s">
        <v>2274</v>
      </c>
      <c r="I31" s="1678"/>
      <c r="J31" s="1679"/>
      <c r="K31" s="1636"/>
      <c r="L31" s="1680"/>
      <c r="M31" s="1681"/>
    </row>
    <row r="32" spans="1:33" ht="18" customHeight="1">
      <c r="A32" s="1368" t="s">
        <v>1360</v>
      </c>
      <c r="B32" s="719" t="s">
        <v>608</v>
      </c>
      <c r="C32" s="49">
        <f ca="1">ROUND(C6*F32/(1+'数据-取费表'!C42),2)</f>
        <v>3.72</v>
      </c>
      <c r="D32" s="906" t="s">
        <v>609</v>
      </c>
      <c r="E32" s="719" t="s">
        <v>597</v>
      </c>
      <c r="F32" s="744">
        <f>'数据-取费表'!B41</f>
        <v>5.5000000000000007E-2</v>
      </c>
      <c r="G32" s="1668"/>
      <c r="H32" s="1682"/>
      <c r="I32" s="1683"/>
      <c r="J32" s="1684"/>
      <c r="K32" s="1685"/>
      <c r="L32" s="1686"/>
      <c r="M32" s="1687"/>
    </row>
    <row r="33" spans="1:18" ht="18" customHeight="1">
      <c r="A33" s="1368" t="s">
        <v>1361</v>
      </c>
      <c r="B33" s="719" t="s">
        <v>612</v>
      </c>
      <c r="C33" s="49">
        <f ca="1">IF(D33="按租金收入计税",ROUND(C6*F33/(1+'数据-取费表'!C42),2),IF(D33="按房产原值计税",ROUND(C29*F33*0.7,2),INDIRECT("'数据-取费表'!Aj"&amp;$G$1)))</f>
        <v>8.11</v>
      </c>
      <c r="D33" s="745" t="s">
        <v>3237</v>
      </c>
      <c r="E33" s="719" t="s">
        <v>597</v>
      </c>
      <c r="F33" s="744">
        <f>IF(D33="按租金收入计税",'数据-取费表'!B51,'数据-取费表'!B50)</f>
        <v>0.12</v>
      </c>
      <c r="G33" s="1668"/>
      <c r="H33" s="1688"/>
      <c r="I33" s="1688"/>
      <c r="J33" s="1688"/>
      <c r="K33" s="1689"/>
      <c r="L33" s="1688"/>
      <c r="M33" s="1688"/>
    </row>
    <row r="34" spans="1:18" ht="18" customHeight="1">
      <c r="A34" s="1371" t="s">
        <v>1362</v>
      </c>
      <c r="B34" s="315" t="s">
        <v>1289</v>
      </c>
      <c r="C34" s="50">
        <f ca="1">ROUND(F34*F35/10000,2)</f>
        <v>0.24</v>
      </c>
      <c r="D34" s="748" t="s">
        <v>1290</v>
      </c>
      <c r="E34" s="719" t="s">
        <v>1291</v>
      </c>
      <c r="F34" s="587">
        <f>'数据-取费表'!B52</f>
        <v>1.5</v>
      </c>
      <c r="G34" s="1668"/>
      <c r="H34" s="1677"/>
      <c r="I34" s="769" t="s">
        <v>1342</v>
      </c>
      <c r="J34" s="770"/>
      <c r="K34" s="1691"/>
      <c r="L34" s="1690"/>
      <c r="M34" s="1690"/>
    </row>
    <row r="35" spans="1:18" ht="18" customHeight="1">
      <c r="A35" s="749"/>
      <c r="B35" s="728"/>
      <c r="C35" s="65"/>
      <c r="D35" s="750"/>
      <c r="E35" s="719" t="s">
        <v>1295</v>
      </c>
      <c r="F35" s="720">
        <f ca="1">INDIRECT("'数据-取费表'!r"&amp;$G$1)</f>
        <v>1598.98</v>
      </c>
      <c r="G35" s="1668"/>
      <c r="H35" s="1677"/>
      <c r="I35" s="771" t="s">
        <v>1343</v>
      </c>
      <c r="J35" s="772">
        <f ca="1">ROUND(C13*J36,0)</f>
        <v>220</v>
      </c>
      <c r="K35" s="1689"/>
      <c r="L35" s="1688"/>
      <c r="M35" s="1688"/>
    </row>
    <row r="36" spans="1:18" ht="18" customHeight="1">
      <c r="A36" s="1369" t="s">
        <v>1414</v>
      </c>
      <c r="B36" s="719" t="s">
        <v>623</v>
      </c>
      <c r="C36" s="49">
        <f ca="1">ROUND(C29*F36,2)</f>
        <v>6.29</v>
      </c>
      <c r="D36" s="906" t="s">
        <v>1332</v>
      </c>
      <c r="E36" s="719" t="s">
        <v>597</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3.15</v>
      </c>
      <c r="D37" s="906" t="s">
        <v>1300</v>
      </c>
      <c r="E37" s="719" t="s">
        <v>597</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1.35</v>
      </c>
      <c r="D38" s="2021" t="s">
        <v>1303</v>
      </c>
      <c r="E38" s="2022" t="s">
        <v>597</v>
      </c>
      <c r="F38" s="2018">
        <f ca="1">INDIRECT("'数据-取费表'!Am"&amp;$G$1)</f>
        <v>0.01</v>
      </c>
      <c r="G38" s="1668"/>
      <c r="H38" s="1688"/>
      <c r="I38" s="777" t="s">
        <v>1346</v>
      </c>
      <c r="J38" s="778"/>
      <c r="K38" s="1693"/>
      <c r="L38" s="1688"/>
      <c r="M38" s="1688"/>
    </row>
    <row r="39" spans="1:18" ht="24.6" customHeight="1" thickTop="1">
      <c r="A39" s="1520" t="s">
        <v>1305</v>
      </c>
      <c r="B39" s="2296" t="s">
        <v>2097</v>
      </c>
      <c r="C39" s="727">
        <f ca="1">C5-C30</f>
        <v>111.5</v>
      </c>
      <c r="D39" s="2024" t="s">
        <v>1306</v>
      </c>
      <c r="E39" s="2025"/>
      <c r="F39" s="2026"/>
      <c r="G39" s="1668"/>
      <c r="H39" s="1688"/>
      <c r="I39" s="771" t="s">
        <v>1347</v>
      </c>
      <c r="J39" s="779">
        <f ca="1">ROUND(J35/C39,3)</f>
        <v>1.9730000000000001</v>
      </c>
      <c r="K39" s="1693"/>
      <c r="L39" s="1688"/>
      <c r="M39" s="1688"/>
    </row>
    <row r="40" spans="1:18" ht="18" customHeight="1">
      <c r="A40" s="716" t="s">
        <v>1309</v>
      </c>
      <c r="B40" s="1826" t="s">
        <v>1656</v>
      </c>
      <c r="C40" s="718">
        <f ca="1">ROUND(C39*(1-((1+F42)/(1+F40))^F41)/(F40-F42),0)</f>
        <v>2767</v>
      </c>
      <c r="D40" s="748" t="s">
        <v>651</v>
      </c>
      <c r="E40" s="719" t="s">
        <v>1771</v>
      </c>
      <c r="F40" s="729">
        <f ca="1">INDIRECT("'数据-取费表'!I"&amp;$G$1)</f>
        <v>0.05</v>
      </c>
      <c r="G40" s="1668"/>
      <c r="H40" s="1668"/>
      <c r="I40" s="771" t="s">
        <v>1348</v>
      </c>
      <c r="J40" s="779">
        <f ca="1">1-J39</f>
        <v>-0.97300000000000009</v>
      </c>
      <c r="K40" s="1693"/>
      <c r="L40" s="1668"/>
      <c r="M40" s="1668"/>
    </row>
    <row r="41" spans="1:18" ht="18" customHeight="1">
      <c r="A41" s="721"/>
      <c r="B41" s="722"/>
      <c r="C41" s="723"/>
      <c r="D41" s="755" t="s">
        <v>1337</v>
      </c>
      <c r="E41" s="719" t="s">
        <v>655</v>
      </c>
      <c r="F41" s="756">
        <f ca="1">IF(INDIRECT("'数据-取费表'!af"&amp;$G$1)=0,INDIRECT("'数据-取费表'!ae"&amp;$G$1),INDIRECT("'数据-取费表'!af"&amp;$G$1))</f>
        <v>47.08</v>
      </c>
      <c r="G41" s="1668"/>
      <c r="H41" s="1636"/>
      <c r="I41" s="777" t="s">
        <v>1349</v>
      </c>
      <c r="J41" s="780"/>
      <c r="K41" s="1692"/>
      <c r="L41" s="1636"/>
      <c r="M41" s="1636"/>
    </row>
    <row r="42" spans="1:18" ht="18" customHeight="1">
      <c r="A42" s="725"/>
      <c r="B42" s="726"/>
      <c r="C42" s="727"/>
      <c r="D42" s="750"/>
      <c r="E42" s="719" t="s">
        <v>1315</v>
      </c>
      <c r="F42" s="729">
        <f ca="1">INDIRECT("'数据-取费表'!v"&amp;$G$1)</f>
        <v>0.02</v>
      </c>
      <c r="G42" s="1668"/>
      <c r="H42" s="1636"/>
      <c r="I42" s="781" t="s">
        <v>1350</v>
      </c>
      <c r="J42" s="779">
        <f ca="1">ROUND(C13/C40,3)</f>
        <v>1.137</v>
      </c>
      <c r="K42" s="1692"/>
      <c r="L42" s="1636"/>
      <c r="M42" s="1636"/>
    </row>
    <row r="43" spans="1:18" ht="18" customHeight="1" thickBot="1">
      <c r="A43" s="757" t="s">
        <v>1316</v>
      </c>
      <c r="B43" s="758" t="s">
        <v>1339</v>
      </c>
      <c r="C43" s="759">
        <f ca="1">ROUND(C40*10000/F43,0)</f>
        <v>6148</v>
      </c>
      <c r="D43" s="760" t="s">
        <v>1340</v>
      </c>
      <c r="E43" s="761" t="s">
        <v>1341</v>
      </c>
      <c r="F43" s="762">
        <f ca="1">INDIRECT("'数据-取费表'!k"&amp;$G$1)</f>
        <v>4500.93</v>
      </c>
      <c r="G43" s="1668"/>
      <c r="H43" s="1636"/>
      <c r="I43" s="781" t="s">
        <v>1351</v>
      </c>
      <c r="J43" s="782">
        <f ca="1">1-J42</f>
        <v>-0.13700000000000001</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-2947</v>
      </c>
      <c r="D46" s="2760"/>
      <c r="E46" s="2760"/>
      <c r="F46" s="2760"/>
      <c r="I46" s="1939" t="s">
        <v>1695</v>
      </c>
      <c r="J46" s="1940"/>
      <c r="K46" s="1941"/>
      <c r="L46" s="2374">
        <f>IF(OR(M47="住宅",D1="土地（套用方法）"),0,IF(L48&gt;J51,L60,J60))</f>
        <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t="s">
        <v>4070</v>
      </c>
      <c r="K47" s="2371" t="s">
        <v>1701</v>
      </c>
      <c r="L47" s="2375">
        <f ca="1">INDIRECT("'数据-取费表'!d"&amp;$G$1)</f>
        <v>50</v>
      </c>
      <c r="M47" s="1330" t="str">
        <f>IF(ISNUMBER(FIND("住宅",C1)),"住宅","非住宅")</f>
        <v>非住宅</v>
      </c>
      <c r="O47" s="1954" t="s">
        <v>1727</v>
      </c>
      <c r="P47" s="1955" t="s">
        <v>1728</v>
      </c>
      <c r="Q47" s="1956" t="s">
        <v>1729</v>
      </c>
      <c r="R47" s="1955" t="s">
        <v>1730</v>
      </c>
    </row>
    <row r="48" spans="1:18" s="1672" customFormat="1" ht="18" customHeight="1" thickBot="1">
      <c r="A48" s="2084" t="s">
        <v>1395</v>
      </c>
      <c r="B48" s="2085" t="s">
        <v>1819</v>
      </c>
      <c r="C48" s="1935">
        <f ca="1">ROUND(F48*F50*F49*(1-F51)/10000,0)</f>
        <v>0</v>
      </c>
      <c r="D48" s="1936" t="s">
        <v>584</v>
      </c>
      <c r="E48" s="1937" t="s">
        <v>1651</v>
      </c>
      <c r="F48" s="1938">
        <f ca="1">M6</f>
        <v>0</v>
      </c>
      <c r="G48" s="1699"/>
      <c r="I48" s="2363" t="s">
        <v>1697</v>
      </c>
      <c r="J48" s="1943" t="s">
        <v>1702</v>
      </c>
      <c r="K48" s="2372" t="s">
        <v>1703</v>
      </c>
      <c r="L48" s="1567">
        <f ca="1">INDIRECT("'数据-取费表'!f"&amp;$G$1)</f>
        <v>49.08</v>
      </c>
      <c r="M48" s="2761"/>
      <c r="O48" s="1957" t="s">
        <v>1731</v>
      </c>
      <c r="P48" s="1958" t="s">
        <v>1757</v>
      </c>
      <c r="Q48" s="1959">
        <f ca="1">C40+J29</f>
        <v>2767</v>
      </c>
      <c r="R48" s="1958" t="s">
        <v>1732</v>
      </c>
    </row>
    <row r="49" spans="1:18" s="1672" customFormat="1" ht="18" customHeight="1" thickBot="1">
      <c r="A49" s="721"/>
      <c r="B49" s="722"/>
      <c r="C49" s="723"/>
      <c r="D49" s="724"/>
      <c r="E49" s="719" t="s">
        <v>586</v>
      </c>
      <c r="F49" s="720">
        <f ca="1">F7</f>
        <v>236</v>
      </c>
      <c r="G49" s="1699"/>
      <c r="H49" s="1702"/>
      <c r="I49" s="2363" t="s">
        <v>1698</v>
      </c>
      <c r="J49" s="1944"/>
      <c r="K49" s="2373" t="s">
        <v>1704</v>
      </c>
      <c r="L49" s="1566"/>
      <c r="M49" s="2761"/>
      <c r="O49" s="1957" t="s">
        <v>1733</v>
      </c>
      <c r="P49" s="1958" t="s">
        <v>1758</v>
      </c>
      <c r="Q49" s="1959" t="str">
        <f ca="1">J60</f>
        <v>0</v>
      </c>
      <c r="R49" s="1958" t="s">
        <v>1734</v>
      </c>
    </row>
    <row r="50" spans="1:18" s="1672" customFormat="1" ht="18" customHeight="1" thickBot="1">
      <c r="A50" s="721"/>
      <c r="B50" s="722"/>
      <c r="C50" s="723"/>
      <c r="D50" s="724"/>
      <c r="E50" s="719" t="s">
        <v>587</v>
      </c>
      <c r="F50" s="720">
        <f ca="1">F8</f>
        <v>12</v>
      </c>
      <c r="H50" s="1702"/>
      <c r="I50" s="2363" t="s">
        <v>1699</v>
      </c>
      <c r="J50" s="2370">
        <f>SUMPRODUCT((I63:I65=J47)*(J62:L62=J48)*(J63:L65))</f>
        <v>60</v>
      </c>
      <c r="K50" s="2373" t="s">
        <v>1705</v>
      </c>
      <c r="L50" s="1566"/>
      <c r="M50" s="2761"/>
      <c r="O50" s="1960" t="s">
        <v>1735</v>
      </c>
      <c r="P50" s="1958" t="s">
        <v>1759</v>
      </c>
      <c r="Q50" s="1959">
        <f ca="1">C29</f>
        <v>3145</v>
      </c>
      <c r="R50" s="1958" t="s">
        <v>1732</v>
      </c>
    </row>
    <row r="51" spans="1:18" s="1672" customFormat="1" ht="18" customHeight="1" thickBot="1">
      <c r="A51" s="721"/>
      <c r="B51" s="722"/>
      <c r="C51" s="723"/>
      <c r="D51" s="724"/>
      <c r="E51" s="719" t="s">
        <v>588</v>
      </c>
      <c r="F51" s="1934"/>
      <c r="H51" s="1702"/>
      <c r="I51" s="2367" t="s">
        <v>1700</v>
      </c>
      <c r="J51" s="1567">
        <f>IF(J49="",J50,J49+J50-YEAR('数据-取费表'!B2))</f>
        <v>60</v>
      </c>
      <c r="K51" s="2363" t="s">
        <v>1706</v>
      </c>
      <c r="L51" s="2376">
        <f ca="1">ROUND(-PV(INDIRECT("'数据-取费表'!h"&amp;$G$1),J51,(C39-C13*J36),0),0)</f>
        <v>-2242</v>
      </c>
      <c r="M51" s="2761"/>
      <c r="O51" s="1960" t="s">
        <v>1736</v>
      </c>
      <c r="P51" s="1958" t="s">
        <v>1737</v>
      </c>
      <c r="Q51" s="1961" t="e">
        <f ca="1">J58</f>
        <v>#VALUE!</v>
      </c>
      <c r="R51" s="1962"/>
    </row>
    <row r="52" spans="1:18" s="1672" customFormat="1" ht="18" customHeight="1" thickBot="1">
      <c r="A52" s="716" t="s">
        <v>1817</v>
      </c>
      <c r="B52" s="1999" t="s">
        <v>1801</v>
      </c>
      <c r="C52" s="734">
        <f ca="1">ROUND(IF(F52="押一",C48/12*F11,IF(F52="押二",C48/12*2*F11,IF(F52="押三",C48/12*3*F11,C53*F11))),0)</f>
        <v>0</v>
      </c>
      <c r="D52" s="2006" t="s">
        <v>2225</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47.08</v>
      </c>
      <c r="K53" s="3679" t="s">
        <v>2219</v>
      </c>
      <c r="L53" s="3680"/>
      <c r="M53" s="2761"/>
      <c r="O53" s="1960" t="s">
        <v>1740</v>
      </c>
      <c r="P53" s="1958" t="s">
        <v>1741</v>
      </c>
      <c r="Q53" s="1959">
        <f ca="1">J53</f>
        <v>47.08</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1743</v>
      </c>
      <c r="P54" s="1958" t="s">
        <v>1760</v>
      </c>
      <c r="Q54" s="1959">
        <f ca="1">Q48+Q49</f>
        <v>2767</v>
      </c>
      <c r="R54" s="1962" t="s">
        <v>1744</v>
      </c>
    </row>
    <row r="55" spans="1:18" s="1672" customFormat="1" ht="18" customHeight="1" thickTop="1" thickBot="1">
      <c r="A55" s="732">
        <v>2</v>
      </c>
      <c r="B55" s="733" t="s">
        <v>592</v>
      </c>
      <c r="C55" s="734">
        <f ca="1">C13</f>
        <v>3145</v>
      </c>
      <c r="D55" s="730"/>
      <c r="E55" s="730"/>
      <c r="F55" s="735"/>
      <c r="I55" s="2379" t="s">
        <v>1707</v>
      </c>
      <c r="J55" s="2352" t="e">
        <f ca="1">ROUND(IF(J47="钢混",J57/J50,1-(1-2%)*(J50-J57)/J50),3)</f>
        <v>#VALUE!</v>
      </c>
      <c r="K55" s="2380" t="s">
        <v>1708</v>
      </c>
      <c r="L55" s="1946"/>
      <c r="M55" s="2761"/>
      <c r="O55" s="1963" t="s">
        <v>1763</v>
      </c>
      <c r="P55" s="1144"/>
      <c r="Q55" s="1330"/>
      <c r="R55" s="1144"/>
    </row>
    <row r="56" spans="1:18" s="1672" customFormat="1" ht="42.75" customHeight="1" thickBot="1">
      <c r="A56" s="1370"/>
      <c r="B56" s="1825" t="s">
        <v>1655</v>
      </c>
      <c r="C56" s="49">
        <f ca="1">C29</f>
        <v>3145</v>
      </c>
      <c r="D56" s="906"/>
      <c r="E56" s="719"/>
      <c r="F56" s="744"/>
      <c r="I56" s="2381" t="s">
        <v>1709</v>
      </c>
      <c r="J56" s="2391" t="s">
        <v>3325</v>
      </c>
      <c r="K56" s="2363" t="s">
        <v>1714</v>
      </c>
      <c r="L56" s="1567" t="str">
        <f ca="1">IF(L48&lt;J51,"——",L48-J51)</f>
        <v>——</v>
      </c>
      <c r="M56" s="2761"/>
      <c r="O56" s="1954" t="s">
        <v>1727</v>
      </c>
      <c r="P56" s="1955" t="s">
        <v>1728</v>
      </c>
      <c r="Q56" s="1956" t="s">
        <v>1729</v>
      </c>
      <c r="R56" s="1955" t="s">
        <v>1730</v>
      </c>
    </row>
    <row r="57" spans="1:18" s="1672" customFormat="1" ht="28.5" customHeight="1" thickBot="1">
      <c r="A57" s="732" t="s">
        <v>1277</v>
      </c>
      <c r="B57" s="733" t="s">
        <v>599</v>
      </c>
      <c r="C57" s="734">
        <f ca="1">ROUND(C58+C63+C64+C65,0)</f>
        <v>10</v>
      </c>
      <c r="D57" s="22" t="s">
        <v>600</v>
      </c>
      <c r="E57" s="914"/>
      <c r="F57" s="52"/>
      <c r="I57" s="2382" t="s">
        <v>1710</v>
      </c>
      <c r="J57" s="2383" t="str">
        <f ca="1">IF(OR(M47="住宅",J51&lt;L48,J56="是"),"——",J51-L48)</f>
        <v>——</v>
      </c>
      <c r="K57" s="2363" t="s">
        <v>1715</v>
      </c>
      <c r="L57" s="1567" t="str">
        <f ca="1">IF(L48&lt;J51,"——",IF(L55="比较法",L49,IF(L55="基准地价",L50,L51)))</f>
        <v>——</v>
      </c>
      <c r="M57" s="2761"/>
      <c r="O57" s="1957" t="s">
        <v>1731</v>
      </c>
      <c r="P57" s="1958" t="s">
        <v>1757</v>
      </c>
      <c r="Q57" s="1959">
        <f ca="1">C40+J29</f>
        <v>2767</v>
      </c>
      <c r="R57" s="1958" t="s">
        <v>1732</v>
      </c>
    </row>
    <row r="58" spans="1:18" s="1672" customFormat="1" ht="28.5" customHeight="1" thickBot="1">
      <c r="A58" s="1369" t="s">
        <v>1353</v>
      </c>
      <c r="B58" s="719" t="s">
        <v>604</v>
      </c>
      <c r="C58" s="2554">
        <f ca="1">ROUND(IF(AND(项目基本情况!B11="自然人",项目基本情况!B10="北京市"),C48*F58/(1+'数据-取费表'!C42),C59+C60+C61),2)</f>
        <v>0.24</v>
      </c>
      <c r="D58" s="905" t="s">
        <v>605</v>
      </c>
      <c r="E58" s="906" t="s">
        <v>637</v>
      </c>
      <c r="F58" s="2553" t="str">
        <f>IF(项目基本情况!B11="企业","——",IF('数据-取费表'!B10="住宅",IF(F48*F49*F50/12/(1+'数据-取费表'!F30)&gt;100000,4%,2.5%),IF(F48*F49*F50/12/(1+'数据-取费表'!F30)&gt;100000,12%,7%)))</f>
        <v>——</v>
      </c>
      <c r="I58" s="2382" t="s">
        <v>1711</v>
      </c>
      <c r="J58" s="2353" t="e">
        <f ca="1">IF(J55&lt;0.4,0.4,J55)</f>
        <v>#VALUE!</v>
      </c>
      <c r="K58" s="2363" t="s">
        <v>1716</v>
      </c>
      <c r="L58" s="1567" t="e">
        <f ca="1">ROUND(POWER(1+L52,L47-L48)*(POWER(1+L52,L48)-1)/(POWER(1+L52,L47)-1),4)</f>
        <v>#DIV/0!</v>
      </c>
      <c r="M58" s="2761"/>
      <c r="O58" s="1957" t="s">
        <v>1733</v>
      </c>
      <c r="P58" s="1958" t="s">
        <v>1764</v>
      </c>
      <c r="Q58" s="1959">
        <f ca="1">L60</f>
        <v>0</v>
      </c>
      <c r="R58" s="1962" t="s">
        <v>1766</v>
      </c>
    </row>
    <row r="59" spans="1:18" s="1672" customFormat="1" ht="28.5" customHeight="1" thickBot="1">
      <c r="A59" s="1368" t="s">
        <v>1360</v>
      </c>
      <c r="B59" s="719" t="s">
        <v>608</v>
      </c>
      <c r="C59" s="49">
        <f ca="1">ROUND(C47*F59/1.05,2)</f>
        <v>0</v>
      </c>
      <c r="D59" s="906" t="s">
        <v>609</v>
      </c>
      <c r="E59" s="719" t="s">
        <v>597</v>
      </c>
      <c r="F59" s="744">
        <f t="shared" ref="F59:F65" si="0">F32</f>
        <v>5.5000000000000007E-2</v>
      </c>
      <c r="I59" s="2382" t="s">
        <v>1712</v>
      </c>
      <c r="J59" s="2383" t="str">
        <f ca="1">IF(OR(M47="住宅",J51&lt;L48,J56="是"),"——",ROUND(C29*J58,0))</f>
        <v>——</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612</v>
      </c>
      <c r="C60" s="49">
        <f ca="1">IF(D60="按租金收入计税",ROUND(C48*F60/(1+'数据-取费表'!C42),2),IF(D60="按房产原值计税",ROUND(C56*F60*0.7,2),INDIRECT("'数据-取费表'!Aj"&amp;$G$1)))</f>
        <v>0</v>
      </c>
      <c r="D60" s="906" t="str">
        <f>D33</f>
        <v>按租金收入计税</v>
      </c>
      <c r="E60" s="719" t="s">
        <v>597</v>
      </c>
      <c r="F60" s="744">
        <f t="shared" si="0"/>
        <v>0.12</v>
      </c>
      <c r="I60" s="2384" t="s">
        <v>1713</v>
      </c>
      <c r="J60" s="2385" t="str">
        <f ca="1">IF(OR(M47="住宅",J51&lt;L48,J56="是"),"0",ROUND(J59/(1+J52)^J53,0))</f>
        <v>0</v>
      </c>
      <c r="K60" s="2386" t="s">
        <v>1718</v>
      </c>
      <c r="L60" s="2385">
        <f ca="1">IF(OR(M47="住宅",L48&lt;J51),0,ROUND(L57*(L58/L59-1),0))</f>
        <v>0</v>
      </c>
      <c r="M60" s="2761"/>
      <c r="O60" s="1960" t="s">
        <v>1736</v>
      </c>
      <c r="P60" s="1958" t="s">
        <v>1745</v>
      </c>
      <c r="Q60" s="1961">
        <f>L52</f>
        <v>0</v>
      </c>
      <c r="R60" s="1962"/>
    </row>
    <row r="61" spans="1:18" s="1672" customFormat="1" ht="18" customHeight="1" thickBot="1">
      <c r="A61" s="1371" t="s">
        <v>1362</v>
      </c>
      <c r="B61" s="315" t="s">
        <v>615</v>
      </c>
      <c r="C61" s="50">
        <f ca="1">ROUND(F61*F62/10000,2)</f>
        <v>0.24</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1598.98</v>
      </c>
      <c r="I62" s="2387" t="s">
        <v>1719</v>
      </c>
      <c r="J62" s="2388" t="s">
        <v>1720</v>
      </c>
      <c r="K62" s="2388" t="s">
        <v>1721</v>
      </c>
      <c r="L62" s="2388" t="s">
        <v>1702</v>
      </c>
      <c r="M62" s="2389" t="s">
        <v>2198</v>
      </c>
      <c r="O62" s="1960" t="s">
        <v>1740</v>
      </c>
      <c r="P62" s="1958" t="str">
        <f>K59</f>
        <v>建设期及建筑物耐用年限下的土地年期修正系数Kn</v>
      </c>
      <c r="Q62" s="1959" t="e">
        <f ca="1">L59</f>
        <v>#DIV/0!</v>
      </c>
      <c r="R62" s="1962" t="s">
        <v>1749</v>
      </c>
    </row>
    <row r="63" spans="1:18" s="1672" customFormat="1" ht="15.75" thickBot="1">
      <c r="A63" s="1369" t="s">
        <v>1414</v>
      </c>
      <c r="B63" s="719" t="s">
        <v>623</v>
      </c>
      <c r="C63" s="49">
        <f ca="1">ROUND(C56*F63,2)</f>
        <v>6.29</v>
      </c>
      <c r="D63" s="906" t="s">
        <v>1332</v>
      </c>
      <c r="E63" s="719" t="s">
        <v>597</v>
      </c>
      <c r="F63" s="751">
        <f t="shared" ca="1" si="0"/>
        <v>2E-3</v>
      </c>
      <c r="I63" s="2387" t="s">
        <v>1722</v>
      </c>
      <c r="J63" s="2388">
        <v>70</v>
      </c>
      <c r="K63" s="2388">
        <v>50</v>
      </c>
      <c r="L63" s="2388">
        <v>80</v>
      </c>
      <c r="M63" s="2390">
        <v>0.02</v>
      </c>
      <c r="O63" s="1957" t="s">
        <v>1743</v>
      </c>
      <c r="P63" s="1958" t="s">
        <v>1760</v>
      </c>
      <c r="Q63" s="1959">
        <f ca="1">Q57+Q58</f>
        <v>2767</v>
      </c>
      <c r="R63" s="1962" t="s">
        <v>1744</v>
      </c>
    </row>
    <row r="64" spans="1:18" s="1672" customFormat="1" ht="16.5" thickBot="1">
      <c r="A64" s="1369" t="s">
        <v>1415</v>
      </c>
      <c r="B64" s="719" t="s">
        <v>626</v>
      </c>
      <c r="C64" s="49">
        <f ca="1">ROUND(C55*F64,2)</f>
        <v>3.15</v>
      </c>
      <c r="D64" s="906" t="s">
        <v>627</v>
      </c>
      <c r="E64" s="719" t="s">
        <v>597</v>
      </c>
      <c r="F64" s="752">
        <f t="shared" ca="1" si="0"/>
        <v>1E-3</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597</v>
      </c>
      <c r="F65" s="729">
        <f t="shared" ca="1" si="0"/>
        <v>0.01</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-10</v>
      </c>
      <c r="D66" s="905" t="s">
        <v>647</v>
      </c>
      <c r="E66" s="903"/>
      <c r="F66" s="754"/>
      <c r="K66" s="1696"/>
      <c r="O66" s="1957" t="s">
        <v>1731</v>
      </c>
      <c r="P66" s="1958" t="s">
        <v>1757</v>
      </c>
      <c r="Q66" s="1959">
        <f ca="1">C40+J29</f>
        <v>2767</v>
      </c>
      <c r="R66" s="1958" t="s">
        <v>1732</v>
      </c>
    </row>
    <row r="67" spans="1:18" s="1672" customFormat="1" ht="20.25" thickBot="1">
      <c r="A67" s="716" t="s">
        <v>1309</v>
      </c>
      <c r="B67" s="1826" t="s">
        <v>1656</v>
      </c>
      <c r="C67" s="718">
        <f ca="1">ROUND(C66*(1-((1+F69)/(1+F67))^F68)/(F67-F69),0)</f>
        <v>-180</v>
      </c>
      <c r="D67" s="748" t="s">
        <v>651</v>
      </c>
      <c r="E67" s="719" t="s">
        <v>652</v>
      </c>
      <c r="F67" s="729">
        <f ca="1">F40</f>
        <v>0.05</v>
      </c>
      <c r="K67" s="1696"/>
      <c r="O67" s="1957" t="s">
        <v>1733</v>
      </c>
      <c r="P67" s="1958" t="s">
        <v>1764</v>
      </c>
      <c r="Q67" s="1959">
        <f ca="1">L60</f>
        <v>0</v>
      </c>
      <c r="R67" s="1962" t="s">
        <v>1766</v>
      </c>
    </row>
    <row r="68" spans="1:18" ht="21.75" thickBot="1">
      <c r="A68" s="721"/>
      <c r="B68" s="722"/>
      <c r="C68" s="723"/>
      <c r="D68" s="755" t="s">
        <v>1337</v>
      </c>
      <c r="E68" s="719" t="s">
        <v>655</v>
      </c>
      <c r="F68" s="756">
        <f ca="1">F41</f>
        <v>47.08</v>
      </c>
      <c r="O68" s="1960" t="s">
        <v>1735</v>
      </c>
      <c r="P68" s="1958" t="s">
        <v>1765</v>
      </c>
      <c r="Q68" s="1964">
        <f ca="1">L51</f>
        <v>-2242</v>
      </c>
      <c r="R68" s="1965" t="s">
        <v>1768</v>
      </c>
    </row>
    <row r="69" spans="1:18" ht="20.25" thickBot="1">
      <c r="A69" s="725"/>
      <c r="B69" s="726"/>
      <c r="C69" s="727"/>
      <c r="D69" s="750"/>
      <c r="E69" s="719" t="s">
        <v>657</v>
      </c>
      <c r="F69" s="1934"/>
      <c r="O69" s="1960" t="s">
        <v>1736</v>
      </c>
      <c r="P69" s="1966" t="s">
        <v>1750</v>
      </c>
      <c r="Q69" s="1959">
        <f ca="1">ROUND(Q70-Q71*Q72,0)</f>
        <v>-109</v>
      </c>
      <c r="R69" s="1962"/>
    </row>
    <row r="70" spans="1:18" ht="15.75" thickBot="1">
      <c r="A70" s="757" t="s">
        <v>1316</v>
      </c>
      <c r="B70" s="758" t="s">
        <v>1339</v>
      </c>
      <c r="C70" s="759">
        <f ca="1">ROUND(C67*10000/F70,0)</f>
        <v>-400</v>
      </c>
      <c r="D70" s="760" t="s">
        <v>1340</v>
      </c>
      <c r="E70" s="761" t="s">
        <v>1341</v>
      </c>
      <c r="F70" s="762">
        <f ca="1">F43</f>
        <v>4500.93</v>
      </c>
      <c r="O70" s="1960" t="s">
        <v>1751</v>
      </c>
      <c r="P70" s="1966" t="s">
        <v>1752</v>
      </c>
      <c r="Q70" s="1959">
        <f ca="1">C39</f>
        <v>111.5</v>
      </c>
      <c r="R70" s="1958" t="s">
        <v>1732</v>
      </c>
    </row>
    <row r="71" spans="1:18" ht="15.75" thickBot="1">
      <c r="O71" s="1960" t="s">
        <v>1753</v>
      </c>
      <c r="P71" s="1966" t="s">
        <v>1754</v>
      </c>
      <c r="Q71" s="1959">
        <f ca="1">C13</f>
        <v>3145</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建设期及建筑物耐用年限下的土地年期修正系数Kn</v>
      </c>
      <c r="Q75" s="1959" t="e">
        <f ca="1">L59</f>
        <v>#DIV/0!</v>
      </c>
      <c r="R75" s="1962" t="s">
        <v>1749</v>
      </c>
    </row>
    <row r="76" spans="1:18" ht="15.75" thickBot="1">
      <c r="O76" s="1957" t="s">
        <v>1743</v>
      </c>
      <c r="P76" s="1958" t="s">
        <v>1760</v>
      </c>
      <c r="Q76" s="1959">
        <f ca="1">Q66+Q67</f>
        <v>2767</v>
      </c>
      <c r="R76" s="1962"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C1:C3" xr:uid="{00000000-0002-0000-1C00-000000000000}">
      <formula1>项目类型</formula1>
    </dataValidation>
    <dataValidation type="list" allowBlank="1" showInputMessage="1" showErrorMessage="1" sqref="K19" xr:uid="{00000000-0002-0000-1C00-000001000000}">
      <formula1>"按租金收入计税,按房产原值计税"</formula1>
    </dataValidation>
    <dataValidation type="list" allowBlank="1" showInputMessage="1" showErrorMessage="1" sqref="D33" xr:uid="{00000000-0002-0000-1C00-000002000000}">
      <formula1>"按租金收入计税,按房产原值计税,按票据"</formula1>
    </dataValidation>
    <dataValidation type="list" allowBlank="1" showInputMessage="1" showErrorMessage="1" sqref="J56" xr:uid="{00000000-0002-0000-1C00-000003000000}">
      <formula1>估价范围判定</formula1>
    </dataValidation>
    <dataValidation type="list" allowBlank="1" showInputMessage="1" showErrorMessage="1" sqref="J47" xr:uid="{00000000-0002-0000-1C00-000004000000}">
      <formula1>"钢,钢混,砖混"</formula1>
    </dataValidation>
    <dataValidation type="list" allowBlank="1" showInputMessage="1" showErrorMessage="1" sqref="J48" xr:uid="{00000000-0002-0000-1C00-000005000000}">
      <formula1>"非生产用房,生产用房,受腐蚀的生产用房"</formula1>
    </dataValidation>
    <dataValidation type="list" allowBlank="1" showInputMessage="1" showErrorMessage="1" sqref="F10 M10 F52" xr:uid="{00000000-0002-0000-1C00-000006000000}">
      <formula1>"押一,押二,押三,自定义"</formula1>
    </dataValidation>
    <dataValidation type="list" allowBlank="1" showInputMessage="1" showErrorMessage="1" sqref="D1" xr:uid="{00000000-0002-0000-1C00-000007000000}">
      <formula1>"土地（套用方法）,——"</formula1>
    </dataValidation>
  </dataValidations>
  <pageMargins left="0.7" right="0.7" top="0.75" bottom="0.75" header="0.3" footer="0.3"/>
  <pageSetup paperSize="9" scale="6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华夏：</v>
      </c>
    </row>
    <row r="4" spans="1:4" ht="56.25">
      <c r="A4" s="1488"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91" t="s">
        <v>1429</v>
      </c>
    </row>
    <row r="6" spans="1:4" ht="112.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56.25">
      <c r="A7" s="1492" t="s">
        <v>2027</v>
      </c>
    </row>
    <row r="8" spans="1:4" ht="18.75">
      <c r="A8" s="1491" t="s">
        <v>1430</v>
      </c>
    </row>
    <row r="9" spans="1:4" ht="112.5">
      <c r="A9" s="1488"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3" t="s">
        <v>1542</v>
      </c>
    </row>
    <row r="11" spans="1:4" ht="18.75">
      <c r="A11" s="1477" t="str">
        <f>TEXT(项目基本情况!D3,"yyyy年m月d日;;")&amp;IF(项目基本情况!B3=项目基本情况!D3,"（评估专业人员勘察现场之日）","")</f>
        <v>2024年11月21日（评估专业人员勘察现场之日）</v>
      </c>
    </row>
    <row r="12" spans="1:4" ht="18.75">
      <c r="A12" s="1493" t="s">
        <v>1541</v>
      </c>
    </row>
    <row r="13" spans="1:4" ht="18.75">
      <c r="A13" s="1488" t="s">
        <v>2197</v>
      </c>
    </row>
    <row r="14" spans="1:4" ht="18.75">
      <c r="A14" s="1488" t="str">
        <f>"根据"&amp;项目基本情况!F12&amp;"，本次评估估价对象证载（地类）用途为"&amp;项目基本情况!B12&amp;"。"</f>
        <v>根据《国有土地使用证》[]，本次评估估价对象证载（地类）用途为F1。</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1588</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1589</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18.75">
      <c r="A21" s="1488" t="s">
        <v>1590</v>
      </c>
    </row>
    <row r="22" spans="1:1" ht="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1591</v>
      </c>
    </row>
    <row r="25" spans="1:1" ht="93.75">
      <c r="A25" s="1488"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1543</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N29"/>
  <sheetViews>
    <sheetView view="pageBreakPreview" zoomScale="90" zoomScaleNormal="100" zoomScaleSheetLayoutView="90" workbookViewId="0">
      <selection activeCell="D23" sqref="D23"/>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2204</v>
      </c>
      <c r="B1" s="2744"/>
      <c r="C1" s="2744"/>
      <c r="D1" s="2744"/>
      <c r="E1" s="2744"/>
      <c r="F1" s="2744"/>
      <c r="G1" s="2745"/>
      <c r="H1" s="2745"/>
      <c r="I1" s="2745"/>
      <c r="J1" s="2745"/>
      <c r="K1" s="2745"/>
      <c r="L1" s="2745"/>
      <c r="M1" s="2745"/>
      <c r="N1" s="2745"/>
    </row>
    <row r="2" spans="1:14" ht="14.25">
      <c r="A2" s="2750" t="s">
        <v>2199</v>
      </c>
      <c r="B2" s="2755">
        <f ca="1">SUMIF(B7:B14,"&lt;&gt;#ref!",B7:B14)</f>
        <v>23261</v>
      </c>
      <c r="C2" s="2750" t="s">
        <v>2200</v>
      </c>
      <c r="D2" s="2747"/>
      <c r="E2" s="2747"/>
      <c r="F2" s="2747"/>
      <c r="G2" s="2745"/>
      <c r="H2" s="2745"/>
      <c r="I2" s="2745"/>
      <c r="J2" s="2745"/>
      <c r="K2" s="2745"/>
      <c r="L2" s="2745"/>
      <c r="M2" s="2745"/>
      <c r="N2" s="2745"/>
    </row>
    <row r="3" spans="1:14" ht="14.25">
      <c r="A3" s="2750" t="s">
        <v>2228</v>
      </c>
      <c r="B3" s="2755">
        <f ca="1">ROUND(B2*10000/E3,0)</f>
        <v>4711</v>
      </c>
      <c r="C3" s="2750" t="s">
        <v>1594</v>
      </c>
      <c r="D3" s="2750" t="s">
        <v>2201</v>
      </c>
      <c r="E3" s="2748">
        <f ca="1">SUMIF(E7:E14,"&lt;&gt;#ref!",E7:E14)</f>
        <v>49372.77</v>
      </c>
      <c r="F3" s="2747"/>
      <c r="G3" s="2745"/>
      <c r="H3" s="2745"/>
      <c r="I3" s="2745"/>
      <c r="J3" s="2745"/>
      <c r="K3" s="2745"/>
      <c r="L3" s="2745"/>
      <c r="M3" s="2745"/>
      <c r="N3" s="2745"/>
    </row>
    <row r="4" spans="1:14" ht="14.25">
      <c r="A4" s="2750" t="s">
        <v>2207</v>
      </c>
      <c r="B4" s="2755" t="e">
        <f ca="1">ROUND(B2*10000/E4,0)</f>
        <v>#DIV/0!</v>
      </c>
      <c r="C4" s="2750" t="s">
        <v>1594</v>
      </c>
      <c r="D4" s="2750" t="s">
        <v>2208</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2205</v>
      </c>
      <c r="B6" s="2750" t="s">
        <v>2202</v>
      </c>
      <c r="C6" s="2354"/>
      <c r="D6" s="2747"/>
      <c r="E6" s="2750" t="s">
        <v>2203</v>
      </c>
      <c r="F6" s="2750" t="s">
        <v>2206</v>
      </c>
      <c r="G6" s="2745"/>
      <c r="H6" s="2745"/>
      <c r="I6" s="2745"/>
      <c r="J6" s="2745"/>
      <c r="K6" s="2745"/>
      <c r="L6" s="2745"/>
      <c r="M6" s="2745"/>
      <c r="N6" s="2745"/>
    </row>
    <row r="7" spans="1:14" ht="14.25">
      <c r="A7" s="2753" t="s">
        <v>3359</v>
      </c>
      <c r="B7" s="2755">
        <f ca="1">SUMIF(INDIRECT("'"&amp;A7&amp;"'"&amp;"!A:A"),"总价",INDIRECT("'"&amp;A7&amp;"'"&amp;"!B:B"))</f>
        <v>19118</v>
      </c>
      <c r="C7" s="2750" t="s">
        <v>2200</v>
      </c>
      <c r="D7" s="2747"/>
      <c r="E7" s="2748">
        <f ca="1">SUMIF(INDIRECT("'"&amp;A7&amp;"'"&amp;"!C:C"),"建筑面积",INDIRECT("'"&amp;A7&amp;"'"&amp;"!D:D"))</f>
        <v>41303.57</v>
      </c>
      <c r="F7" s="2748">
        <f ca="1">SUMIF(INDIRECT("'"&amp;A7&amp;"'"&amp;"!E:E"),"土地面积",INDIRECT("'"&amp;A7&amp;"'"&amp;"!F:F"))</f>
        <v>0</v>
      </c>
      <c r="G7" s="2745"/>
      <c r="H7" s="2745"/>
      <c r="I7" s="2745"/>
      <c r="J7" s="2745"/>
      <c r="K7" s="2745"/>
      <c r="L7" s="2745"/>
      <c r="M7" s="2745"/>
      <c r="N7" s="2745"/>
    </row>
    <row r="8" spans="1:14" ht="14.25">
      <c r="A8" s="2753" t="s">
        <v>3360</v>
      </c>
      <c r="B8" s="2755">
        <f t="shared" ref="B8:B14" ca="1" si="0">SUMIF(INDIRECT("'"&amp;A8&amp;"'"&amp;"!A:A"),"总价",INDIRECT("'"&amp;A8&amp;"'"&amp;"!B:B"))</f>
        <v>2658</v>
      </c>
      <c r="C8" s="2750" t="s">
        <v>2200</v>
      </c>
      <c r="D8" s="2747"/>
      <c r="E8" s="2748">
        <f t="shared" ref="E8:E14" ca="1" si="1">SUMIF(INDIRECT("'"&amp;A8&amp;"'"&amp;"!C:C"),"建筑面积",INDIRECT("'"&amp;A8&amp;"'"&amp;"!D:D"))</f>
        <v>5896.96</v>
      </c>
      <c r="F8" s="2748">
        <f t="shared" ref="F8:F14" ca="1" si="2">SUMIF(INDIRECT("'"&amp;A8&amp;"'"&amp;"!E:E"),"土地面积",INDIRECT("'"&amp;A8&amp;"'"&amp;"!F:F"))</f>
        <v>0</v>
      </c>
      <c r="G8" s="2745"/>
      <c r="H8" s="2745"/>
      <c r="I8" s="2745"/>
      <c r="J8" s="2745"/>
      <c r="K8" s="2745"/>
      <c r="L8" s="2745"/>
      <c r="M8" s="2745"/>
      <c r="N8" s="2745"/>
    </row>
    <row r="9" spans="1:14" ht="14.25">
      <c r="A9" s="2753" t="s">
        <v>3361</v>
      </c>
      <c r="B9" s="2755">
        <f t="shared" ca="1" si="0"/>
        <v>1485</v>
      </c>
      <c r="C9" s="2750" t="s">
        <v>2200</v>
      </c>
      <c r="D9" s="2747"/>
      <c r="E9" s="2748">
        <f t="shared" ca="1" si="1"/>
        <v>2172.2399999999998</v>
      </c>
      <c r="F9" s="2748">
        <f t="shared" ca="1" si="2"/>
        <v>0</v>
      </c>
      <c r="G9" s="2745"/>
      <c r="H9" s="2745"/>
      <c r="I9" s="2745"/>
      <c r="J9" s="2745"/>
      <c r="K9" s="2745"/>
      <c r="L9" s="2745"/>
      <c r="M9" s="2745"/>
      <c r="N9" s="2745"/>
    </row>
    <row r="10" spans="1:14" ht="14.25">
      <c r="A10" s="2753"/>
      <c r="B10" s="2755" t="e">
        <f t="shared" ca="1" si="0"/>
        <v>#REF!</v>
      </c>
      <c r="C10" s="2750" t="s">
        <v>2200</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2200</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2200</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2200</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2200</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123"/>
  <sheetViews>
    <sheetView view="pageBreakPreview" zoomScale="80" zoomScaleNormal="60" zoomScaleSheetLayoutView="80" workbookViewId="0">
      <selection activeCell="C6" sqref="C6"/>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1776</v>
      </c>
      <c r="D1" s="1267">
        <f>SUM(D33:D34,D37:D42)</f>
        <v>41303.57</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2042</v>
      </c>
      <c r="T1" s="2231" t="s">
        <v>2059</v>
      </c>
      <c r="U1" s="2231" t="s">
        <v>2060</v>
      </c>
      <c r="V1" s="2231" t="s">
        <v>2061</v>
      </c>
      <c r="W1" s="1789"/>
      <c r="X1" s="1789"/>
      <c r="Y1" s="1789"/>
      <c r="Z1" s="1789"/>
      <c r="AA1" s="1789"/>
      <c r="AB1" s="1789"/>
      <c r="AC1" s="1790"/>
    </row>
    <row r="2" spans="1:39" ht="15.75">
      <c r="A2" s="1190" t="s">
        <v>848</v>
      </c>
      <c r="B2" s="940">
        <f>C30</f>
        <v>19118</v>
      </c>
      <c r="C2" s="1191" t="s">
        <v>849</v>
      </c>
      <c r="D2" s="1192" t="s">
        <v>850</v>
      </c>
      <c r="E2" s="1193" t="s">
        <v>851</v>
      </c>
      <c r="F2" s="1192" t="s">
        <v>852</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9085</v>
      </c>
      <c r="U2" s="2222"/>
      <c r="V2" s="2232">
        <f>ROUND(T2*U2/10000,0)</f>
        <v>0</v>
      </c>
      <c r="W2" s="1789"/>
      <c r="X2" s="1789"/>
      <c r="Y2" s="1789"/>
      <c r="Z2" s="1789"/>
      <c r="AA2" s="1789"/>
      <c r="AB2" s="1789"/>
      <c r="AC2" s="1790"/>
    </row>
    <row r="3" spans="1:39" ht="15.75">
      <c r="A3" s="1194" t="s">
        <v>1220</v>
      </c>
      <c r="B3" s="940">
        <f>ROUND(B2*10000/D1,0)</f>
        <v>4629</v>
      </c>
      <c r="C3" s="1191" t="s">
        <v>855</v>
      </c>
      <c r="D3" s="1192" t="s">
        <v>856</v>
      </c>
      <c r="E3" s="1195" t="s">
        <v>3349</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7003</v>
      </c>
      <c r="U3" s="2222"/>
      <c r="V3" s="2232">
        <f t="shared" ref="V3:V16" si="1">ROUND(T3*U3/10000,0)</f>
        <v>0</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5712</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5523</v>
      </c>
      <c r="D5" s="2357">
        <f>ROUND(C6*C17+C20,0)</f>
        <v>5523</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4850</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5560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4418</v>
      </c>
      <c r="U6" s="2222"/>
      <c r="V6" s="2232">
        <f t="shared" si="1"/>
        <v>0</v>
      </c>
      <c r="W6" s="1789"/>
      <c r="X6" s="1789"/>
      <c r="Y6" s="1789"/>
      <c r="Z6" s="1789"/>
      <c r="AA6" s="1789"/>
      <c r="AB6" s="1789"/>
      <c r="AC6" s="1791"/>
      <c r="AD6" s="1201"/>
      <c r="AE6" s="1201"/>
      <c r="AF6" s="1201"/>
      <c r="AG6" s="1201"/>
      <c r="AH6" s="1201"/>
      <c r="AI6" s="1201"/>
      <c r="AJ6" s="1202"/>
    </row>
    <row r="7" spans="1:39" ht="24.75" thickBot="1">
      <c r="A7" s="3253" t="s">
        <v>3185</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82" t="s">
        <v>2058</v>
      </c>
      <c r="X8" s="3683"/>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5560</v>
      </c>
      <c r="N9" s="1546">
        <f>SUMPRODUCT((因素修正幅度!B277:B326=I2)*(因素修正幅度!C3:G3=E2)*(因素修正幅度!C277:G326))</f>
        <v>0.14099999999999999</v>
      </c>
      <c r="O9" s="1789"/>
      <c r="P9" s="1789"/>
      <c r="Q9" s="1789"/>
      <c r="R9" s="2232">
        <v>8</v>
      </c>
      <c r="S9" s="2222"/>
      <c r="T9" s="2232">
        <f t="shared" si="0"/>
        <v>0</v>
      </c>
      <c r="U9" s="2222"/>
      <c r="V9" s="2232">
        <f t="shared" si="1"/>
        <v>0</v>
      </c>
      <c r="W9" s="3681"/>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1"/>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3186</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3190</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3194</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0.96709999999999996</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92" t="s">
        <v>1370</v>
      </c>
      <c r="B20" s="1205" t="s">
        <v>875</v>
      </c>
      <c r="C20" s="947">
        <f>ROUND(IF(F21="与级别开发程度一致",0,(G21-E21)/C21),0)</f>
        <v>-37</v>
      </c>
      <c r="D20" s="3687" t="s">
        <v>879</v>
      </c>
      <c r="E20" s="3688"/>
      <c r="F20" s="3687" t="s">
        <v>876</v>
      </c>
      <c r="G20" s="3688"/>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93"/>
      <c r="B21" s="2411" t="s">
        <v>878</v>
      </c>
      <c r="C21" s="2412">
        <f>IF(E3="M4科研用地",SUMPRODUCT((修正!A2:A7=E3)*(修正!B1:M1=G2)*(修正!B2:M7)),SUMPRODUCT((修正!A2:A7=E2)*(修正!B1:M1=G2)*(修正!B2:M7)))</f>
        <v>1.5</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1</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1.048</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423</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f>ROUND(POWER(1+G24,J24-I24)*(POWER(1+G24,I24)-1)/(POWER(1+G24,J24)-1),4)</f>
        <v>0.99850000000000005</v>
      </c>
      <c r="D24" s="2098" t="s">
        <v>897</v>
      </c>
      <c r="E24" s="2349">
        <f>存贷款利率!E27/100</f>
        <v>4.3499999999999997E-2</v>
      </c>
      <c r="F24" s="2098" t="s">
        <v>898</v>
      </c>
      <c r="G24" s="2099">
        <f>SUMIF(M30:Q30,E2,M33:Q33)</f>
        <v>0.05</v>
      </c>
      <c r="H24" s="2098" t="s">
        <v>899</v>
      </c>
      <c r="I24" s="2094">
        <f>SUMIF('数据-取费表'!C6:C15,E2,'数据-取费表'!F6:F15)/COUNTIF('数据-取费表'!C6:C15,E2)</f>
        <v>69.09</v>
      </c>
      <c r="J24" s="2100">
        <f>IF(E2="住宅",70,IF(E2="商业",40,50))</f>
        <v>70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2270</v>
      </c>
      <c r="C25" s="1003">
        <f>IF(B25="容积率修正",IF(G3&lt;10,D26,J26),C27)</f>
        <v>0.92130000000000001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0.92130000000000001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1.0196000000000001</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19118</v>
      </c>
      <c r="D30" s="1238"/>
      <c r="E30" s="1185"/>
      <c r="F30" s="1239"/>
      <c r="G30" s="1185"/>
      <c r="H30" s="1185"/>
      <c r="I30" s="1185"/>
      <c r="J30" s="1240"/>
      <c r="K30" s="1789"/>
      <c r="L30" s="1326" t="s">
        <v>833</v>
      </c>
      <c r="M30" s="1206" t="s">
        <v>907</v>
      </c>
      <c r="N30" s="1206" t="s">
        <v>908</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f>E34+SUM(I37:I42)</f>
        <v>100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5429</v>
      </c>
      <c r="D33" s="1252">
        <f>'数据-汇总表'!F19</f>
        <v>34475.879999999997</v>
      </c>
      <c r="E33" s="1538">
        <f>ROUND(C33*D33/10000,0)</f>
        <v>18717</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f>ROUND(IF(E2="工业",C33*M42,IF(B25="楼层修正",SUM(V2:V16)*M41*10000/D34,C33*M41)),0)</f>
        <v>1357</v>
      </c>
      <c r="D34" s="1257"/>
      <c r="E34" s="1538">
        <f>ROUND(IF(B25="楼层修正",SUM(V2:V16)*#REF!,C34*D34/10000),0)</f>
        <v>0</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89"/>
      <c r="B37" s="1270" t="s">
        <v>923</v>
      </c>
      <c r="C37" s="954">
        <f>ROUND(D5*C22*C23*C24*C28*F37,0)</f>
        <v>2946</v>
      </c>
      <c r="D37" s="1282"/>
      <c r="E37" s="945">
        <f>ROUND(C37*D37/10000,0)</f>
        <v>0</v>
      </c>
      <c r="F37" s="945">
        <f>SUMIF(修正!A57:A68,G2,修正!B57:B68)</f>
        <v>0.5</v>
      </c>
      <c r="G37" s="945">
        <f>ROUND(IF(E2="工业",C37*$M$42,C37*$M$41),0)</f>
        <v>737</v>
      </c>
      <c r="H37" s="945">
        <f>D37</f>
        <v>0</v>
      </c>
      <c r="I37" s="945">
        <f>ROUND(G37*H37/10000,0)</f>
        <v>0</v>
      </c>
      <c r="J37" s="3689"/>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90"/>
      <c r="B38" s="1215" t="s">
        <v>924</v>
      </c>
      <c r="C38" s="954">
        <f>ROUND(D5*C22*C23*C24*C28*F38,0)</f>
        <v>1179</v>
      </c>
      <c r="D38" s="1282"/>
      <c r="E38" s="945">
        <f t="shared" ref="E38:E42" si="4">ROUND(C38*D38/10000,0)</f>
        <v>0</v>
      </c>
      <c r="F38" s="945">
        <f>SUMIF(修正!A57:A68,G2,修正!C57:C68)</f>
        <v>0.2</v>
      </c>
      <c r="G38" s="945">
        <f>ROUND(IF(E2="工业",C38*$M$42,C38*$M$41),0)</f>
        <v>295</v>
      </c>
      <c r="H38" s="945">
        <f t="shared" ref="H38:H42" si="5">D38</f>
        <v>0</v>
      </c>
      <c r="I38" s="945">
        <f t="shared" ref="I38:I42" si="6">ROUND(G38*H38/10000,0)</f>
        <v>0</v>
      </c>
      <c r="J38" s="3690"/>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90"/>
      <c r="B39" s="3297" t="s">
        <v>3207</v>
      </c>
      <c r="C39" s="954">
        <f>ROUND(D5*C22*C23*C24*C28*F39,0)</f>
        <v>1179</v>
      </c>
      <c r="D39" s="1282"/>
      <c r="E39" s="945">
        <f t="shared" si="4"/>
        <v>0</v>
      </c>
      <c r="F39" s="945">
        <f>SUMIF(修正!A57:A68,G2,修正!D57:D68)</f>
        <v>0.2</v>
      </c>
      <c r="G39" s="945">
        <f>ROUND(IF(E2="工业",C39*$M$42,C39*$M$41),0)</f>
        <v>295</v>
      </c>
      <c r="H39" s="945">
        <f t="shared" si="5"/>
        <v>0</v>
      </c>
      <c r="I39" s="945">
        <f t="shared" si="6"/>
        <v>0</v>
      </c>
      <c r="J39" s="3690"/>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1179</v>
      </c>
      <c r="D40" s="1282"/>
      <c r="E40" s="945">
        <f t="shared" si="4"/>
        <v>0</v>
      </c>
      <c r="F40" s="954">
        <f>SUMIF(修正!A57:A68,G2,修正!E57:E68)</f>
        <v>0.2</v>
      </c>
      <c r="G40" s="945">
        <f>ROUND(IF(E2="工业",C40*$M$42,C40*$M$41),0)</f>
        <v>295</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1175</v>
      </c>
      <c r="D41" s="1282"/>
      <c r="E41" s="945">
        <f t="shared" si="4"/>
        <v>0</v>
      </c>
      <c r="F41" s="954">
        <f>SUMIF(修正!A57:A68,G2,修正!F57:F68)</f>
        <v>0.2</v>
      </c>
      <c r="G41" s="945">
        <f>ROUND(IF(E2="工业",C41*$M$42,C41*$M$41),0)</f>
        <v>294</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588</v>
      </c>
      <c r="D42" s="1283">
        <f>'数据-汇总表'!G22</f>
        <v>6827.6900000000005</v>
      </c>
      <c r="E42" s="946">
        <f t="shared" si="4"/>
        <v>401</v>
      </c>
      <c r="F42" s="956">
        <f>SUMIF(修正!A57:A68,G2,修正!G57:G68)</f>
        <v>0.1</v>
      </c>
      <c r="G42" s="946">
        <f>ROUND(IF(E2="工业",C42*$M$42,C42*$M$41),0)</f>
        <v>147</v>
      </c>
      <c r="H42" s="946">
        <f t="shared" si="5"/>
        <v>6827.6900000000005</v>
      </c>
      <c r="I42" s="946">
        <f t="shared" si="6"/>
        <v>100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0.99560000000000004</v>
      </c>
      <c r="D44" s="348" t="s">
        <v>2234</v>
      </c>
      <c r="E44" s="2394">
        <f>G24</f>
        <v>0.05</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1608</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2194</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1609</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f>IF(E2="住宅",SUMIF(L1:L12,G2,N1:N12),"——")</f>
        <v>0.14099999999999999</v>
      </c>
      <c r="G72" s="3341">
        <v>1.41E-2</v>
      </c>
      <c r="H72" s="3342">
        <f t="shared" ref="H72:H80" si="18">IFERROR(ROUNDDOWN($F$72*I72/2,4),"——")</f>
        <v>1.41E-2</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较差</v>
      </c>
      <c r="C73" s="3340" t="s">
        <v>3343</v>
      </c>
      <c r="D73" s="3324">
        <f t="shared" si="17"/>
        <v>0</v>
      </c>
      <c r="E73" s="3330"/>
      <c r="F73" s="3326"/>
      <c r="G73" s="3341">
        <v>1.83E-2</v>
      </c>
      <c r="H73" s="3342">
        <f t="shared" si="18"/>
        <v>1.83E-2</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f t="shared" si="18"/>
        <v>7.0000000000000001E-3</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f t="shared" si="18"/>
        <v>3.5000000000000001E-3</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f t="shared" si="18"/>
        <v>5.5999999999999999E-3</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f t="shared" si="18"/>
        <v>6.3E-3</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f t="shared" si="18"/>
        <v>3.5000000000000001E-3</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f t="shared" si="18"/>
        <v>8.3999999999999995E-3</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f t="shared" si="18"/>
        <v>3.5000000000000001E-3</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1610</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3218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94" t="s">
        <v>1172</v>
      </c>
      <c r="B104" s="3694"/>
      <c r="C104" s="3694"/>
      <c r="D104" s="3694"/>
      <c r="E104" s="3694"/>
      <c r="F104" s="3694"/>
      <c r="G104" s="3694"/>
      <c r="H104" s="3694"/>
      <c r="I104" s="3694"/>
      <c r="J104" s="3694"/>
      <c r="K104" s="1000"/>
      <c r="L104" s="1000"/>
      <c r="M104" s="1000"/>
      <c r="N104" s="1000"/>
    </row>
    <row r="105" spans="1:36">
      <c r="A105" s="3695" t="s">
        <v>1161</v>
      </c>
      <c r="B105" s="3695" t="s">
        <v>1173</v>
      </c>
      <c r="C105" s="988" t="s">
        <v>1174</v>
      </c>
      <c r="D105" s="989"/>
      <c r="E105" s="989"/>
      <c r="F105" s="989"/>
      <c r="G105" s="989"/>
      <c r="H105" s="989"/>
      <c r="I105" s="989"/>
      <c r="J105" s="990"/>
      <c r="K105" s="983"/>
      <c r="L105" s="983"/>
      <c r="M105" s="983"/>
      <c r="N105" s="983"/>
    </row>
    <row r="106" spans="1:36">
      <c r="A106" s="3695"/>
      <c r="B106" s="3695"/>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84"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85"/>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85"/>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85"/>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85"/>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85"/>
      <c r="B112" s="991" t="s">
        <v>3225</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86"/>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91" t="s">
        <v>1175</v>
      </c>
      <c r="B114" s="3691"/>
      <c r="C114" s="3691"/>
      <c r="D114" s="3691"/>
      <c r="E114" s="3691"/>
      <c r="F114" s="3691"/>
      <c r="G114" s="3691"/>
      <c r="H114" s="3691"/>
      <c r="I114" s="3691"/>
      <c r="J114" s="3691"/>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住宅</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5">I119</f>
        <v>0.81259999999999999</v>
      </c>
      <c r="K119" s="3301">
        <f t="shared" si="35"/>
        <v>0.81259999999999999</v>
      </c>
      <c r="L119" s="3301">
        <f t="shared" si="35"/>
        <v>0.81259999999999999</v>
      </c>
      <c r="M119" s="3360">
        <f t="shared" si="35"/>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6">D120</f>
        <v>0.91310000000000002</v>
      </c>
      <c r="F120" s="3301">
        <f t="shared" si="36"/>
        <v>0.91310000000000002</v>
      </c>
      <c r="G120" s="3301">
        <f t="shared" si="36"/>
        <v>0.91310000000000002</v>
      </c>
      <c r="H120" s="3301">
        <f t="shared" si="36"/>
        <v>0.91310000000000002</v>
      </c>
      <c r="I120" s="3301">
        <f>ROUND(0.838-0.0182*B117,4)</f>
        <v>0.80159999999999998</v>
      </c>
      <c r="J120" s="3301">
        <f t="shared" si="35"/>
        <v>0.80159999999999998</v>
      </c>
      <c r="K120" s="3301">
        <f t="shared" si="35"/>
        <v>0.80159999999999998</v>
      </c>
      <c r="L120" s="3301">
        <f t="shared" si="35"/>
        <v>0.80159999999999998</v>
      </c>
      <c r="M120" s="3360">
        <f t="shared" si="35"/>
        <v>0.80159999999999998</v>
      </c>
    </row>
    <row r="121" spans="1:14" ht="12.75">
      <c r="A121" s="3357" t="s">
        <v>3228</v>
      </c>
      <c r="B121" s="3301">
        <f>ROUND(0.9448-0.0115*B117,4)</f>
        <v>0.92179999999999995</v>
      </c>
      <c r="C121" s="3301">
        <f>B121</f>
        <v>0.92179999999999995</v>
      </c>
      <c r="D121" s="3301">
        <f>ROUND(0.937-0.0145*B117,4)</f>
        <v>0.90800000000000003</v>
      </c>
      <c r="E121" s="3301">
        <f t="shared" si="36"/>
        <v>0.90800000000000003</v>
      </c>
      <c r="F121" s="3301">
        <f t="shared" si="36"/>
        <v>0.90800000000000003</v>
      </c>
      <c r="G121" s="3301">
        <f t="shared" si="36"/>
        <v>0.90800000000000003</v>
      </c>
      <c r="H121" s="3301">
        <f t="shared" si="36"/>
        <v>0.90800000000000003</v>
      </c>
      <c r="I121" s="3301">
        <f>ROUND(0.7965-0.0185*B117,4)</f>
        <v>0.75949999999999995</v>
      </c>
      <c r="J121" s="3301">
        <f t="shared" si="35"/>
        <v>0.75949999999999995</v>
      </c>
      <c r="K121" s="3301">
        <f t="shared" si="35"/>
        <v>0.75949999999999995</v>
      </c>
      <c r="L121" s="3301">
        <f t="shared" si="35"/>
        <v>0.75949999999999995</v>
      </c>
      <c r="M121" s="3360">
        <f t="shared" si="35"/>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5"/>
        <v>0.55249999999999999</v>
      </c>
      <c r="K122" s="3361">
        <f t="shared" si="35"/>
        <v>0.55249999999999999</v>
      </c>
      <c r="L122" s="3361">
        <f t="shared" si="35"/>
        <v>0.55249999999999999</v>
      </c>
      <c r="M122" s="3362">
        <f t="shared" si="35"/>
        <v>0.55249999999999999</v>
      </c>
    </row>
    <row r="123" spans="1:14" ht="12.75">
      <c r="A123" s="3359" t="s">
        <v>3210</v>
      </c>
      <c r="B123" s="3301">
        <f>ROUND(0.9404-0.0106*B117,4)</f>
        <v>0.91920000000000002</v>
      </c>
      <c r="C123" s="3301">
        <f>B123</f>
        <v>0.91920000000000002</v>
      </c>
      <c r="D123" s="3301">
        <f>ROUND(0.8955-0.0135*B117,4)</f>
        <v>0.86850000000000005</v>
      </c>
      <c r="E123" s="3301">
        <f t="shared" ref="E123:H123" si="37">D123</f>
        <v>0.86850000000000005</v>
      </c>
      <c r="F123" s="3301">
        <f t="shared" si="37"/>
        <v>0.86850000000000005</v>
      </c>
      <c r="G123" s="3301">
        <f t="shared" si="37"/>
        <v>0.86850000000000005</v>
      </c>
      <c r="H123" s="3301">
        <f t="shared" si="37"/>
        <v>0.86850000000000005</v>
      </c>
      <c r="I123" s="3301">
        <f>ROUND(0.7632-0.0166*B117,4)</f>
        <v>0.73</v>
      </c>
      <c r="J123" s="3301">
        <f t="shared" si="35"/>
        <v>0.73</v>
      </c>
      <c r="K123" s="3301">
        <f t="shared" si="35"/>
        <v>0.73</v>
      </c>
      <c r="L123" s="3301">
        <f t="shared" si="35"/>
        <v>0.73</v>
      </c>
      <c r="M123" s="3360">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87" priority="7" stopIfTrue="1" operator="notEqual">
      <formula>"——"</formula>
    </cfRule>
  </conditionalFormatting>
  <conditionalFormatting sqref="F61">
    <cfRule type="cellIs" dxfId="86" priority="6" stopIfTrue="1" operator="notEqual">
      <formula>"——"</formula>
    </cfRule>
  </conditionalFormatting>
  <conditionalFormatting sqref="F72">
    <cfRule type="cellIs" dxfId="85" priority="5" stopIfTrue="1" operator="notEqual">
      <formula>"——"</formula>
    </cfRule>
  </conditionalFormatting>
  <conditionalFormatting sqref="F83">
    <cfRule type="cellIs" dxfId="84" priority="4" stopIfTrue="1" operator="notEqual">
      <formula>"——"</formula>
    </cfRule>
  </conditionalFormatting>
  <conditionalFormatting sqref="H50:H58 H61:H69 H72:H80 H83:H91 H93:H102">
    <cfRule type="cellIs" dxfId="83" priority="3" operator="notEqual">
      <formula>"——"</formula>
    </cfRule>
  </conditionalFormatting>
  <dataValidations count="12">
    <dataValidation type="list" allowBlank="1" showInputMessage="1" showErrorMessage="1" sqref="E2" xr:uid="{00000000-0002-0000-1E00-000000000000}">
      <formula1>"商业,办公,住宅,工业,公共服务"</formula1>
    </dataValidation>
    <dataValidation type="list" allowBlank="1" showInputMessage="1" showErrorMessage="1" sqref="F21" xr:uid="{00000000-0002-0000-1E00-000001000000}">
      <formula1>"与级别开发程度一致,与级别开发程度不一致"</formula1>
    </dataValidation>
    <dataValidation type="list" allowBlank="1" showInputMessage="1" showErrorMessage="1" sqref="B25" xr:uid="{00000000-0002-0000-1E00-000002000000}">
      <formula1>"容积率修正,楼层修正"</formula1>
    </dataValidation>
    <dataValidation type="list" allowBlank="1" showInputMessage="1" showErrorMessage="1" sqref="C15:D15" xr:uid="{00000000-0002-0000-1E00-000003000000}">
      <formula1>"有,无"</formula1>
    </dataValidation>
    <dataValidation type="list" allowBlank="1" showInputMessage="1" showErrorMessage="1" sqref="E15" xr:uid="{00000000-0002-0000-1E00-000004000000}">
      <formula1>"500米范围内,500-1000米,1000米以外"</formula1>
    </dataValidation>
    <dataValidation type="list" allowBlank="1" showInputMessage="1" showErrorMessage="1" sqref="H23" xr:uid="{00000000-0002-0000-1E00-000005000000}">
      <formula1>"地价指数,季度增幅（自定义）,按公示增长率计算"</formula1>
    </dataValidation>
    <dataValidation type="list" allowBlank="1" showInputMessage="1" showErrorMessage="1" sqref="F3" xr:uid="{00000000-0002-0000-1E00-000006000000}">
      <formula1>"宗地容积率,估价对象容积率,自定义容积率"</formula1>
    </dataValidation>
    <dataValidation type="list" allowBlank="1" showInputMessage="1" showErrorMessage="1" sqref="C8" xr:uid="{00000000-0002-0000-1E00-000007000000}">
      <formula1>商业街名称</formula1>
    </dataValidation>
    <dataValidation type="list" allowBlank="1" showInputMessage="1" showErrorMessage="1" sqref="E3" xr:uid="{00000000-0002-0000-1E00-000008000000}">
      <formula1>二级分类</formula1>
    </dataValidation>
    <dataValidation type="list" allowBlank="1" showInputMessage="1" showErrorMessage="1" sqref="C50:C58 C61:C69 C93:C102 C72:C80 C83:C90" xr:uid="{00000000-0002-0000-1E00-000009000000}">
      <formula1>五等判定</formula1>
    </dataValidation>
    <dataValidation type="list" allowBlank="1" showInputMessage="1" showErrorMessage="1" sqref="H20:O20" xr:uid="{00000000-0002-0000-1E00-00000A000000}">
      <formula1>七通一平</formula1>
    </dataValidation>
    <dataValidation type="list" allowBlank="1" showInputMessage="1" showErrorMessage="1" sqref="J23" xr:uid="{00000000-0002-0000-1E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2755</v>
      </c>
      <c r="B1" s="962" t="s">
        <v>990</v>
      </c>
      <c r="C1" s="962" t="s">
        <v>1031</v>
      </c>
      <c r="D1" s="962" t="s">
        <v>1145</v>
      </c>
      <c r="E1" s="962" t="s">
        <v>853</v>
      </c>
      <c r="F1" s="962" t="s">
        <v>1152</v>
      </c>
      <c r="G1" s="962" t="s">
        <v>1153</v>
      </c>
      <c r="H1" s="962" t="s">
        <v>1154</v>
      </c>
      <c r="I1" s="962" t="s">
        <v>1155</v>
      </c>
      <c r="J1" s="962" t="s">
        <v>1156</v>
      </c>
      <c r="K1" s="962" t="s">
        <v>1157</v>
      </c>
      <c r="L1" s="962" t="s">
        <v>2756</v>
      </c>
      <c r="M1" s="963" t="s">
        <v>2757</v>
      </c>
    </row>
    <row r="2" spans="1:13">
      <c r="A2" s="2982" t="s">
        <v>2732</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2758</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2730</v>
      </c>
      <c r="B7" s="2996">
        <v>2.5</v>
      </c>
      <c r="C7" s="2996">
        <v>2.5</v>
      </c>
      <c r="D7" s="2996">
        <v>2</v>
      </c>
      <c r="E7" s="2996">
        <v>2</v>
      </c>
      <c r="F7" s="2996">
        <v>2</v>
      </c>
      <c r="G7" s="2996">
        <v>2</v>
      </c>
      <c r="H7" s="2996">
        <v>2</v>
      </c>
      <c r="I7" s="2997">
        <v>1.5</v>
      </c>
      <c r="J7" s="2997">
        <v>1.5</v>
      </c>
      <c r="K7" s="2997">
        <v>1.5</v>
      </c>
      <c r="L7" s="2997">
        <v>1.5</v>
      </c>
      <c r="M7" s="2998">
        <v>1.5</v>
      </c>
    </row>
    <row r="8" spans="1:13">
      <c r="A8" s="975" t="s">
        <v>2759</v>
      </c>
      <c r="B8" s="2999">
        <v>80</v>
      </c>
      <c r="C8" s="2999">
        <v>80</v>
      </c>
      <c r="D8" s="2999">
        <v>70</v>
      </c>
      <c r="E8" s="2999">
        <v>70</v>
      </c>
      <c r="F8" s="2999">
        <v>70</v>
      </c>
      <c r="G8" s="2999">
        <v>70</v>
      </c>
      <c r="H8" s="2999">
        <v>70</v>
      </c>
      <c r="I8" s="2999">
        <v>60</v>
      </c>
      <c r="J8" s="2999">
        <v>60</v>
      </c>
      <c r="K8" s="2999">
        <v>60</v>
      </c>
      <c r="L8" s="2999">
        <v>60</v>
      </c>
      <c r="M8" s="3000">
        <v>60</v>
      </c>
    </row>
    <row r="9" spans="1:13">
      <c r="A9" s="958" t="s">
        <v>2760</v>
      </c>
      <c r="B9" s="3001">
        <v>70</v>
      </c>
      <c r="C9" s="3001">
        <v>70</v>
      </c>
      <c r="D9" s="3001">
        <v>60</v>
      </c>
      <c r="E9" s="3001">
        <v>60</v>
      </c>
      <c r="F9" s="3001">
        <v>60</v>
      </c>
      <c r="G9" s="3001">
        <v>60</v>
      </c>
      <c r="H9" s="3001">
        <v>60</v>
      </c>
      <c r="I9" s="3001">
        <v>50</v>
      </c>
      <c r="J9" s="3001">
        <v>50</v>
      </c>
      <c r="K9" s="3001">
        <v>50</v>
      </c>
      <c r="L9" s="3001">
        <v>50</v>
      </c>
      <c r="M9" s="3002">
        <v>50</v>
      </c>
    </row>
    <row r="10" spans="1:13">
      <c r="A10" s="958" t="s">
        <v>2761</v>
      </c>
      <c r="B10" s="3001">
        <v>20</v>
      </c>
      <c r="C10" s="3001">
        <v>20</v>
      </c>
      <c r="D10" s="3001">
        <v>15</v>
      </c>
      <c r="E10" s="3001">
        <v>15</v>
      </c>
      <c r="F10" s="3001">
        <v>15</v>
      </c>
      <c r="G10" s="3001">
        <v>15</v>
      </c>
      <c r="H10" s="3001">
        <v>15</v>
      </c>
      <c r="I10" s="3001">
        <v>10</v>
      </c>
      <c r="J10" s="3001">
        <v>10</v>
      </c>
      <c r="K10" s="3001">
        <v>10</v>
      </c>
      <c r="L10" s="3001">
        <v>10</v>
      </c>
      <c r="M10" s="3002">
        <v>10</v>
      </c>
    </row>
    <row r="11" spans="1:13">
      <c r="A11" s="958" t="s">
        <v>2762</v>
      </c>
      <c r="B11" s="3001">
        <v>30</v>
      </c>
      <c r="C11" s="3001">
        <v>30</v>
      </c>
      <c r="D11" s="3001">
        <v>25</v>
      </c>
      <c r="E11" s="3001">
        <v>25</v>
      </c>
      <c r="F11" s="3001">
        <v>25</v>
      </c>
      <c r="G11" s="3001">
        <v>25</v>
      </c>
      <c r="H11" s="3001">
        <v>25</v>
      </c>
      <c r="I11" s="3001">
        <v>20</v>
      </c>
      <c r="J11" s="3001">
        <v>20</v>
      </c>
      <c r="K11" s="3001">
        <v>20</v>
      </c>
      <c r="L11" s="3001">
        <v>20</v>
      </c>
      <c r="M11" s="3002">
        <v>20</v>
      </c>
    </row>
    <row r="12" spans="1:13">
      <c r="A12" s="958" t="s">
        <v>2763</v>
      </c>
      <c r="B12" s="3001">
        <v>45</v>
      </c>
      <c r="C12" s="3001">
        <v>45</v>
      </c>
      <c r="D12" s="3001">
        <v>40</v>
      </c>
      <c r="E12" s="3001">
        <v>40</v>
      </c>
      <c r="F12" s="3001">
        <v>40</v>
      </c>
      <c r="G12" s="3001">
        <v>40</v>
      </c>
      <c r="H12" s="3001">
        <v>40</v>
      </c>
      <c r="I12" s="3001">
        <v>35</v>
      </c>
      <c r="J12" s="3001">
        <v>35</v>
      </c>
      <c r="K12" s="3001">
        <v>35</v>
      </c>
      <c r="L12" s="3001">
        <v>35</v>
      </c>
      <c r="M12" s="3002">
        <v>35</v>
      </c>
    </row>
    <row r="13" spans="1:13">
      <c r="A13" s="958" t="s">
        <v>2764</v>
      </c>
      <c r="B13" s="3001">
        <v>60</v>
      </c>
      <c r="C13" s="3001">
        <v>60</v>
      </c>
      <c r="D13" s="3001">
        <v>50</v>
      </c>
      <c r="E13" s="3001">
        <v>50</v>
      </c>
      <c r="F13" s="3001">
        <v>50</v>
      </c>
      <c r="G13" s="3001">
        <v>50</v>
      </c>
      <c r="H13" s="3001">
        <v>50</v>
      </c>
      <c r="I13" s="3001">
        <v>40</v>
      </c>
      <c r="J13" s="3001">
        <v>40</v>
      </c>
      <c r="K13" s="3001">
        <v>40</v>
      </c>
      <c r="L13" s="3001">
        <v>40</v>
      </c>
      <c r="M13" s="3002">
        <v>40</v>
      </c>
    </row>
    <row r="14" spans="1:13">
      <c r="A14" s="958" t="s">
        <v>2765</v>
      </c>
      <c r="B14" s="3001">
        <v>50</v>
      </c>
      <c r="C14" s="3001">
        <v>50</v>
      </c>
      <c r="D14" s="3001">
        <v>40</v>
      </c>
      <c r="E14" s="3001">
        <v>40</v>
      </c>
      <c r="F14" s="3001">
        <v>40</v>
      </c>
      <c r="G14" s="3001">
        <v>40</v>
      </c>
      <c r="H14" s="3001">
        <v>40</v>
      </c>
      <c r="I14" s="3001">
        <v>30</v>
      </c>
      <c r="J14" s="3001">
        <v>30</v>
      </c>
      <c r="K14" s="3001">
        <v>30</v>
      </c>
      <c r="L14" s="3001">
        <v>30</v>
      </c>
      <c r="M14" s="3002">
        <v>30</v>
      </c>
    </row>
    <row r="15" spans="1:13">
      <c r="A15" s="976" t="s">
        <v>2766</v>
      </c>
      <c r="B15" s="3003">
        <v>20</v>
      </c>
      <c r="C15" s="3003">
        <v>20</v>
      </c>
      <c r="D15" s="3003">
        <v>15</v>
      </c>
      <c r="E15" s="3003">
        <v>15</v>
      </c>
      <c r="F15" s="3003">
        <v>15</v>
      </c>
      <c r="G15" s="3003">
        <v>15</v>
      </c>
      <c r="H15" s="3003">
        <v>15</v>
      </c>
      <c r="I15" s="3003">
        <v>10</v>
      </c>
      <c r="J15" s="3003">
        <v>10</v>
      </c>
      <c r="K15" s="3003">
        <v>10</v>
      </c>
      <c r="L15" s="3003">
        <v>10</v>
      </c>
      <c r="M15" s="3004">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2" t="s">
        <v>2767</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1160</v>
      </c>
      <c r="B18" s="978"/>
      <c r="C18" s="979"/>
      <c r="D18" s="979"/>
      <c r="E18" s="978"/>
      <c r="F18" s="979"/>
      <c r="G18" s="979"/>
    </row>
    <row r="19" spans="1:13" ht="14.25" thickBot="1">
      <c r="A19" s="3003" t="s">
        <v>2449</v>
      </c>
      <c r="B19" s="3005" t="s">
        <v>2450</v>
      </c>
      <c r="C19" s="3006" t="s">
        <v>2451</v>
      </c>
      <c r="D19" s="3007"/>
      <c r="E19" s="3001" t="s">
        <v>2452</v>
      </c>
      <c r="F19" s="981"/>
      <c r="G19" s="981"/>
    </row>
    <row r="20" spans="1:13">
      <c r="A20" s="3696" t="s">
        <v>2443</v>
      </c>
      <c r="B20" s="3699" t="s">
        <v>2453</v>
      </c>
      <c r="C20" s="3008" t="s">
        <v>2454</v>
      </c>
      <c r="D20" s="3009"/>
      <c r="E20" s="3010">
        <v>1</v>
      </c>
      <c r="F20" s="3011" t="s">
        <v>2455</v>
      </c>
      <c r="G20" s="983"/>
    </row>
    <row r="21" spans="1:13">
      <c r="A21" s="3697"/>
      <c r="B21" s="3700"/>
      <c r="C21" s="3012" t="s">
        <v>2456</v>
      </c>
      <c r="D21" s="3013"/>
      <c r="E21" s="3014">
        <v>1</v>
      </c>
      <c r="F21" s="3011" t="s">
        <v>2457</v>
      </c>
      <c r="G21" s="983"/>
    </row>
    <row r="22" spans="1:13">
      <c r="A22" s="3697"/>
      <c r="B22" s="3700"/>
      <c r="C22" s="3012" t="s">
        <v>2458</v>
      </c>
      <c r="D22" s="3013"/>
      <c r="E22" s="3014">
        <v>0.9</v>
      </c>
      <c r="F22" s="3011" t="s">
        <v>2459</v>
      </c>
      <c r="G22" s="983"/>
    </row>
    <row r="23" spans="1:13">
      <c r="A23" s="3697"/>
      <c r="B23" s="3700"/>
      <c r="C23" s="3012" t="s">
        <v>2460</v>
      </c>
      <c r="D23" s="3013"/>
      <c r="E23" s="3014">
        <v>0.9</v>
      </c>
      <c r="F23" s="3011" t="s">
        <v>2461</v>
      </c>
      <c r="G23" s="983"/>
    </row>
    <row r="24" spans="1:13">
      <c r="A24" s="3697"/>
      <c r="B24" s="3700"/>
      <c r="C24" s="3012" t="s">
        <v>2462</v>
      </c>
      <c r="D24" s="3013"/>
      <c r="E24" s="3014">
        <v>0.8</v>
      </c>
      <c r="F24" s="3011" t="s">
        <v>2463</v>
      </c>
      <c r="G24" s="983"/>
    </row>
    <row r="25" spans="1:13" ht="14.25" thickBot="1">
      <c r="A25" s="3698"/>
      <c r="B25" s="3701"/>
      <c r="C25" s="3015" t="s">
        <v>2464</v>
      </c>
      <c r="D25" s="3016"/>
      <c r="E25" s="3017">
        <v>0.8</v>
      </c>
      <c r="F25" s="3011" t="s">
        <v>2465</v>
      </c>
      <c r="G25" s="983"/>
    </row>
    <row r="26" spans="1:13" ht="14.25" thickBot="1">
      <c r="A26" s="3018" t="s">
        <v>2444</v>
      </c>
      <c r="B26" s="3019" t="s">
        <v>2453</v>
      </c>
      <c r="C26" s="3020" t="s">
        <v>2466</v>
      </c>
      <c r="D26" s="3021"/>
      <c r="E26" s="3022">
        <v>1</v>
      </c>
      <c r="F26" s="3011" t="s">
        <v>2467</v>
      </c>
      <c r="G26" s="983"/>
    </row>
    <row r="27" spans="1:13">
      <c r="A27" s="3702" t="s">
        <v>2448</v>
      </c>
      <c r="B27" s="3699" t="s">
        <v>2448</v>
      </c>
      <c r="C27" s="3008" t="s">
        <v>2468</v>
      </c>
      <c r="D27" s="3009"/>
      <c r="E27" s="3010">
        <v>1</v>
      </c>
      <c r="F27" s="3011" t="s">
        <v>2469</v>
      </c>
      <c r="G27" s="983"/>
    </row>
    <row r="28" spans="1:13">
      <c r="A28" s="3703"/>
      <c r="B28" s="3700"/>
      <c r="C28" s="3012" t="s">
        <v>2470</v>
      </c>
      <c r="D28" s="3013"/>
      <c r="E28" s="3014">
        <v>1</v>
      </c>
      <c r="F28" s="3011" t="s">
        <v>2471</v>
      </c>
      <c r="G28" s="983"/>
    </row>
    <row r="29" spans="1:13">
      <c r="A29" s="3703"/>
      <c r="B29" s="3700"/>
      <c r="C29" s="3012" t="s">
        <v>2472</v>
      </c>
      <c r="D29" s="3013"/>
      <c r="E29" s="3014">
        <v>0.8</v>
      </c>
      <c r="F29" s="3011" t="s">
        <v>2473</v>
      </c>
      <c r="G29" s="983"/>
    </row>
    <row r="30" spans="1:13">
      <c r="A30" s="3703"/>
      <c r="B30" s="3700"/>
      <c r="C30" s="3012" t="s">
        <v>2474</v>
      </c>
      <c r="D30" s="3013"/>
      <c r="E30" s="3014">
        <v>0.8</v>
      </c>
      <c r="F30" s="3011" t="s">
        <v>2475</v>
      </c>
      <c r="G30" s="983"/>
    </row>
    <row r="31" spans="1:13">
      <c r="A31" s="3703"/>
      <c r="B31" s="3700"/>
      <c r="C31" s="3012" t="s">
        <v>2476</v>
      </c>
      <c r="D31" s="3013"/>
      <c r="E31" s="3014">
        <v>0.8</v>
      </c>
      <c r="F31" s="3011" t="s">
        <v>2477</v>
      </c>
      <c r="G31" s="983"/>
    </row>
    <row r="32" spans="1:13">
      <c r="A32" s="3703"/>
      <c r="B32" s="3700"/>
      <c r="C32" s="3012" t="s">
        <v>2478</v>
      </c>
      <c r="D32" s="3013"/>
      <c r="E32" s="3014">
        <v>0.7</v>
      </c>
      <c r="F32" s="3011" t="s">
        <v>2479</v>
      </c>
      <c r="G32" s="983"/>
    </row>
    <row r="33" spans="1:7">
      <c r="A33" s="3703"/>
      <c r="B33" s="3700"/>
      <c r="C33" s="3012" t="s">
        <v>2480</v>
      </c>
      <c r="D33" s="3013"/>
      <c r="E33" s="3014">
        <v>0.8</v>
      </c>
      <c r="F33" s="3011" t="s">
        <v>2481</v>
      </c>
      <c r="G33" s="983"/>
    </row>
    <row r="34" spans="1:7">
      <c r="A34" s="3703"/>
      <c r="B34" s="3700"/>
      <c r="C34" s="3012" t="s">
        <v>2482</v>
      </c>
      <c r="D34" s="3013"/>
      <c r="E34" s="3014">
        <v>0.6</v>
      </c>
      <c r="F34" s="3011" t="s">
        <v>2483</v>
      </c>
      <c r="G34" s="983"/>
    </row>
    <row r="35" spans="1:7">
      <c r="A35" s="3703"/>
      <c r="B35" s="3700"/>
      <c r="C35" s="3012" t="s">
        <v>2484</v>
      </c>
      <c r="D35" s="3013"/>
      <c r="E35" s="3014">
        <v>0.2</v>
      </c>
      <c r="F35" s="3011" t="s">
        <v>2485</v>
      </c>
      <c r="G35" s="983"/>
    </row>
    <row r="36" spans="1:7">
      <c r="A36" s="3703"/>
      <c r="B36" s="3700"/>
      <c r="C36" s="3012" t="s">
        <v>2486</v>
      </c>
      <c r="D36" s="3013"/>
      <c r="E36" s="3014">
        <v>0.2</v>
      </c>
      <c r="F36" s="3011" t="s">
        <v>2487</v>
      </c>
      <c r="G36" s="983"/>
    </row>
    <row r="37" spans="1:7">
      <c r="A37" s="3703"/>
      <c r="B37" s="3705" t="s">
        <v>2488</v>
      </c>
      <c r="C37" s="3012" t="s">
        <v>2489</v>
      </c>
      <c r="D37" s="3013"/>
      <c r="E37" s="3014">
        <v>0.6</v>
      </c>
      <c r="F37" s="3011" t="s">
        <v>2490</v>
      </c>
      <c r="G37" s="983"/>
    </row>
    <row r="38" spans="1:7">
      <c r="A38" s="3703"/>
      <c r="B38" s="3700"/>
      <c r="C38" s="3012" t="s">
        <v>2491</v>
      </c>
      <c r="D38" s="3013"/>
      <c r="E38" s="3014">
        <v>0.6</v>
      </c>
      <c r="F38" s="3011" t="s">
        <v>2492</v>
      </c>
      <c r="G38" s="983"/>
    </row>
    <row r="39" spans="1:7" ht="14.25" thickBot="1">
      <c r="A39" s="3704"/>
      <c r="B39" s="3701"/>
      <c r="C39" s="3015" t="s">
        <v>2493</v>
      </c>
      <c r="D39" s="3016"/>
      <c r="E39" s="3017">
        <v>0.6</v>
      </c>
      <c r="F39" s="3011" t="s">
        <v>2494</v>
      </c>
      <c r="G39" s="983"/>
    </row>
    <row r="40" spans="1:7" ht="14.25" thickBot="1">
      <c r="A40" s="3018" t="s">
        <v>2445</v>
      </c>
      <c r="B40" s="3019" t="s">
        <v>2445</v>
      </c>
      <c r="C40" s="3020" t="s">
        <v>2495</v>
      </c>
      <c r="D40" s="3021"/>
      <c r="E40" s="3022">
        <v>1</v>
      </c>
      <c r="F40" s="3011" t="s">
        <v>2496</v>
      </c>
      <c r="G40" s="983"/>
    </row>
    <row r="41" spans="1:7">
      <c r="A41" s="3696" t="s">
        <v>2446</v>
      </c>
      <c r="B41" s="3699" t="s">
        <v>2497</v>
      </c>
      <c r="C41" s="3008" t="s">
        <v>2498</v>
      </c>
      <c r="D41" s="3009"/>
      <c r="E41" s="3010">
        <v>1</v>
      </c>
      <c r="F41" s="3011" t="s">
        <v>2499</v>
      </c>
      <c r="G41" s="983"/>
    </row>
    <row r="42" spans="1:7">
      <c r="A42" s="3697"/>
      <c r="B42" s="3700"/>
      <c r="C42" s="3012" t="s">
        <v>2500</v>
      </c>
      <c r="D42" s="3013"/>
      <c r="E42" s="3014">
        <v>1</v>
      </c>
      <c r="F42" s="3011" t="s">
        <v>2501</v>
      </c>
      <c r="G42" s="983"/>
    </row>
    <row r="43" spans="1:7">
      <c r="A43" s="3697"/>
      <c r="B43" s="3706"/>
      <c r="C43" s="3012" t="s">
        <v>2502</v>
      </c>
      <c r="D43" s="3013"/>
      <c r="E43" s="3014">
        <v>1.5</v>
      </c>
      <c r="F43" s="3011" t="s">
        <v>2503</v>
      </c>
      <c r="G43" s="983"/>
    </row>
    <row r="44" spans="1:7">
      <c r="A44" s="3697"/>
      <c r="B44" s="3023" t="s">
        <v>2448</v>
      </c>
      <c r="C44" s="3012" t="s">
        <v>2447</v>
      </c>
      <c r="D44" s="3013"/>
      <c r="E44" s="3014">
        <v>2</v>
      </c>
      <c r="F44" s="3011" t="s">
        <v>2504</v>
      </c>
      <c r="G44" s="983"/>
    </row>
    <row r="45" spans="1:7">
      <c r="A45" s="3697"/>
      <c r="B45" s="3705" t="s">
        <v>2505</v>
      </c>
      <c r="C45" s="3012" t="s">
        <v>2506</v>
      </c>
      <c r="D45" s="3013"/>
      <c r="E45" s="3014">
        <v>1</v>
      </c>
      <c r="F45" s="3011" t="s">
        <v>2507</v>
      </c>
      <c r="G45" s="983"/>
    </row>
    <row r="46" spans="1:7">
      <c r="A46" s="3697"/>
      <c r="B46" s="3700"/>
      <c r="C46" s="3012" t="s">
        <v>2508</v>
      </c>
      <c r="D46" s="3013"/>
      <c r="E46" s="3014">
        <v>1</v>
      </c>
      <c r="F46" s="3011" t="s">
        <v>2509</v>
      </c>
      <c r="G46" s="983"/>
    </row>
    <row r="47" spans="1:7">
      <c r="A47" s="3697"/>
      <c r="B47" s="3700"/>
      <c r="C47" s="3012" t="s">
        <v>2510</v>
      </c>
      <c r="D47" s="3013"/>
      <c r="E47" s="3014">
        <v>1</v>
      </c>
      <c r="F47" s="3011" t="s">
        <v>2511</v>
      </c>
      <c r="G47" s="983"/>
    </row>
    <row r="48" spans="1:7">
      <c r="A48" s="3697"/>
      <c r="B48" s="3700"/>
      <c r="C48" s="3012" t="s">
        <v>2512</v>
      </c>
      <c r="D48" s="3013"/>
      <c r="E48" s="3014">
        <v>1</v>
      </c>
      <c r="F48" s="3011" t="s">
        <v>2513</v>
      </c>
      <c r="G48" s="983"/>
    </row>
    <row r="49" spans="1:9">
      <c r="A49" s="3697"/>
      <c r="B49" s="3700"/>
      <c r="C49" s="3012" t="s">
        <v>2514</v>
      </c>
      <c r="D49" s="3013"/>
      <c r="E49" s="3014">
        <v>1</v>
      </c>
      <c r="F49" s="3011" t="s">
        <v>2515</v>
      </c>
      <c r="G49" s="983"/>
    </row>
    <row r="50" spans="1:9">
      <c r="A50" s="3697"/>
      <c r="B50" s="3700"/>
      <c r="C50" s="3012" t="s">
        <v>2516</v>
      </c>
      <c r="D50" s="3013"/>
      <c r="E50" s="3014">
        <v>1</v>
      </c>
      <c r="F50" s="3011" t="s">
        <v>2517</v>
      </c>
      <c r="G50" s="983"/>
    </row>
    <row r="51" spans="1:9" ht="14.25" thickBot="1">
      <c r="A51" s="3698"/>
      <c r="B51" s="3701"/>
      <c r="C51" s="3015" t="s">
        <v>2518</v>
      </c>
      <c r="D51" s="3016"/>
      <c r="E51" s="3017">
        <v>1</v>
      </c>
      <c r="F51" s="3011" t="s">
        <v>2519</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2768</v>
      </c>
      <c r="F56" s="980" t="s">
        <v>2768</v>
      </c>
      <c r="G56" s="980" t="s">
        <v>2768</v>
      </c>
      <c r="I56" s="957"/>
    </row>
    <row r="57" spans="1:9">
      <c r="A57" s="997" t="s">
        <v>836</v>
      </c>
      <c r="B57" s="3001">
        <v>0.7</v>
      </c>
      <c r="C57" s="3001">
        <v>0.4</v>
      </c>
      <c r="D57" s="3001">
        <v>0.3</v>
      </c>
      <c r="E57" s="3007">
        <v>0.3</v>
      </c>
      <c r="F57" s="3001">
        <v>0.3</v>
      </c>
      <c r="G57" s="3001">
        <v>0.2</v>
      </c>
      <c r="I57" s="957"/>
    </row>
    <row r="58" spans="1:9">
      <c r="A58" s="997" t="s">
        <v>837</v>
      </c>
      <c r="B58" s="3001">
        <v>0.7</v>
      </c>
      <c r="C58" s="3001">
        <v>0.4</v>
      </c>
      <c r="D58" s="3001">
        <v>0.3</v>
      </c>
      <c r="E58" s="3001">
        <v>0.3</v>
      </c>
      <c r="F58" s="3001">
        <v>0.3</v>
      </c>
      <c r="G58" s="3001">
        <v>0.2</v>
      </c>
      <c r="I58" s="957"/>
    </row>
    <row r="59" spans="1:9">
      <c r="A59" s="997" t="s">
        <v>838</v>
      </c>
      <c r="B59" s="3001">
        <v>0.6</v>
      </c>
      <c r="C59" s="3001">
        <v>0.3</v>
      </c>
      <c r="D59" s="3001">
        <v>0.25</v>
      </c>
      <c r="E59" s="3001">
        <v>0.25</v>
      </c>
      <c r="F59" s="3001">
        <v>0.25</v>
      </c>
      <c r="G59" s="3001">
        <v>0.15</v>
      </c>
      <c r="I59" s="957"/>
    </row>
    <row r="60" spans="1:9">
      <c r="A60" s="997" t="s">
        <v>839</v>
      </c>
      <c r="B60" s="3001">
        <v>0.6</v>
      </c>
      <c r="C60" s="3001">
        <v>0.3</v>
      </c>
      <c r="D60" s="3001">
        <v>0.25</v>
      </c>
      <c r="E60" s="3001">
        <v>0.25</v>
      </c>
      <c r="F60" s="3001">
        <v>0.25</v>
      </c>
      <c r="G60" s="3001">
        <v>0.15</v>
      </c>
      <c r="I60" s="957"/>
    </row>
    <row r="61" spans="1:9" s="973" customFormat="1">
      <c r="A61" s="997" t="s">
        <v>840</v>
      </c>
      <c r="B61" s="3001">
        <v>0.6</v>
      </c>
      <c r="C61" s="3001">
        <v>0.3</v>
      </c>
      <c r="D61" s="3001">
        <v>0.25</v>
      </c>
      <c r="E61" s="3001">
        <v>0.25</v>
      </c>
      <c r="F61" s="3001">
        <v>0.25</v>
      </c>
      <c r="G61" s="3001">
        <v>0.15</v>
      </c>
    </row>
    <row r="62" spans="1:9" s="973" customFormat="1">
      <c r="A62" s="997" t="s">
        <v>841</v>
      </c>
      <c r="B62" s="3001">
        <v>0.6</v>
      </c>
      <c r="C62" s="3001">
        <v>0.3</v>
      </c>
      <c r="D62" s="3001">
        <v>0.25</v>
      </c>
      <c r="E62" s="3001">
        <v>0.25</v>
      </c>
      <c r="F62" s="3001">
        <v>0.25</v>
      </c>
      <c r="G62" s="3001">
        <v>0.15</v>
      </c>
    </row>
    <row r="63" spans="1:9" s="973" customFormat="1">
      <c r="A63" s="997" t="s">
        <v>842</v>
      </c>
      <c r="B63" s="3001">
        <v>0.6</v>
      </c>
      <c r="C63" s="3001">
        <v>0.3</v>
      </c>
      <c r="D63" s="3001">
        <v>0.25</v>
      </c>
      <c r="E63" s="3001">
        <v>0.25</v>
      </c>
      <c r="F63" s="3001">
        <v>0.25</v>
      </c>
      <c r="G63" s="3001">
        <v>0.15</v>
      </c>
    </row>
    <row r="64" spans="1:9" s="973" customFormat="1">
      <c r="A64" s="997" t="s">
        <v>843</v>
      </c>
      <c r="B64" s="3001">
        <v>0.5</v>
      </c>
      <c r="C64" s="3001">
        <v>0.2</v>
      </c>
      <c r="D64" s="3001">
        <v>0.2</v>
      </c>
      <c r="E64" s="3001">
        <v>0.2</v>
      </c>
      <c r="F64" s="3001">
        <v>0.2</v>
      </c>
      <c r="G64" s="3001">
        <v>0.1</v>
      </c>
    </row>
    <row r="65" spans="1:8" s="973" customFormat="1">
      <c r="A65" s="997" t="s">
        <v>844</v>
      </c>
      <c r="B65" s="3001">
        <v>0.5</v>
      </c>
      <c r="C65" s="3001">
        <v>0.2</v>
      </c>
      <c r="D65" s="3001">
        <v>0.2</v>
      </c>
      <c r="E65" s="3001">
        <v>0.2</v>
      </c>
      <c r="F65" s="3001">
        <v>0.2</v>
      </c>
      <c r="G65" s="3001">
        <v>0.1</v>
      </c>
    </row>
    <row r="66" spans="1:8" s="973" customFormat="1">
      <c r="A66" s="997" t="s">
        <v>845</v>
      </c>
      <c r="B66" s="3001">
        <v>0.5</v>
      </c>
      <c r="C66" s="3001">
        <v>0.2</v>
      </c>
      <c r="D66" s="3001">
        <v>0.2</v>
      </c>
      <c r="E66" s="3001">
        <v>0.2</v>
      </c>
      <c r="F66" s="3001">
        <v>0.2</v>
      </c>
      <c r="G66" s="3001">
        <v>0.1</v>
      </c>
    </row>
    <row r="67" spans="1:8" s="973" customFormat="1">
      <c r="A67" s="997" t="s">
        <v>846</v>
      </c>
      <c r="B67" s="3001">
        <v>0.5</v>
      </c>
      <c r="C67" s="3001">
        <v>0.2</v>
      </c>
      <c r="D67" s="3001">
        <v>0.2</v>
      </c>
      <c r="E67" s="3001">
        <v>0.2</v>
      </c>
      <c r="F67" s="3001">
        <v>0.2</v>
      </c>
      <c r="G67" s="3001">
        <v>0.1</v>
      </c>
    </row>
    <row r="68" spans="1:8" s="973" customFormat="1">
      <c r="A68" s="997" t="s">
        <v>847</v>
      </c>
      <c r="B68" s="3001">
        <v>0.5</v>
      </c>
      <c r="C68" s="3001">
        <v>0.2</v>
      </c>
      <c r="D68" s="3001">
        <v>0.2</v>
      </c>
      <c r="E68" s="3001">
        <v>0.2</v>
      </c>
      <c r="F68" s="3001">
        <v>0.2</v>
      </c>
      <c r="G68" s="3001">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2520</v>
      </c>
      <c r="D72" s="999"/>
      <c r="E72" s="987" t="s">
        <v>1159</v>
      </c>
      <c r="F72" s="999" t="s">
        <v>1159</v>
      </c>
    </row>
    <row r="73" spans="1:8" s="973" customFormat="1">
      <c r="A73" s="3023">
        <v>1</v>
      </c>
      <c r="B73" s="3705" t="s">
        <v>2521</v>
      </c>
      <c r="C73" s="3001" t="s">
        <v>2522</v>
      </c>
      <c r="D73" s="3001" t="s">
        <v>2523</v>
      </c>
      <c r="E73" s="3024">
        <v>0.2</v>
      </c>
      <c r="F73" s="3023">
        <v>25</v>
      </c>
      <c r="H73" s="973">
        <f>SUMIF(C71:C139,基准地价!C8,E71:E139)</f>
        <v>0</v>
      </c>
    </row>
    <row r="74" spans="1:8" s="973" customFormat="1" ht="24">
      <c r="A74" s="3023">
        <v>2</v>
      </c>
      <c r="B74" s="3700"/>
      <c r="C74" s="3001" t="s">
        <v>2524</v>
      </c>
      <c r="D74" s="3001" t="s">
        <v>2525</v>
      </c>
      <c r="E74" s="3024">
        <v>0.2</v>
      </c>
      <c r="F74" s="3023">
        <v>25</v>
      </c>
    </row>
    <row r="75" spans="1:8" s="973" customFormat="1" ht="24">
      <c r="A75" s="3023">
        <v>3</v>
      </c>
      <c r="B75" s="3700"/>
      <c r="C75" s="3001" t="s">
        <v>2526</v>
      </c>
      <c r="D75" s="3001" t="s">
        <v>2527</v>
      </c>
      <c r="E75" s="3024">
        <v>0.2</v>
      </c>
      <c r="F75" s="3023">
        <v>25</v>
      </c>
    </row>
    <row r="76" spans="1:8" s="973" customFormat="1">
      <c r="A76" s="3023">
        <v>4</v>
      </c>
      <c r="B76" s="3700"/>
      <c r="C76" s="3001" t="s">
        <v>2528</v>
      </c>
      <c r="D76" s="3001" t="s">
        <v>2529</v>
      </c>
      <c r="E76" s="3024">
        <v>0.15</v>
      </c>
      <c r="F76" s="3023">
        <v>20</v>
      </c>
    </row>
    <row r="77" spans="1:8" s="973" customFormat="1" ht="24">
      <c r="A77" s="3023">
        <v>5</v>
      </c>
      <c r="B77" s="3700"/>
      <c r="C77" s="3001" t="s">
        <v>2530</v>
      </c>
      <c r="D77" s="3001" t="s">
        <v>2531</v>
      </c>
      <c r="E77" s="3024">
        <v>0.15</v>
      </c>
      <c r="F77" s="3023">
        <v>20</v>
      </c>
    </row>
    <row r="78" spans="1:8" s="973" customFormat="1" ht="24">
      <c r="A78" s="3023">
        <v>6</v>
      </c>
      <c r="B78" s="3700"/>
      <c r="C78" s="3001" t="s">
        <v>2532</v>
      </c>
      <c r="D78" s="3001" t="s">
        <v>2533</v>
      </c>
      <c r="E78" s="3024">
        <v>0.15</v>
      </c>
      <c r="F78" s="3023">
        <v>20</v>
      </c>
    </row>
    <row r="79" spans="1:8" s="973" customFormat="1" ht="24">
      <c r="A79" s="3023">
        <v>7</v>
      </c>
      <c r="B79" s="3700"/>
      <c r="C79" s="3001" t="s">
        <v>2534</v>
      </c>
      <c r="D79" s="3001" t="s">
        <v>2535</v>
      </c>
      <c r="E79" s="3024">
        <v>0.15</v>
      </c>
      <c r="F79" s="3023">
        <v>20</v>
      </c>
    </row>
    <row r="80" spans="1:8" s="973" customFormat="1" ht="24">
      <c r="A80" s="3023">
        <v>8</v>
      </c>
      <c r="B80" s="3700"/>
      <c r="C80" s="3001" t="s">
        <v>2536</v>
      </c>
      <c r="D80" s="3001" t="s">
        <v>2537</v>
      </c>
      <c r="E80" s="3024">
        <v>0.1</v>
      </c>
      <c r="F80" s="3023">
        <v>15</v>
      </c>
    </row>
    <row r="81" spans="1:6" s="973" customFormat="1" ht="24">
      <c r="A81" s="3023">
        <v>9</v>
      </c>
      <c r="B81" s="3700"/>
      <c r="C81" s="3001" t="s">
        <v>2538</v>
      </c>
      <c r="D81" s="3001" t="s">
        <v>2539</v>
      </c>
      <c r="E81" s="3024">
        <v>0.1</v>
      </c>
      <c r="F81" s="3023">
        <v>15</v>
      </c>
    </row>
    <row r="82" spans="1:6" s="973" customFormat="1" ht="24">
      <c r="A82" s="3023">
        <v>10</v>
      </c>
      <c r="B82" s="3700"/>
      <c r="C82" s="3001" t="s">
        <v>2540</v>
      </c>
      <c r="D82" s="3001" t="s">
        <v>2541</v>
      </c>
      <c r="E82" s="3024">
        <v>0.1</v>
      </c>
      <c r="F82" s="3023">
        <v>15</v>
      </c>
    </row>
    <row r="83" spans="1:6" s="973" customFormat="1" ht="24">
      <c r="A83" s="3023">
        <v>11</v>
      </c>
      <c r="B83" s="3700"/>
      <c r="C83" s="3001" t="s">
        <v>2542</v>
      </c>
      <c r="D83" s="3001" t="s">
        <v>2543</v>
      </c>
      <c r="E83" s="3024">
        <v>0.1</v>
      </c>
      <c r="F83" s="3023">
        <v>15</v>
      </c>
    </row>
    <row r="84" spans="1:6" s="973" customFormat="1" ht="24">
      <c r="A84" s="3023">
        <v>12</v>
      </c>
      <c r="B84" s="3700"/>
      <c r="C84" s="3001" t="s">
        <v>2544</v>
      </c>
      <c r="D84" s="3001" t="s">
        <v>2545</v>
      </c>
      <c r="E84" s="3024">
        <v>0.1</v>
      </c>
      <c r="F84" s="3023">
        <v>15</v>
      </c>
    </row>
    <row r="85" spans="1:6" s="973" customFormat="1">
      <c r="A85" s="3023">
        <v>13</v>
      </c>
      <c r="B85" s="3700"/>
      <c r="C85" s="3001" t="s">
        <v>2546</v>
      </c>
      <c r="D85" s="3001" t="s">
        <v>2547</v>
      </c>
      <c r="E85" s="3024">
        <v>0.1</v>
      </c>
      <c r="F85" s="3023">
        <v>15</v>
      </c>
    </row>
    <row r="86" spans="1:6" s="973" customFormat="1">
      <c r="A86" s="3023">
        <v>14</v>
      </c>
      <c r="B86" s="3700"/>
      <c r="C86" s="3001" t="s">
        <v>2548</v>
      </c>
      <c r="D86" s="3001" t="s">
        <v>2549</v>
      </c>
      <c r="E86" s="3024">
        <v>0.1</v>
      </c>
      <c r="F86" s="3023">
        <v>15</v>
      </c>
    </row>
    <row r="87" spans="1:6" s="973" customFormat="1">
      <c r="A87" s="3023">
        <v>15</v>
      </c>
      <c r="B87" s="3700"/>
      <c r="C87" s="3001" t="s">
        <v>2550</v>
      </c>
      <c r="D87" s="3001" t="s">
        <v>2551</v>
      </c>
      <c r="E87" s="3024">
        <v>0.1</v>
      </c>
      <c r="F87" s="3023">
        <v>15</v>
      </c>
    </row>
    <row r="88" spans="1:6" s="973" customFormat="1" ht="24">
      <c r="A88" s="3023">
        <v>16</v>
      </c>
      <c r="B88" s="3700"/>
      <c r="C88" s="3001" t="s">
        <v>2552</v>
      </c>
      <c r="D88" s="3001" t="s">
        <v>2553</v>
      </c>
      <c r="E88" s="3024">
        <v>0.1</v>
      </c>
      <c r="F88" s="3023">
        <v>15</v>
      </c>
    </row>
    <row r="89" spans="1:6" s="973" customFormat="1" ht="24">
      <c r="A89" s="3023">
        <v>17</v>
      </c>
      <c r="B89" s="3706"/>
      <c r="C89" s="3001" t="s">
        <v>2554</v>
      </c>
      <c r="D89" s="3001" t="s">
        <v>2555</v>
      </c>
      <c r="E89" s="3024">
        <v>0.1</v>
      </c>
      <c r="F89" s="3023">
        <v>15</v>
      </c>
    </row>
    <row r="90" spans="1:6" s="973" customFormat="1">
      <c r="A90" s="3023">
        <v>18</v>
      </c>
      <c r="B90" s="3705" t="s">
        <v>2556</v>
      </c>
      <c r="C90" s="3001" t="s">
        <v>2557</v>
      </c>
      <c r="D90" s="3001" t="s">
        <v>2558</v>
      </c>
      <c r="E90" s="3024">
        <v>0.2</v>
      </c>
      <c r="F90" s="3023">
        <v>25</v>
      </c>
    </row>
    <row r="91" spans="1:6" s="973" customFormat="1" ht="24">
      <c r="A91" s="3023">
        <v>19</v>
      </c>
      <c r="B91" s="3700"/>
      <c r="C91" s="3001" t="s">
        <v>2559</v>
      </c>
      <c r="D91" s="3001" t="s">
        <v>2560</v>
      </c>
      <c r="E91" s="3024">
        <v>0.2</v>
      </c>
      <c r="F91" s="3023">
        <v>25</v>
      </c>
    </row>
    <row r="92" spans="1:6" s="973" customFormat="1">
      <c r="A92" s="3023">
        <v>20</v>
      </c>
      <c r="B92" s="3700"/>
      <c r="C92" s="3001" t="s">
        <v>2561</v>
      </c>
      <c r="D92" s="3001" t="s">
        <v>2562</v>
      </c>
      <c r="E92" s="3024">
        <v>0.15</v>
      </c>
      <c r="F92" s="3023">
        <v>20</v>
      </c>
    </row>
    <row r="93" spans="1:6" s="973" customFormat="1" ht="24">
      <c r="A93" s="3023">
        <v>21</v>
      </c>
      <c r="B93" s="3700"/>
      <c r="C93" s="3001" t="s">
        <v>2563</v>
      </c>
      <c r="D93" s="3001" t="s">
        <v>2564</v>
      </c>
      <c r="E93" s="3024">
        <v>0.15</v>
      </c>
      <c r="F93" s="3023">
        <v>20</v>
      </c>
    </row>
    <row r="94" spans="1:6" s="973" customFormat="1" ht="24">
      <c r="A94" s="3023">
        <v>22</v>
      </c>
      <c r="B94" s="3700"/>
      <c r="C94" s="3001" t="s">
        <v>2565</v>
      </c>
      <c r="D94" s="3001" t="s">
        <v>2566</v>
      </c>
      <c r="E94" s="3024">
        <v>0.15</v>
      </c>
      <c r="F94" s="3023">
        <v>20</v>
      </c>
    </row>
    <row r="95" spans="1:6" s="973" customFormat="1" ht="36">
      <c r="A95" s="3023">
        <v>23</v>
      </c>
      <c r="B95" s="3700"/>
      <c r="C95" s="3001" t="s">
        <v>2567</v>
      </c>
      <c r="D95" s="3001" t="s">
        <v>2568</v>
      </c>
      <c r="E95" s="3024">
        <v>0.15</v>
      </c>
      <c r="F95" s="3023">
        <v>20</v>
      </c>
    </row>
    <row r="96" spans="1:6" s="973" customFormat="1">
      <c r="A96" s="3023">
        <v>24</v>
      </c>
      <c r="B96" s="3700"/>
      <c r="C96" s="3001" t="s">
        <v>2569</v>
      </c>
      <c r="D96" s="3001" t="s">
        <v>2570</v>
      </c>
      <c r="E96" s="3024">
        <v>0.1</v>
      </c>
      <c r="F96" s="3023">
        <v>15</v>
      </c>
    </row>
    <row r="97" spans="1:6" s="973" customFormat="1" ht="24">
      <c r="A97" s="3023">
        <v>25</v>
      </c>
      <c r="B97" s="3700"/>
      <c r="C97" s="3001" t="s">
        <v>2571</v>
      </c>
      <c r="D97" s="3001" t="s">
        <v>2572</v>
      </c>
      <c r="E97" s="3024">
        <v>0.1</v>
      </c>
      <c r="F97" s="3023">
        <v>15</v>
      </c>
    </row>
    <row r="98" spans="1:6" s="973" customFormat="1" ht="24">
      <c r="A98" s="3023">
        <v>26</v>
      </c>
      <c r="B98" s="3700"/>
      <c r="C98" s="3001" t="s">
        <v>2573</v>
      </c>
      <c r="D98" s="3001" t="s">
        <v>2574</v>
      </c>
      <c r="E98" s="3024">
        <v>0.1</v>
      </c>
      <c r="F98" s="3023">
        <v>15</v>
      </c>
    </row>
    <row r="99" spans="1:6" s="973" customFormat="1" ht="24">
      <c r="A99" s="3023">
        <v>27</v>
      </c>
      <c r="B99" s="3700"/>
      <c r="C99" s="3001" t="s">
        <v>2575</v>
      </c>
      <c r="D99" s="3001" t="s">
        <v>2576</v>
      </c>
      <c r="E99" s="3024">
        <v>0.1</v>
      </c>
      <c r="F99" s="3023">
        <v>15</v>
      </c>
    </row>
    <row r="100" spans="1:6" s="973" customFormat="1" ht="24">
      <c r="A100" s="3023">
        <v>28</v>
      </c>
      <c r="B100" s="3700"/>
      <c r="C100" s="3001" t="s">
        <v>2577</v>
      </c>
      <c r="D100" s="3001" t="s">
        <v>2578</v>
      </c>
      <c r="E100" s="3024">
        <v>0.1</v>
      </c>
      <c r="F100" s="3023">
        <v>15</v>
      </c>
    </row>
    <row r="101" spans="1:6" s="973" customFormat="1" ht="24">
      <c r="A101" s="3023">
        <v>29</v>
      </c>
      <c r="B101" s="3700"/>
      <c r="C101" s="3001" t="s">
        <v>2579</v>
      </c>
      <c r="D101" s="3001" t="s">
        <v>2580</v>
      </c>
      <c r="E101" s="3024">
        <v>0.1</v>
      </c>
      <c r="F101" s="3023">
        <v>15</v>
      </c>
    </row>
    <row r="102" spans="1:6" s="973" customFormat="1" ht="24">
      <c r="A102" s="3023">
        <v>30</v>
      </c>
      <c r="B102" s="3700"/>
      <c r="C102" s="3001" t="s">
        <v>2581</v>
      </c>
      <c r="D102" s="3001" t="s">
        <v>2582</v>
      </c>
      <c r="E102" s="3024">
        <v>0.1</v>
      </c>
      <c r="F102" s="3023">
        <v>15</v>
      </c>
    </row>
    <row r="103" spans="1:6" s="973" customFormat="1" ht="24">
      <c r="A103" s="3023">
        <v>31</v>
      </c>
      <c r="B103" s="3700"/>
      <c r="C103" s="3001" t="s">
        <v>2583</v>
      </c>
      <c r="D103" s="3001" t="s">
        <v>2584</v>
      </c>
      <c r="E103" s="3024">
        <v>0.1</v>
      </c>
      <c r="F103" s="3023">
        <v>15</v>
      </c>
    </row>
    <row r="104" spans="1:6" s="973" customFormat="1" ht="24">
      <c r="A104" s="3023">
        <v>32</v>
      </c>
      <c r="B104" s="3700"/>
      <c r="C104" s="3001" t="s">
        <v>2585</v>
      </c>
      <c r="D104" s="3001" t="s">
        <v>2586</v>
      </c>
      <c r="E104" s="3024">
        <v>0.1</v>
      </c>
      <c r="F104" s="3023">
        <v>15</v>
      </c>
    </row>
    <row r="105" spans="1:6" s="973" customFormat="1" ht="24">
      <c r="A105" s="3023">
        <v>33</v>
      </c>
      <c r="B105" s="3700"/>
      <c r="C105" s="3001" t="s">
        <v>2587</v>
      </c>
      <c r="D105" s="3001" t="s">
        <v>2588</v>
      </c>
      <c r="E105" s="3024">
        <v>0.1</v>
      </c>
      <c r="F105" s="3023">
        <v>15</v>
      </c>
    </row>
    <row r="106" spans="1:6" s="973" customFormat="1" ht="24">
      <c r="A106" s="3023">
        <v>34</v>
      </c>
      <c r="B106" s="3706"/>
      <c r="C106" s="3001" t="s">
        <v>2589</v>
      </c>
      <c r="D106" s="3001" t="s">
        <v>2590</v>
      </c>
      <c r="E106" s="3024">
        <v>0.1</v>
      </c>
      <c r="F106" s="3023">
        <v>15</v>
      </c>
    </row>
    <row r="107" spans="1:6" s="973" customFormat="1" ht="24">
      <c r="A107" s="3023">
        <v>35</v>
      </c>
      <c r="B107" s="3705" t="s">
        <v>2591</v>
      </c>
      <c r="C107" s="3023" t="s">
        <v>2592</v>
      </c>
      <c r="D107" s="3001" t="s">
        <v>2593</v>
      </c>
      <c r="E107" s="3024">
        <v>0.15</v>
      </c>
      <c r="F107" s="3023">
        <v>20</v>
      </c>
    </row>
    <row r="108" spans="1:6" s="973" customFormat="1" ht="24">
      <c r="A108" s="3023">
        <v>36</v>
      </c>
      <c r="B108" s="3700"/>
      <c r="C108" s="3023" t="s">
        <v>2594</v>
      </c>
      <c r="D108" s="3001" t="s">
        <v>2595</v>
      </c>
      <c r="E108" s="3024">
        <v>0.15</v>
      </c>
      <c r="F108" s="3023">
        <v>20</v>
      </c>
    </row>
    <row r="109" spans="1:6" s="973" customFormat="1" ht="24">
      <c r="A109" s="3023">
        <v>37</v>
      </c>
      <c r="B109" s="3700"/>
      <c r="C109" s="3023" t="s">
        <v>2596</v>
      </c>
      <c r="D109" s="3001" t="s">
        <v>2597</v>
      </c>
      <c r="E109" s="3024">
        <v>0.15</v>
      </c>
      <c r="F109" s="3023">
        <v>20</v>
      </c>
    </row>
    <row r="110" spans="1:6" s="973" customFormat="1">
      <c r="A110" s="3023">
        <v>38</v>
      </c>
      <c r="B110" s="3700"/>
      <c r="C110" s="3023" t="s">
        <v>2598</v>
      </c>
      <c r="D110" s="3001" t="s">
        <v>2599</v>
      </c>
      <c r="E110" s="3024">
        <v>0.1</v>
      </c>
      <c r="F110" s="3023">
        <v>15</v>
      </c>
    </row>
    <row r="111" spans="1:6" s="973" customFormat="1" ht="24">
      <c r="A111" s="3023">
        <v>39</v>
      </c>
      <c r="B111" s="3700"/>
      <c r="C111" s="3023" t="s">
        <v>2600</v>
      </c>
      <c r="D111" s="3001" t="s">
        <v>2601</v>
      </c>
      <c r="E111" s="3024">
        <v>0.1</v>
      </c>
      <c r="F111" s="3023">
        <v>15</v>
      </c>
    </row>
    <row r="112" spans="1:6" s="973" customFormat="1" ht="24">
      <c r="A112" s="3023">
        <v>40</v>
      </c>
      <c r="B112" s="3706"/>
      <c r="C112" s="3023" t="s">
        <v>2602</v>
      </c>
      <c r="D112" s="3001" t="s">
        <v>2603</v>
      </c>
      <c r="E112" s="3024">
        <v>0.1</v>
      </c>
      <c r="F112" s="3023">
        <v>15</v>
      </c>
    </row>
    <row r="113" spans="1:6" s="973" customFormat="1" ht="24">
      <c r="A113" s="3023">
        <v>41</v>
      </c>
      <c r="B113" s="3707" t="s">
        <v>2604</v>
      </c>
      <c r="C113" s="3023" t="s">
        <v>2605</v>
      </c>
      <c r="D113" s="3001" t="s">
        <v>2606</v>
      </c>
      <c r="E113" s="3024">
        <v>0.1</v>
      </c>
      <c r="F113" s="3023">
        <v>15</v>
      </c>
    </row>
    <row r="114" spans="1:6" s="973" customFormat="1">
      <c r="A114" s="3023">
        <v>42</v>
      </c>
      <c r="B114" s="3707"/>
      <c r="C114" s="3023" t="s">
        <v>2607</v>
      </c>
      <c r="D114" s="3001" t="s">
        <v>2608</v>
      </c>
      <c r="E114" s="3024">
        <v>0.1</v>
      </c>
      <c r="F114" s="3023">
        <v>15</v>
      </c>
    </row>
    <row r="115" spans="1:6" s="973" customFormat="1" ht="24">
      <c r="A115" s="3023">
        <v>43</v>
      </c>
      <c r="B115" s="3707"/>
      <c r="C115" s="3023" t="s">
        <v>2609</v>
      </c>
      <c r="D115" s="3001" t="s">
        <v>2610</v>
      </c>
      <c r="E115" s="3024">
        <v>0.1</v>
      </c>
      <c r="F115" s="3023">
        <v>15</v>
      </c>
    </row>
    <row r="116" spans="1:6" s="973" customFormat="1" ht="24">
      <c r="A116" s="3023">
        <v>44</v>
      </c>
      <c r="B116" s="3705" t="s">
        <v>2611</v>
      </c>
      <c r="C116" s="3023" t="s">
        <v>2612</v>
      </c>
      <c r="D116" s="3001" t="s">
        <v>2613</v>
      </c>
      <c r="E116" s="3024">
        <v>0.1</v>
      </c>
      <c r="F116" s="3023">
        <v>15</v>
      </c>
    </row>
    <row r="117" spans="1:6" s="973" customFormat="1" ht="24">
      <c r="A117" s="3023">
        <v>45</v>
      </c>
      <c r="B117" s="3706"/>
      <c r="C117" s="3001" t="s">
        <v>2614</v>
      </c>
      <c r="D117" s="3001" t="s">
        <v>2615</v>
      </c>
      <c r="E117" s="3024">
        <v>0.1</v>
      </c>
      <c r="F117" s="3023">
        <v>15</v>
      </c>
    </row>
    <row r="118" spans="1:6" s="973" customFormat="1" ht="24">
      <c r="A118" s="3023">
        <v>46</v>
      </c>
      <c r="B118" s="3705" t="s">
        <v>2616</v>
      </c>
      <c r="C118" s="3023" t="s">
        <v>2617</v>
      </c>
      <c r="D118" s="3001" t="s">
        <v>2618</v>
      </c>
      <c r="E118" s="3024">
        <v>0.1</v>
      </c>
      <c r="F118" s="3023">
        <v>15</v>
      </c>
    </row>
    <row r="119" spans="1:6" s="973" customFormat="1" ht="24">
      <c r="A119" s="3023">
        <v>47</v>
      </c>
      <c r="B119" s="3706"/>
      <c r="C119" s="3023" t="s">
        <v>2619</v>
      </c>
      <c r="D119" s="3001" t="s">
        <v>2620</v>
      </c>
      <c r="E119" s="3024">
        <v>0.1</v>
      </c>
      <c r="F119" s="3023">
        <v>15</v>
      </c>
    </row>
    <row r="120" spans="1:6" s="973" customFormat="1" ht="24">
      <c r="A120" s="3023">
        <v>48</v>
      </c>
      <c r="B120" s="3705" t="s">
        <v>2621</v>
      </c>
      <c r="C120" s="3023" t="s">
        <v>2622</v>
      </c>
      <c r="D120" s="3001" t="s">
        <v>2623</v>
      </c>
      <c r="E120" s="3024">
        <v>0.1</v>
      </c>
      <c r="F120" s="3023">
        <v>15</v>
      </c>
    </row>
    <row r="121" spans="1:6" s="973" customFormat="1">
      <c r="A121" s="3023">
        <v>49</v>
      </c>
      <c r="B121" s="3706"/>
      <c r="C121" s="3023" t="s">
        <v>2624</v>
      </c>
      <c r="D121" s="3001" t="s">
        <v>2625</v>
      </c>
      <c r="E121" s="3024">
        <v>0.1</v>
      </c>
      <c r="F121" s="3023">
        <v>15</v>
      </c>
    </row>
    <row r="122" spans="1:6" s="973" customFormat="1" ht="24">
      <c r="A122" s="3023">
        <v>50</v>
      </c>
      <c r="B122" s="3707" t="s">
        <v>2626</v>
      </c>
      <c r="C122" s="3023" t="s">
        <v>2627</v>
      </c>
      <c r="D122" s="3001" t="s">
        <v>2628</v>
      </c>
      <c r="E122" s="3024">
        <v>0.1</v>
      </c>
      <c r="F122" s="3023">
        <v>15</v>
      </c>
    </row>
    <row r="123" spans="1:6" s="973" customFormat="1" ht="24">
      <c r="A123" s="3023">
        <v>51</v>
      </c>
      <c r="B123" s="3707"/>
      <c r="C123" s="3023" t="s">
        <v>2629</v>
      </c>
      <c r="D123" s="3001" t="s">
        <v>2630</v>
      </c>
      <c r="E123" s="3024">
        <v>0.1</v>
      </c>
      <c r="F123" s="3023">
        <v>15</v>
      </c>
    </row>
    <row r="124" spans="1:6" s="973" customFormat="1" ht="24">
      <c r="A124" s="3023">
        <v>52</v>
      </c>
      <c r="B124" s="3707" t="s">
        <v>2631</v>
      </c>
      <c r="C124" s="3023" t="s">
        <v>2632</v>
      </c>
      <c r="D124" s="3001" t="s">
        <v>2633</v>
      </c>
      <c r="E124" s="3024">
        <v>0.1</v>
      </c>
      <c r="F124" s="3023">
        <v>15</v>
      </c>
    </row>
    <row r="125" spans="1:6" s="973" customFormat="1" ht="24">
      <c r="A125" s="3023">
        <v>53</v>
      </c>
      <c r="B125" s="3707"/>
      <c r="C125" s="3023" t="s">
        <v>2634</v>
      </c>
      <c r="D125" s="3001" t="s">
        <v>2635</v>
      </c>
      <c r="E125" s="3024">
        <v>0.1</v>
      </c>
      <c r="F125" s="3023">
        <v>15</v>
      </c>
    </row>
    <row r="126" spans="1:6" ht="24">
      <c r="A126" s="3023">
        <v>54</v>
      </c>
      <c r="B126" s="3023" t="s">
        <v>2636</v>
      </c>
      <c r="C126" s="3023" t="s">
        <v>2637</v>
      </c>
      <c r="D126" s="3001" t="s">
        <v>2638</v>
      </c>
      <c r="E126" s="3024">
        <v>0.1</v>
      </c>
      <c r="F126" s="3023">
        <v>15</v>
      </c>
    </row>
    <row r="127" spans="1:6">
      <c r="A127" s="3023">
        <v>55</v>
      </c>
      <c r="B127" s="3707" t="s">
        <v>2639</v>
      </c>
      <c r="C127" s="3023" t="s">
        <v>2640</v>
      </c>
      <c r="D127" s="3001" t="s">
        <v>2641</v>
      </c>
      <c r="E127" s="3024">
        <v>0.1</v>
      </c>
      <c r="F127" s="3023">
        <v>15</v>
      </c>
    </row>
    <row r="128" spans="1:6">
      <c r="A128" s="3023">
        <v>56</v>
      </c>
      <c r="B128" s="3707"/>
      <c r="C128" s="3023" t="s">
        <v>2642</v>
      </c>
      <c r="D128" s="3001" t="s">
        <v>2643</v>
      </c>
      <c r="E128" s="3024">
        <v>0.1</v>
      </c>
      <c r="F128" s="3023">
        <v>15</v>
      </c>
    </row>
    <row r="129" spans="1:14" ht="24">
      <c r="A129" s="3023">
        <v>57</v>
      </c>
      <c r="B129" s="3707"/>
      <c r="C129" s="3023" t="s">
        <v>2644</v>
      </c>
      <c r="D129" s="3001" t="s">
        <v>2645</v>
      </c>
      <c r="E129" s="3024">
        <v>0.1</v>
      </c>
      <c r="F129" s="3023">
        <v>15</v>
      </c>
    </row>
    <row r="130" spans="1:14" ht="24">
      <c r="A130" s="3023">
        <v>58</v>
      </c>
      <c r="B130" s="3707" t="s">
        <v>2646</v>
      </c>
      <c r="C130" s="3023" t="s">
        <v>2647</v>
      </c>
      <c r="D130" s="3001" t="s">
        <v>2648</v>
      </c>
      <c r="E130" s="3024">
        <v>0.1</v>
      </c>
      <c r="F130" s="3023">
        <v>15</v>
      </c>
    </row>
    <row r="131" spans="1:14" ht="24">
      <c r="A131" s="3023">
        <v>59</v>
      </c>
      <c r="B131" s="3707"/>
      <c r="C131" s="3023" t="s">
        <v>2649</v>
      </c>
      <c r="D131" s="3001" t="s">
        <v>2650</v>
      </c>
      <c r="E131" s="3024">
        <v>0.1</v>
      </c>
      <c r="F131" s="3023">
        <v>15</v>
      </c>
    </row>
    <row r="132" spans="1:14" ht="24">
      <c r="A132" s="3023">
        <v>60</v>
      </c>
      <c r="B132" s="3705" t="s">
        <v>2651</v>
      </c>
      <c r="C132" s="3023" t="s">
        <v>2652</v>
      </c>
      <c r="D132" s="3001" t="s">
        <v>2653</v>
      </c>
      <c r="E132" s="3024">
        <v>0.1</v>
      </c>
      <c r="F132" s="3023">
        <v>15</v>
      </c>
    </row>
    <row r="133" spans="1:14" ht="24">
      <c r="A133" s="3023">
        <v>61</v>
      </c>
      <c r="B133" s="3706"/>
      <c r="C133" s="3023" t="s">
        <v>2654</v>
      </c>
      <c r="D133" s="3001" t="s">
        <v>2655</v>
      </c>
      <c r="E133" s="3024">
        <v>0.1</v>
      </c>
      <c r="F133" s="3023">
        <v>15</v>
      </c>
    </row>
    <row r="134" spans="1:14" ht="24">
      <c r="A134" s="3023">
        <v>62</v>
      </c>
      <c r="B134" s="3023" t="s">
        <v>2656</v>
      </c>
      <c r="C134" s="3023" t="s">
        <v>2657</v>
      </c>
      <c r="D134" s="3001" t="s">
        <v>2658</v>
      </c>
      <c r="E134" s="3024">
        <v>0.1</v>
      </c>
      <c r="F134" s="3023">
        <v>15</v>
      </c>
    </row>
    <row r="135" spans="1:14" ht="24">
      <c r="A135" s="3023">
        <v>63</v>
      </c>
      <c r="B135" s="3707" t="s">
        <v>2659</v>
      </c>
      <c r="C135" s="3023" t="s">
        <v>2660</v>
      </c>
      <c r="D135" s="3001" t="s">
        <v>2661</v>
      </c>
      <c r="E135" s="3024">
        <v>0.1</v>
      </c>
      <c r="F135" s="3023">
        <v>15</v>
      </c>
    </row>
    <row r="136" spans="1:14">
      <c r="A136" s="3023">
        <v>64</v>
      </c>
      <c r="B136" s="3707"/>
      <c r="C136" s="3023" t="s">
        <v>2662</v>
      </c>
      <c r="D136" s="3001" t="s">
        <v>2663</v>
      </c>
      <c r="E136" s="3024">
        <v>0.1</v>
      </c>
      <c r="F136" s="3023">
        <v>15</v>
      </c>
    </row>
    <row r="137" spans="1:14" ht="24">
      <c r="A137" s="3023">
        <v>65</v>
      </c>
      <c r="B137" s="3023" t="s">
        <v>2664</v>
      </c>
      <c r="C137" s="3023" t="s">
        <v>2665</v>
      </c>
      <c r="D137" s="3001" t="s">
        <v>2666</v>
      </c>
      <c r="E137" s="3024">
        <v>0.1</v>
      </c>
      <c r="F137" s="3023">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0"/>
    <col min="9" max="9" width="9" style="957"/>
    <col min="10" max="10" width="17.375" style="3190" customWidth="1"/>
    <col min="11" max="21" width="17.375" style="3165" customWidth="1"/>
    <col min="22" max="16384" width="9" style="957"/>
  </cols>
  <sheetData>
    <row r="1" spans="1:21">
      <c r="A1" s="3708" t="s">
        <v>2805</v>
      </c>
      <c r="B1" s="3708"/>
      <c r="C1" s="3708"/>
      <c r="D1" s="3708"/>
      <c r="E1" s="3708"/>
      <c r="F1" s="3708"/>
      <c r="G1" s="3709"/>
      <c r="I1" s="961"/>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2806</v>
      </c>
      <c r="B2" s="3151"/>
      <c r="C2" s="3151"/>
      <c r="D2" s="3151"/>
      <c r="E2" s="3151"/>
      <c r="F2" s="3151"/>
      <c r="G2" s="3146" t="s">
        <v>2807</v>
      </c>
      <c r="J2" s="3175" t="s">
        <v>2813</v>
      </c>
      <c r="K2" s="3155" t="s">
        <v>2815</v>
      </c>
      <c r="L2" s="3155" t="s">
        <v>2817</v>
      </c>
      <c r="M2" s="3155" t="s">
        <v>2823</v>
      </c>
      <c r="N2" s="3155" t="s">
        <v>2833</v>
      </c>
      <c r="O2" s="3155" t="s">
        <v>2848</v>
      </c>
      <c r="P2" s="3155" t="s">
        <v>2885</v>
      </c>
      <c r="Q2" s="3155" t="s">
        <v>2916</v>
      </c>
      <c r="R2" s="3155" t="s">
        <v>2944</v>
      </c>
      <c r="S2" s="3155" t="s">
        <v>2979</v>
      </c>
      <c r="T2" s="3155" t="s">
        <v>2999</v>
      </c>
      <c r="U2" s="3155" t="s">
        <v>3011</v>
      </c>
    </row>
    <row r="3" spans="1:21" s="961" customFormat="1" ht="19.5" customHeight="1">
      <c r="A3" s="3710" t="s">
        <v>2808</v>
      </c>
      <c r="B3" s="3147"/>
      <c r="C3" s="3148" t="s">
        <v>2786</v>
      </c>
      <c r="D3" s="3148" t="s">
        <v>2809</v>
      </c>
      <c r="E3" s="3148" t="s">
        <v>2788</v>
      </c>
      <c r="F3" s="3148" t="s">
        <v>2810</v>
      </c>
      <c r="G3" s="3148" t="s">
        <v>2731</v>
      </c>
      <c r="H3" s="964"/>
      <c r="J3" s="3175" t="s">
        <v>2814</v>
      </c>
      <c r="K3" s="3155" t="s">
        <v>973</v>
      </c>
      <c r="L3" s="3155" t="s">
        <v>974</v>
      </c>
      <c r="M3" s="3155" t="s">
        <v>975</v>
      </c>
      <c r="N3" s="3155" t="s">
        <v>976</v>
      </c>
      <c r="O3" s="3155" t="s">
        <v>977</v>
      </c>
      <c r="P3" s="3155" t="s">
        <v>978</v>
      </c>
      <c r="Q3" s="3155" t="s">
        <v>979</v>
      </c>
      <c r="R3" s="3155" t="s">
        <v>980</v>
      </c>
      <c r="S3" s="3155" t="s">
        <v>981</v>
      </c>
      <c r="T3" s="3155" t="s">
        <v>3000</v>
      </c>
      <c r="U3" s="3155" t="s">
        <v>3012</v>
      </c>
    </row>
    <row r="4" spans="1:21" s="961" customFormat="1" ht="19.5" customHeight="1" thickBot="1">
      <c r="A4" s="3711"/>
      <c r="B4" s="3149" t="s">
        <v>2811</v>
      </c>
      <c r="C4" s="3149" t="s">
        <v>2812</v>
      </c>
      <c r="D4" s="3149" t="s">
        <v>2812</v>
      </c>
      <c r="E4" s="3149" t="s">
        <v>2812</v>
      </c>
      <c r="F4" s="3150" t="s">
        <v>2812</v>
      </c>
      <c r="G4" s="3150" t="s">
        <v>2812</v>
      </c>
      <c r="H4" s="964"/>
      <c r="J4" s="3175" t="s">
        <v>982</v>
      </c>
      <c r="K4" s="3155" t="s">
        <v>983</v>
      </c>
      <c r="L4" s="3155" t="s">
        <v>984</v>
      </c>
      <c r="M4" s="3155" t="s">
        <v>985</v>
      </c>
      <c r="N4" s="3155" t="s">
        <v>986</v>
      </c>
      <c r="O4" s="3155" t="s">
        <v>987</v>
      </c>
      <c r="P4" s="3155" t="s">
        <v>988</v>
      </c>
      <c r="Q4" s="3155" t="s">
        <v>989</v>
      </c>
      <c r="R4" s="3155" t="s">
        <v>2945</v>
      </c>
      <c r="S4" s="3155" t="s">
        <v>2980</v>
      </c>
      <c r="T4" s="3155" t="s">
        <v>3001</v>
      </c>
      <c r="U4" s="3155" t="s">
        <v>3013</v>
      </c>
    </row>
    <row r="5" spans="1:21" ht="14.25" customHeight="1">
      <c r="A5" s="3152" t="s">
        <v>990</v>
      </c>
      <c r="B5" s="3153" t="s">
        <v>2813</v>
      </c>
      <c r="C5" s="3153">
        <v>34550</v>
      </c>
      <c r="D5" s="3153">
        <v>34470</v>
      </c>
      <c r="E5" s="3153">
        <v>34330</v>
      </c>
      <c r="F5" s="3154">
        <v>13400</v>
      </c>
      <c r="G5" s="3154">
        <v>25450</v>
      </c>
      <c r="H5" s="965" t="s">
        <v>961</v>
      </c>
      <c r="I5" s="966">
        <f>SUMPRODUCT((B5:B9=基准地价!I2)*(C3:G3=基准地价!E2)*(C5:G9))</f>
        <v>0</v>
      </c>
      <c r="J5" s="3175" t="s">
        <v>991</v>
      </c>
      <c r="K5" s="3155" t="s">
        <v>992</v>
      </c>
      <c r="L5" s="3155" t="s">
        <v>993</v>
      </c>
      <c r="M5" s="3155" t="s">
        <v>994</v>
      </c>
      <c r="N5" s="3155" t="s">
        <v>995</v>
      </c>
      <c r="O5" s="3155" t="s">
        <v>996</v>
      </c>
      <c r="P5" s="3155" t="s">
        <v>997</v>
      </c>
      <c r="Q5" s="3155" t="s">
        <v>998</v>
      </c>
      <c r="R5" s="3155" t="s">
        <v>2946</v>
      </c>
      <c r="S5" s="3155" t="s">
        <v>2981</v>
      </c>
      <c r="T5" s="3155" t="s">
        <v>999</v>
      </c>
      <c r="U5" s="3155" t="s">
        <v>3014</v>
      </c>
    </row>
    <row r="6" spans="1:21" ht="14.25" customHeight="1">
      <c r="A6" s="3155" t="s">
        <v>990</v>
      </c>
      <c r="B6" s="3155" t="s">
        <v>2814</v>
      </c>
      <c r="C6" s="3155">
        <v>36990</v>
      </c>
      <c r="D6" s="3155">
        <v>36850</v>
      </c>
      <c r="E6" s="3155">
        <v>36700</v>
      </c>
      <c r="F6" s="3156">
        <v>14590</v>
      </c>
      <c r="G6" s="3156">
        <v>27450</v>
      </c>
      <c r="H6" s="967" t="s">
        <v>1000</v>
      </c>
      <c r="I6" s="968">
        <f>SUMPRODUCT((B10:B29=基准地价!I2)*(C3:G3=基准地价!E2)*(C10:G29))</f>
        <v>0</v>
      </c>
      <c r="J6" s="3175" t="s">
        <v>1001</v>
      </c>
      <c r="K6" s="3155" t="s">
        <v>1002</v>
      </c>
      <c r="L6" s="3155" t="s">
        <v>1003</v>
      </c>
      <c r="M6" s="3155" t="s">
        <v>1004</v>
      </c>
      <c r="N6" s="3155" t="s">
        <v>1005</v>
      </c>
      <c r="O6" s="3155" t="s">
        <v>1006</v>
      </c>
      <c r="P6" s="3155" t="s">
        <v>1007</v>
      </c>
      <c r="Q6" s="3155" t="s">
        <v>2917</v>
      </c>
      <c r="R6" s="3155" t="s">
        <v>2947</v>
      </c>
      <c r="S6" s="3155" t="s">
        <v>1008</v>
      </c>
      <c r="T6" s="3155" t="s">
        <v>3002</v>
      </c>
      <c r="U6" s="3155" t="s">
        <v>3015</v>
      </c>
    </row>
    <row r="7" spans="1:21" ht="14.25" customHeight="1">
      <c r="A7" s="3155" t="s">
        <v>990</v>
      </c>
      <c r="B7" s="1216" t="s">
        <v>982</v>
      </c>
      <c r="C7" s="3155">
        <v>34850</v>
      </c>
      <c r="D7" s="3155">
        <v>34690</v>
      </c>
      <c r="E7" s="3155">
        <v>34550</v>
      </c>
      <c r="F7" s="3156">
        <v>14360</v>
      </c>
      <c r="G7" s="3156">
        <v>25620</v>
      </c>
      <c r="H7" s="967" t="s">
        <v>838</v>
      </c>
      <c r="I7" s="968">
        <f>SUMPRODUCT((B30:B54=基准地价!I2)*(C3:G3=基准地价!E2)*(C30:G54))</f>
        <v>0</v>
      </c>
      <c r="K7" s="3155" t="s">
        <v>1009</v>
      </c>
      <c r="L7" s="3155" t="s">
        <v>1010</v>
      </c>
      <c r="M7" s="3155" t="s">
        <v>1011</v>
      </c>
      <c r="N7" s="3155" t="s">
        <v>1012</v>
      </c>
      <c r="O7" s="3155" t="s">
        <v>1013</v>
      </c>
      <c r="P7" s="3155" t="s">
        <v>1014</v>
      </c>
      <c r="Q7" s="3155" t="s">
        <v>2918</v>
      </c>
      <c r="R7" s="3155" t="s">
        <v>2948</v>
      </c>
      <c r="S7" s="3155" t="s">
        <v>2982</v>
      </c>
      <c r="T7" s="3155" t="s">
        <v>3003</v>
      </c>
      <c r="U7" s="1216" t="s">
        <v>3016</v>
      </c>
    </row>
    <row r="8" spans="1:21" ht="14.25" customHeight="1">
      <c r="A8" s="3155" t="s">
        <v>990</v>
      </c>
      <c r="B8" s="3155" t="s">
        <v>991</v>
      </c>
      <c r="C8" s="3155">
        <v>32630</v>
      </c>
      <c r="D8" s="3155">
        <v>32510</v>
      </c>
      <c r="E8" s="3155">
        <v>32420</v>
      </c>
      <c r="F8" s="3156">
        <v>13300</v>
      </c>
      <c r="G8" s="3156">
        <v>24010</v>
      </c>
      <c r="H8" s="967" t="s">
        <v>839</v>
      </c>
      <c r="I8" s="968">
        <f>SUMPRODUCT((B55:B86=基准地价!I2)*(C3:G3=基准地价!E2)*(C55:G86))</f>
        <v>0</v>
      </c>
      <c r="K8" s="3155" t="s">
        <v>1015</v>
      </c>
      <c r="L8" s="3155" t="s">
        <v>1016</v>
      </c>
      <c r="M8" s="3155" t="s">
        <v>1017</v>
      </c>
      <c r="N8" s="3155" t="s">
        <v>1018</v>
      </c>
      <c r="O8" s="3155" t="s">
        <v>1019</v>
      </c>
      <c r="P8" s="3155" t="s">
        <v>1020</v>
      </c>
      <c r="Q8" s="3155" t="s">
        <v>2919</v>
      </c>
      <c r="R8" s="3155" t="s">
        <v>1021</v>
      </c>
      <c r="S8" s="3155" t="s">
        <v>2983</v>
      </c>
      <c r="T8" s="3155" t="s">
        <v>3004</v>
      </c>
      <c r="U8" s="3155" t="s">
        <v>3017</v>
      </c>
    </row>
    <row r="9" spans="1:21" ht="14.25" customHeight="1" thickBot="1">
      <c r="A9" s="3169" t="s">
        <v>990</v>
      </c>
      <c r="B9" s="3157" t="s">
        <v>1001</v>
      </c>
      <c r="C9" s="3158">
        <v>36370</v>
      </c>
      <c r="D9" s="3158">
        <v>36210</v>
      </c>
      <c r="E9" s="3158">
        <v>36050</v>
      </c>
      <c r="F9" s="3159"/>
      <c r="G9" s="3160">
        <v>26740</v>
      </c>
      <c r="H9" s="967" t="s">
        <v>840</v>
      </c>
      <c r="I9" s="968">
        <f>SUMPRODUCT((B87:B126=基准地价!I2)*(C3:G3=基准地价!E2)*(C87:G126))</f>
        <v>0</v>
      </c>
      <c r="K9" s="3155" t="s">
        <v>1022</v>
      </c>
      <c r="L9" s="3155" t="s">
        <v>1023</v>
      </c>
      <c r="M9" s="3155" t="s">
        <v>1024</v>
      </c>
      <c r="N9" s="3155" t="s">
        <v>1025</v>
      </c>
      <c r="O9" s="3155" t="s">
        <v>1026</v>
      </c>
      <c r="P9" s="3155" t="s">
        <v>1027</v>
      </c>
      <c r="Q9" s="3155" t="s">
        <v>2920</v>
      </c>
      <c r="R9" s="3155" t="s">
        <v>1029</v>
      </c>
      <c r="S9" s="3155" t="s">
        <v>1030</v>
      </c>
      <c r="T9" s="3155" t="s">
        <v>1047</v>
      </c>
    </row>
    <row r="10" spans="1:21" ht="14.25" customHeight="1">
      <c r="A10" s="3152" t="s">
        <v>1031</v>
      </c>
      <c r="B10" s="3153" t="s">
        <v>2815</v>
      </c>
      <c r="C10" s="3153">
        <v>32350</v>
      </c>
      <c r="D10" s="3153">
        <v>31430</v>
      </c>
      <c r="E10" s="3153">
        <v>31320</v>
      </c>
      <c r="F10" s="3154">
        <v>10850</v>
      </c>
      <c r="G10" s="3154">
        <v>22860</v>
      </c>
      <c r="H10" s="967" t="s">
        <v>841</v>
      </c>
      <c r="I10" s="968">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3005</v>
      </c>
    </row>
    <row r="11" spans="1:21" ht="14.25" customHeight="1">
      <c r="A11" s="3155" t="s">
        <v>1031</v>
      </c>
      <c r="B11" s="1216" t="s">
        <v>973</v>
      </c>
      <c r="C11" s="3155">
        <v>31590</v>
      </c>
      <c r="D11" s="3155">
        <v>29490</v>
      </c>
      <c r="E11" s="3155">
        <v>28700</v>
      </c>
      <c r="F11" s="3161">
        <v>10410</v>
      </c>
      <c r="G11" s="3161">
        <v>21460</v>
      </c>
      <c r="H11" s="967" t="s">
        <v>842</v>
      </c>
      <c r="I11" s="968">
        <f>SUMPRODUCT((B190:B233=基准地价!I2)*(C3:G3=基准地价!E2)*(C190:G233))</f>
        <v>0</v>
      </c>
      <c r="K11" s="3155" t="s">
        <v>1041</v>
      </c>
      <c r="L11" s="3155" t="s">
        <v>1042</v>
      </c>
      <c r="M11" s="3155" t="s">
        <v>1043</v>
      </c>
      <c r="N11" s="3155" t="s">
        <v>1044</v>
      </c>
      <c r="O11" s="3155" t="s">
        <v>1045</v>
      </c>
      <c r="P11" s="3155" t="s">
        <v>2886</v>
      </c>
      <c r="Q11" s="3155" t="s">
        <v>1038</v>
      </c>
      <c r="R11" s="3155" t="s">
        <v>1046</v>
      </c>
      <c r="S11" s="3155" t="s">
        <v>2984</v>
      </c>
      <c r="T11" s="3155" t="s">
        <v>3006</v>
      </c>
    </row>
    <row r="12" spans="1:21" ht="14.25" customHeight="1">
      <c r="A12" s="3155" t="s">
        <v>1031</v>
      </c>
      <c r="B12" s="1216" t="s">
        <v>983</v>
      </c>
      <c r="C12" s="3155">
        <v>29640</v>
      </c>
      <c r="D12" s="3155">
        <v>27550</v>
      </c>
      <c r="E12" s="3155">
        <v>28010</v>
      </c>
      <c r="F12" s="3161">
        <v>8730</v>
      </c>
      <c r="G12" s="3161">
        <v>20050</v>
      </c>
      <c r="H12" s="967" t="s">
        <v>843</v>
      </c>
      <c r="I12" s="968">
        <f>SUMPRODUCT((B234:B276=基准地价!I2)*(C3:G3=基准地价!E2)*(C234:G276))</f>
        <v>0</v>
      </c>
      <c r="K12" s="3155" t="s">
        <v>1048</v>
      </c>
      <c r="L12" s="3155" t="s">
        <v>1049</v>
      </c>
      <c r="M12" s="3155" t="s">
        <v>1050</v>
      </c>
      <c r="N12" s="3155" t="s">
        <v>1051</v>
      </c>
      <c r="O12" s="3155" t="s">
        <v>1052</v>
      </c>
      <c r="P12" s="3155" t="s">
        <v>2887</v>
      </c>
      <c r="Q12" s="3155" t="s">
        <v>2921</v>
      </c>
      <c r="R12" s="3155" t="s">
        <v>2949</v>
      </c>
      <c r="S12" s="3155" t="s">
        <v>2985</v>
      </c>
      <c r="T12" s="3155" t="s">
        <v>3007</v>
      </c>
    </row>
    <row r="13" spans="1:21" ht="14.25" customHeight="1">
      <c r="A13" s="3155" t="s">
        <v>1031</v>
      </c>
      <c r="B13" s="1216" t="s">
        <v>992</v>
      </c>
      <c r="C13" s="3155">
        <v>29680</v>
      </c>
      <c r="D13" s="3155">
        <v>27660</v>
      </c>
      <c r="E13" s="3155">
        <v>28210</v>
      </c>
      <c r="F13" s="3161">
        <v>9590</v>
      </c>
      <c r="G13" s="3161">
        <v>20120</v>
      </c>
      <c r="H13" s="967" t="s">
        <v>844</v>
      </c>
      <c r="I13" s="968">
        <f>SUMPRODUCT((B277:B326=基准地价!I2)*(C3:G3=基准地价!E2)*(C277:G326))</f>
        <v>5560</v>
      </c>
      <c r="K13" s="3155" t="s">
        <v>1055</v>
      </c>
      <c r="L13" s="3155" t="s">
        <v>1056</v>
      </c>
      <c r="M13" s="3155" t="s">
        <v>1057</v>
      </c>
      <c r="N13" s="3155" t="s">
        <v>1058</v>
      </c>
      <c r="O13" s="3155" t="s">
        <v>1059</v>
      </c>
      <c r="P13" s="3155" t="s">
        <v>2888</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7" t="s">
        <v>845</v>
      </c>
      <c r="I14" s="968">
        <f>SUMPRODUCT((B327:B357=基准地价!I2)*(C3:G3=基准地价!E2)*(C327:G357))</f>
        <v>0</v>
      </c>
      <c r="K14" s="3155" t="s">
        <v>1062</v>
      </c>
      <c r="L14" s="3155" t="s">
        <v>1063</v>
      </c>
      <c r="M14" s="3155" t="s">
        <v>1064</v>
      </c>
      <c r="N14" s="3155" t="s">
        <v>1065</v>
      </c>
      <c r="O14" s="3155" t="s">
        <v>1066</v>
      </c>
      <c r="P14" s="3155" t="s">
        <v>1088</v>
      </c>
      <c r="Q14" s="3155" t="s">
        <v>1060</v>
      </c>
      <c r="R14" s="3155" t="s">
        <v>2950</v>
      </c>
      <c r="S14" s="3155" t="s">
        <v>1076</v>
      </c>
      <c r="T14" s="3155" t="s">
        <v>1069</v>
      </c>
    </row>
    <row r="15" spans="1:21" ht="14.25" customHeight="1">
      <c r="A15" s="3155" t="s">
        <v>1031</v>
      </c>
      <c r="B15" s="1216" t="s">
        <v>1009</v>
      </c>
      <c r="C15" s="3155">
        <v>29090</v>
      </c>
      <c r="D15" s="3155">
        <v>27590</v>
      </c>
      <c r="E15" s="3155">
        <v>28120</v>
      </c>
      <c r="F15" s="3161">
        <v>9110</v>
      </c>
      <c r="G15" s="3161">
        <v>20070</v>
      </c>
      <c r="H15" s="967" t="s">
        <v>846</v>
      </c>
      <c r="I15" s="968">
        <f>SUMPRODUCT((B358:B377=基准地价!I2)*(C3:G3=基准地价!E2)*(C358:G377))</f>
        <v>0</v>
      </c>
      <c r="K15" s="3155" t="s">
        <v>1070</v>
      </c>
      <c r="L15" s="3155" t="s">
        <v>1071</v>
      </c>
      <c r="M15" s="3155" t="s">
        <v>1072</v>
      </c>
      <c r="N15" s="3155" t="s">
        <v>1073</v>
      </c>
      <c r="O15" s="3155" t="s">
        <v>1074</v>
      </c>
      <c r="P15" s="3155" t="s">
        <v>2889</v>
      </c>
      <c r="Q15" s="3155" t="s">
        <v>2922</v>
      </c>
      <c r="R15" s="3155" t="s">
        <v>1090</v>
      </c>
      <c r="S15" s="3155" t="s">
        <v>2986</v>
      </c>
      <c r="T15" s="3155" t="s">
        <v>1077</v>
      </c>
    </row>
    <row r="16" spans="1:21" ht="14.25" customHeight="1" thickBot="1">
      <c r="A16" s="3155" t="s">
        <v>1031</v>
      </c>
      <c r="B16" s="1216" t="s">
        <v>1015</v>
      </c>
      <c r="C16" s="3155">
        <v>26790</v>
      </c>
      <c r="D16" s="3155">
        <v>30370</v>
      </c>
      <c r="E16" s="3155">
        <v>30240</v>
      </c>
      <c r="F16" s="3161">
        <v>11590</v>
      </c>
      <c r="G16" s="3161">
        <v>22090</v>
      </c>
      <c r="H16" s="969" t="s">
        <v>847</v>
      </c>
      <c r="I16" s="970">
        <f>SUMPRODUCT((B378:B384=基准地价!I2)*(C3:G3=基准地价!E2)*(C378:G384))</f>
        <v>0</v>
      </c>
      <c r="K16" s="3155" t="s">
        <v>1078</v>
      </c>
      <c r="L16" s="3155" t="s">
        <v>1079</v>
      </c>
      <c r="M16" s="3155" t="s">
        <v>1080</v>
      </c>
      <c r="N16" s="3155" t="s">
        <v>1081</v>
      </c>
      <c r="O16" s="3155" t="s">
        <v>1082</v>
      </c>
      <c r="P16" s="3155" t="s">
        <v>2890</v>
      </c>
      <c r="Q16" s="3155" t="s">
        <v>1075</v>
      </c>
      <c r="R16" s="3155" t="s">
        <v>1098</v>
      </c>
      <c r="S16" s="3155" t="s">
        <v>1054</v>
      </c>
      <c r="T16" s="3155" t="s">
        <v>3008</v>
      </c>
    </row>
    <row r="17" spans="1:20" ht="14.25" customHeight="1">
      <c r="A17" s="3155" t="s">
        <v>1031</v>
      </c>
      <c r="B17" s="1216" t="s">
        <v>1022</v>
      </c>
      <c r="C17" s="3155">
        <v>29180</v>
      </c>
      <c r="D17" s="3155">
        <v>27620</v>
      </c>
      <c r="E17" s="3155">
        <v>28180</v>
      </c>
      <c r="F17" s="3161">
        <v>10790</v>
      </c>
      <c r="G17" s="3162">
        <v>20090</v>
      </c>
      <c r="I17" s="971"/>
      <c r="K17" s="3155" t="s">
        <v>1083</v>
      </c>
      <c r="L17" s="3155" t="s">
        <v>1084</v>
      </c>
      <c r="M17" s="3155" t="s">
        <v>1085</v>
      </c>
      <c r="N17" s="3155" t="s">
        <v>1086</v>
      </c>
      <c r="O17" s="3155" t="s">
        <v>1087</v>
      </c>
      <c r="P17" s="3155" t="s">
        <v>2891</v>
      </c>
      <c r="Q17" s="3155" t="s">
        <v>2923</v>
      </c>
      <c r="R17" s="3155" t="s">
        <v>1104</v>
      </c>
      <c r="S17" s="3155" t="s">
        <v>2987</v>
      </c>
      <c r="T17" s="3155" t="s">
        <v>1106</v>
      </c>
    </row>
    <row r="18" spans="1:20" ht="14.25" customHeight="1">
      <c r="A18" s="3155" t="s">
        <v>1031</v>
      </c>
      <c r="B18" s="1216" t="s">
        <v>1032</v>
      </c>
      <c r="C18" s="3155">
        <v>26840</v>
      </c>
      <c r="D18" s="3155">
        <v>28930</v>
      </c>
      <c r="E18" s="3155">
        <v>28820</v>
      </c>
      <c r="F18" s="3161"/>
      <c r="G18" s="3162">
        <v>21050</v>
      </c>
      <c r="I18" s="971"/>
      <c r="K18" s="3155" t="s">
        <v>1092</v>
      </c>
      <c r="L18" s="3155" t="s">
        <v>1093</v>
      </c>
      <c r="M18" s="3155" t="s">
        <v>1094</v>
      </c>
      <c r="N18" s="3155" t="s">
        <v>1095</v>
      </c>
      <c r="O18" s="3155" t="s">
        <v>1096</v>
      </c>
      <c r="P18" s="3155" t="s">
        <v>2892</v>
      </c>
      <c r="Q18" s="3155" t="s">
        <v>1089</v>
      </c>
      <c r="R18" s="3155" t="s">
        <v>2951</v>
      </c>
      <c r="S18" s="3155" t="s">
        <v>1105</v>
      </c>
      <c r="T18" s="3155" t="s">
        <v>1114</v>
      </c>
    </row>
    <row r="19" spans="1:20" ht="14.25" customHeight="1">
      <c r="A19" s="3155" t="s">
        <v>1031</v>
      </c>
      <c r="B19" s="1216" t="s">
        <v>1041</v>
      </c>
      <c r="C19" s="3155">
        <v>27750</v>
      </c>
      <c r="D19" s="3155">
        <v>26680</v>
      </c>
      <c r="E19" s="3155">
        <v>26590</v>
      </c>
      <c r="F19" s="3161"/>
      <c r="G19" s="3162">
        <v>19420</v>
      </c>
      <c r="I19" s="971"/>
      <c r="K19" s="3155" t="s">
        <v>1099</v>
      </c>
      <c r="L19" s="3155" t="s">
        <v>1100</v>
      </c>
      <c r="M19" s="3155" t="s">
        <v>1101</v>
      </c>
      <c r="N19" s="3155" t="s">
        <v>1102</v>
      </c>
      <c r="O19" s="3155" t="s">
        <v>1103</v>
      </c>
      <c r="P19" s="3155" t="s">
        <v>2893</v>
      </c>
      <c r="Q19" s="3155" t="s">
        <v>1097</v>
      </c>
      <c r="R19" s="3155" t="s">
        <v>2952</v>
      </c>
      <c r="S19" s="3155" t="s">
        <v>1113</v>
      </c>
      <c r="T19" s="3155" t="s">
        <v>3009</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2894</v>
      </c>
      <c r="Q20" s="3155" t="s">
        <v>2924</v>
      </c>
      <c r="R20" s="3155" t="s">
        <v>1139</v>
      </c>
      <c r="S20" s="3155" t="s">
        <v>2988</v>
      </c>
      <c r="T20" s="3155" t="s">
        <v>1126</v>
      </c>
    </row>
    <row r="21" spans="1:20" ht="14.25" customHeight="1">
      <c r="A21" s="3155" t="s">
        <v>1031</v>
      </c>
      <c r="B21" s="1216" t="s">
        <v>1055</v>
      </c>
      <c r="C21" s="3155">
        <v>32370</v>
      </c>
      <c r="D21" s="3155">
        <v>26730</v>
      </c>
      <c r="E21" s="3155">
        <v>26640</v>
      </c>
      <c r="F21" s="3161"/>
      <c r="G21" s="3162">
        <v>19440</v>
      </c>
      <c r="K21" s="3164" t="s">
        <v>2816</v>
      </c>
      <c r="L21" s="3155" t="s">
        <v>1115</v>
      </c>
      <c r="M21" s="3155" t="s">
        <v>1116</v>
      </c>
      <c r="N21" s="3155" t="s">
        <v>1117</v>
      </c>
      <c r="O21" s="3155" t="s">
        <v>1118</v>
      </c>
      <c r="P21" s="3155" t="s">
        <v>1112</v>
      </c>
      <c r="Q21" s="3155" t="s">
        <v>1132</v>
      </c>
      <c r="R21" s="3155" t="s">
        <v>1142</v>
      </c>
      <c r="S21" s="3155" t="s">
        <v>2989</v>
      </c>
      <c r="T21" s="3155" t="s">
        <v>3010</v>
      </c>
    </row>
    <row r="22" spans="1:20" ht="14.25" customHeight="1">
      <c r="A22" s="3155" t="s">
        <v>1031</v>
      </c>
      <c r="B22" s="1216" t="s">
        <v>1062</v>
      </c>
      <c r="C22" s="3155">
        <v>29830</v>
      </c>
      <c r="D22" s="3155">
        <v>27600</v>
      </c>
      <c r="E22" s="3155">
        <v>28150</v>
      </c>
      <c r="F22" s="3161"/>
      <c r="G22" s="3162">
        <v>20080</v>
      </c>
      <c r="L22" s="3164" t="s">
        <v>2818</v>
      </c>
      <c r="M22" s="3155" t="s">
        <v>1120</v>
      </c>
      <c r="N22" s="3155" t="s">
        <v>1121</v>
      </c>
      <c r="O22" s="3155" t="s">
        <v>1122</v>
      </c>
      <c r="P22" s="3155" t="s">
        <v>2895</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2819</v>
      </c>
      <c r="M23" s="3155" t="s">
        <v>1127</v>
      </c>
      <c r="N23" s="3155" t="s">
        <v>1128</v>
      </c>
      <c r="O23" s="3155" t="s">
        <v>2849</v>
      </c>
      <c r="P23" s="3155" t="s">
        <v>2896</v>
      </c>
      <c r="Q23" s="3155" t="s">
        <v>1138</v>
      </c>
      <c r="R23" s="3155" t="s">
        <v>1147</v>
      </c>
      <c r="S23" s="3155" t="s">
        <v>2990</v>
      </c>
    </row>
    <row r="24" spans="1:20" ht="14.25" customHeight="1">
      <c r="A24" s="3155" t="s">
        <v>1031</v>
      </c>
      <c r="B24" s="1216" t="s">
        <v>1078</v>
      </c>
      <c r="C24" s="3155">
        <v>27930</v>
      </c>
      <c r="D24" s="3155">
        <v>32260</v>
      </c>
      <c r="E24" s="3155">
        <v>32120</v>
      </c>
      <c r="F24" s="3161"/>
      <c r="G24" s="3162">
        <v>23470</v>
      </c>
      <c r="L24" s="3164" t="s">
        <v>2820</v>
      </c>
      <c r="M24" s="3155" t="s">
        <v>1130</v>
      </c>
      <c r="N24" s="3155" t="s">
        <v>1131</v>
      </c>
      <c r="O24" s="3155" t="s">
        <v>2850</v>
      </c>
      <c r="P24" s="3155" t="s">
        <v>1134</v>
      </c>
      <c r="Q24" s="3155" t="s">
        <v>2925</v>
      </c>
      <c r="R24" s="3155" t="s">
        <v>2953</v>
      </c>
      <c r="S24" s="3155" t="s">
        <v>2991</v>
      </c>
    </row>
    <row r="25" spans="1:20" ht="14.25" customHeight="1">
      <c r="A25" s="3155" t="s">
        <v>1031</v>
      </c>
      <c r="B25" s="1216" t="s">
        <v>1083</v>
      </c>
      <c r="C25" s="3155">
        <v>32230</v>
      </c>
      <c r="D25" s="3155">
        <v>29640</v>
      </c>
      <c r="E25" s="3155">
        <v>29510</v>
      </c>
      <c r="F25" s="3161"/>
      <c r="G25" s="3162">
        <v>21560</v>
      </c>
      <c r="L25" s="3164" t="s">
        <v>2821</v>
      </c>
      <c r="M25" s="3155" t="s">
        <v>2824</v>
      </c>
      <c r="N25" s="3155" t="s">
        <v>1133</v>
      </c>
      <c r="O25" s="3155" t="s">
        <v>1141</v>
      </c>
      <c r="P25" s="3155" t="s">
        <v>1137</v>
      </c>
      <c r="Q25" s="3155" t="s">
        <v>1124</v>
      </c>
      <c r="R25" s="3155" t="s">
        <v>1119</v>
      </c>
      <c r="S25" s="3155" t="s">
        <v>2992</v>
      </c>
    </row>
    <row r="26" spans="1:20" ht="14.25" customHeight="1">
      <c r="A26" s="3155" t="s">
        <v>1031</v>
      </c>
      <c r="B26" s="1216" t="s">
        <v>1092</v>
      </c>
      <c r="C26" s="3155">
        <v>31690</v>
      </c>
      <c r="D26" s="3155">
        <v>27650</v>
      </c>
      <c r="E26" s="3155">
        <v>28200</v>
      </c>
      <c r="F26" s="3161"/>
      <c r="G26" s="3162">
        <v>20110</v>
      </c>
      <c r="L26" s="3164" t="s">
        <v>2822</v>
      </c>
      <c r="M26" s="3155" t="s">
        <v>2825</v>
      </c>
      <c r="N26" s="3155" t="s">
        <v>1136</v>
      </c>
      <c r="O26" s="3155" t="s">
        <v>1143</v>
      </c>
      <c r="P26" s="3155" t="s">
        <v>2897</v>
      </c>
      <c r="Q26" s="3155" t="s">
        <v>2926</v>
      </c>
      <c r="R26" s="3155" t="s">
        <v>1125</v>
      </c>
      <c r="S26" s="3155" t="s">
        <v>2993</v>
      </c>
    </row>
    <row r="27" spans="1:20" ht="14.25" customHeight="1">
      <c r="A27" s="3155" t="s">
        <v>1031</v>
      </c>
      <c r="B27" s="1216" t="s">
        <v>1099</v>
      </c>
      <c r="C27" s="3155">
        <v>29610</v>
      </c>
      <c r="D27" s="3155">
        <v>27770</v>
      </c>
      <c r="E27" s="3155">
        <v>28300</v>
      </c>
      <c r="F27" s="3161"/>
      <c r="G27" s="3162">
        <v>20210</v>
      </c>
      <c r="M27" s="3155" t="s">
        <v>2826</v>
      </c>
      <c r="N27" s="3155" t="s">
        <v>1140</v>
      </c>
      <c r="O27" s="3155" t="s">
        <v>1146</v>
      </c>
      <c r="P27" s="3155" t="s">
        <v>1123</v>
      </c>
      <c r="Q27" s="3155" t="s">
        <v>2927</v>
      </c>
      <c r="R27" s="3155" t="s">
        <v>2954</v>
      </c>
      <c r="S27" s="3155" t="s">
        <v>2994</v>
      </c>
    </row>
    <row r="28" spans="1:20" ht="14.25" customHeight="1">
      <c r="A28" s="3169" t="s">
        <v>1031</v>
      </c>
      <c r="B28" s="2405" t="s">
        <v>1107</v>
      </c>
      <c r="C28" s="1214"/>
      <c r="D28" s="1214">
        <v>31520</v>
      </c>
      <c r="E28" s="1214">
        <v>31410</v>
      </c>
      <c r="F28" s="3166"/>
      <c r="G28" s="3167">
        <v>22940</v>
      </c>
      <c r="M28" s="3155" t="s">
        <v>2827</v>
      </c>
      <c r="N28" s="3155" t="s">
        <v>2834</v>
      </c>
      <c r="O28" s="3155" t="s">
        <v>2851</v>
      </c>
      <c r="P28" s="3155" t="s">
        <v>2898</v>
      </c>
      <c r="Q28" s="3155" t="s">
        <v>2928</v>
      </c>
      <c r="R28" s="3155" t="s">
        <v>2955</v>
      </c>
      <c r="S28" s="3164" t="s">
        <v>2995</v>
      </c>
    </row>
    <row r="29" spans="1:20" ht="14.25" customHeight="1" thickBot="1">
      <c r="A29" s="3170" t="s">
        <v>1031</v>
      </c>
      <c r="B29" s="3158" t="s">
        <v>2816</v>
      </c>
      <c r="C29" s="3158"/>
      <c r="D29" s="3158">
        <v>29460</v>
      </c>
      <c r="E29" s="3158">
        <v>28640</v>
      </c>
      <c r="F29" s="3159"/>
      <c r="G29" s="3171">
        <v>21430</v>
      </c>
      <c r="M29" s="3164" t="s">
        <v>2828</v>
      </c>
      <c r="N29" s="3155" t="s">
        <v>2835</v>
      </c>
      <c r="O29" s="3155" t="s">
        <v>2852</v>
      </c>
      <c r="P29" s="3155" t="s">
        <v>2899</v>
      </c>
      <c r="Q29" s="3155" t="s">
        <v>2929</v>
      </c>
      <c r="R29" s="3155" t="s">
        <v>2956</v>
      </c>
      <c r="S29" s="3164" t="s">
        <v>1129</v>
      </c>
    </row>
    <row r="30" spans="1:20" ht="14.25" customHeight="1">
      <c r="A30" s="3169" t="s">
        <v>1145</v>
      </c>
      <c r="B30" s="1216" t="s">
        <v>2817</v>
      </c>
      <c r="C30" s="1216">
        <v>26890</v>
      </c>
      <c r="D30" s="1216">
        <v>26770</v>
      </c>
      <c r="E30" s="1216">
        <v>25700</v>
      </c>
      <c r="F30" s="3156">
        <v>8180</v>
      </c>
      <c r="G30" s="3156">
        <v>18740</v>
      </c>
      <c r="I30" s="971"/>
      <c r="M30" s="3164" t="s">
        <v>2829</v>
      </c>
      <c r="N30" s="3155" t="s">
        <v>2836</v>
      </c>
      <c r="O30" s="3155" t="s">
        <v>2853</v>
      </c>
      <c r="P30" s="3155" t="s">
        <v>2900</v>
      </c>
      <c r="Q30" s="3155" t="s">
        <v>2930</v>
      </c>
      <c r="R30" s="3155" t="s">
        <v>2957</v>
      </c>
      <c r="S30" s="3164" t="s">
        <v>2996</v>
      </c>
    </row>
    <row r="31" spans="1:20" ht="14.25" customHeight="1">
      <c r="A31" s="3155" t="s">
        <v>1145</v>
      </c>
      <c r="B31" s="1216" t="s">
        <v>974</v>
      </c>
      <c r="C31" s="3155">
        <v>24550</v>
      </c>
      <c r="D31" s="3155">
        <v>23990</v>
      </c>
      <c r="E31" s="3155">
        <v>22930</v>
      </c>
      <c r="F31" s="3161">
        <v>7470</v>
      </c>
      <c r="G31" s="3161">
        <v>16790</v>
      </c>
      <c r="I31" s="971"/>
      <c r="M31" s="3164" t="s">
        <v>2830</v>
      </c>
      <c r="N31" s="3155" t="s">
        <v>2837</v>
      </c>
      <c r="O31" s="3155" t="s">
        <v>2854</v>
      </c>
      <c r="P31" s="3155" t="s">
        <v>2901</v>
      </c>
      <c r="Q31" s="3155" t="s">
        <v>2931</v>
      </c>
      <c r="R31" s="3155" t="s">
        <v>2958</v>
      </c>
      <c r="S31" s="3164" t="s">
        <v>2997</v>
      </c>
    </row>
    <row r="32" spans="1:20" ht="14.25" customHeight="1">
      <c r="A32" s="3155" t="s">
        <v>1145</v>
      </c>
      <c r="B32" s="1216" t="s">
        <v>984</v>
      </c>
      <c r="C32" s="3155">
        <v>27210</v>
      </c>
      <c r="D32" s="3155">
        <v>23240</v>
      </c>
      <c r="E32" s="3155">
        <v>23260</v>
      </c>
      <c r="F32" s="3161">
        <v>7130</v>
      </c>
      <c r="G32" s="3161">
        <v>16270</v>
      </c>
      <c r="I32" s="971"/>
      <c r="M32" s="3164" t="s">
        <v>2831</v>
      </c>
      <c r="N32" s="3155" t="s">
        <v>2838</v>
      </c>
      <c r="O32" s="3155" t="s">
        <v>1149</v>
      </c>
      <c r="P32" s="3155" t="s">
        <v>2902</v>
      </c>
      <c r="Q32" s="3155" t="s">
        <v>1148</v>
      </c>
      <c r="R32" s="3155" t="s">
        <v>2959</v>
      </c>
      <c r="S32" s="3164" t="s">
        <v>2998</v>
      </c>
    </row>
    <row r="33" spans="1:18" ht="14.25" customHeight="1">
      <c r="A33" s="3155" t="s">
        <v>1145</v>
      </c>
      <c r="B33" s="1216" t="s">
        <v>993</v>
      </c>
      <c r="C33" s="3155">
        <v>27300</v>
      </c>
      <c r="D33" s="3155">
        <v>22980</v>
      </c>
      <c r="E33" s="3155">
        <v>24260</v>
      </c>
      <c r="F33" s="3161">
        <v>5860</v>
      </c>
      <c r="G33" s="3161">
        <v>16090</v>
      </c>
      <c r="I33" s="971"/>
      <c r="M33" s="3164" t="s">
        <v>2832</v>
      </c>
      <c r="N33" s="3155" t="s">
        <v>2839</v>
      </c>
      <c r="O33" s="3155" t="s">
        <v>1150</v>
      </c>
      <c r="P33" s="3155" t="s">
        <v>2903</v>
      </c>
      <c r="Q33" s="3155" t="s">
        <v>2932</v>
      </c>
      <c r="R33" s="3155" t="s">
        <v>2960</v>
      </c>
    </row>
    <row r="34" spans="1:18" ht="14.25" customHeight="1">
      <c r="A34" s="3155" t="s">
        <v>1145</v>
      </c>
      <c r="B34" s="1216" t="s">
        <v>1003</v>
      </c>
      <c r="C34" s="3155">
        <v>23090</v>
      </c>
      <c r="D34" s="3155">
        <v>23390</v>
      </c>
      <c r="E34" s="3155">
        <v>23510</v>
      </c>
      <c r="F34" s="3161">
        <v>6700</v>
      </c>
      <c r="G34" s="3161">
        <v>16370</v>
      </c>
      <c r="I34" s="971"/>
      <c r="N34" s="3155" t="s">
        <v>2840</v>
      </c>
      <c r="O34" s="3155" t="s">
        <v>1151</v>
      </c>
      <c r="P34" s="3155" t="s">
        <v>2904</v>
      </c>
      <c r="Q34" s="3155" t="s">
        <v>2933</v>
      </c>
      <c r="R34" s="3155" t="s">
        <v>2961</v>
      </c>
    </row>
    <row r="35" spans="1:18" ht="14.25" customHeight="1">
      <c r="A35" s="3155" t="s">
        <v>1145</v>
      </c>
      <c r="B35" s="1216" t="s">
        <v>1010</v>
      </c>
      <c r="C35" s="3155">
        <v>27270</v>
      </c>
      <c r="D35" s="3155">
        <v>24270</v>
      </c>
      <c r="E35" s="3155">
        <v>24950</v>
      </c>
      <c r="F35" s="3161">
        <v>6600</v>
      </c>
      <c r="G35" s="3161">
        <v>16990</v>
      </c>
      <c r="I35" s="971"/>
      <c r="N35" s="3155" t="s">
        <v>2841</v>
      </c>
      <c r="O35" s="3155" t="s">
        <v>2855</v>
      </c>
      <c r="P35" s="3155" t="s">
        <v>2905</v>
      </c>
      <c r="Q35" s="3155" t="s">
        <v>2934</v>
      </c>
      <c r="R35" s="3155" t="s">
        <v>2962</v>
      </c>
    </row>
    <row r="36" spans="1:18" ht="14.25" customHeight="1">
      <c r="A36" s="3155" t="s">
        <v>1145</v>
      </c>
      <c r="B36" s="1216" t="s">
        <v>1016</v>
      </c>
      <c r="C36" s="3155">
        <v>23490</v>
      </c>
      <c r="D36" s="3155">
        <v>23020</v>
      </c>
      <c r="E36" s="3155">
        <v>25230</v>
      </c>
      <c r="F36" s="3161">
        <v>6780</v>
      </c>
      <c r="G36" s="3161">
        <v>16120</v>
      </c>
      <c r="I36" s="971"/>
      <c r="N36" s="3164" t="s">
        <v>2842</v>
      </c>
      <c r="O36" s="3191" t="s">
        <v>2856</v>
      </c>
      <c r="P36" s="3155" t="s">
        <v>2906</v>
      </c>
      <c r="Q36" s="3155" t="s">
        <v>2935</v>
      </c>
      <c r="R36" s="3155" t="s">
        <v>2963</v>
      </c>
    </row>
    <row r="37" spans="1:18" ht="14.25" customHeight="1">
      <c r="A37" s="3155" t="s">
        <v>1145</v>
      </c>
      <c r="B37" s="1216" t="s">
        <v>1023</v>
      </c>
      <c r="C37" s="3155">
        <v>24380</v>
      </c>
      <c r="D37" s="3155">
        <v>22240</v>
      </c>
      <c r="E37" s="3155">
        <v>25980</v>
      </c>
      <c r="F37" s="3161">
        <v>8160</v>
      </c>
      <c r="G37" s="3161">
        <v>15570</v>
      </c>
      <c r="I37" s="972"/>
      <c r="N37" s="3164" t="s">
        <v>2843</v>
      </c>
      <c r="O37" s="3191" t="s">
        <v>2857</v>
      </c>
      <c r="P37" s="3155" t="s">
        <v>2907</v>
      </c>
      <c r="Q37" s="3155" t="s">
        <v>2936</v>
      </c>
      <c r="R37" s="3155" t="s">
        <v>2964</v>
      </c>
    </row>
    <row r="38" spans="1:18" ht="14.25" customHeight="1">
      <c r="A38" s="3155" t="s">
        <v>1145</v>
      </c>
      <c r="B38" s="1216" t="s">
        <v>1033</v>
      </c>
      <c r="C38" s="3155">
        <v>23120</v>
      </c>
      <c r="D38" s="3155">
        <v>24630</v>
      </c>
      <c r="E38" s="3155">
        <v>25030</v>
      </c>
      <c r="F38" s="3161">
        <v>7710</v>
      </c>
      <c r="G38" s="3161">
        <v>17240</v>
      </c>
      <c r="I38" s="971"/>
      <c r="N38" s="3164" t="s">
        <v>2844</v>
      </c>
      <c r="O38" s="3191" t="s">
        <v>2858</v>
      </c>
      <c r="P38" s="3155" t="s">
        <v>2908</v>
      </c>
      <c r="Q38" s="3155" t="s">
        <v>2937</v>
      </c>
      <c r="R38" s="3155" t="s">
        <v>2965</v>
      </c>
    </row>
    <row r="39" spans="1:18" ht="14.25" customHeight="1">
      <c r="A39" s="3155" t="s">
        <v>1145</v>
      </c>
      <c r="B39" s="1216" t="s">
        <v>1042</v>
      </c>
      <c r="C39" s="3155">
        <v>22330</v>
      </c>
      <c r="D39" s="3155">
        <v>21140</v>
      </c>
      <c r="E39" s="3155">
        <v>23970</v>
      </c>
      <c r="F39" s="3161">
        <v>7940</v>
      </c>
      <c r="G39" s="3161">
        <v>14790</v>
      </c>
      <c r="I39" s="971"/>
      <c r="N39" s="3164" t="s">
        <v>2845</v>
      </c>
      <c r="O39" s="3191" t="s">
        <v>2859</v>
      </c>
      <c r="P39" s="3155" t="s">
        <v>2909</v>
      </c>
      <c r="Q39" s="3155" t="s">
        <v>2938</v>
      </c>
      <c r="R39" s="3155" t="s">
        <v>2966</v>
      </c>
    </row>
    <row r="40" spans="1:18" ht="14.25" customHeight="1">
      <c r="A40" s="3155" t="s">
        <v>1145</v>
      </c>
      <c r="B40" s="1216" t="s">
        <v>1049</v>
      </c>
      <c r="C40" s="3155">
        <v>24740</v>
      </c>
      <c r="D40" s="3155">
        <v>24690</v>
      </c>
      <c r="E40" s="3155">
        <v>22610</v>
      </c>
      <c r="F40" s="3161"/>
      <c r="G40" s="3161">
        <v>17280</v>
      </c>
      <c r="I40" s="971"/>
      <c r="N40" s="3164" t="s">
        <v>2846</v>
      </c>
      <c r="O40" s="3191" t="s">
        <v>2860</v>
      </c>
      <c r="P40" s="3155" t="s">
        <v>2910</v>
      </c>
      <c r="Q40" s="3155" t="s">
        <v>2939</v>
      </c>
      <c r="R40" s="3155" t="s">
        <v>2967</v>
      </c>
    </row>
    <row r="41" spans="1:18" ht="14.25" customHeight="1">
      <c r="A41" s="3155" t="s">
        <v>1145</v>
      </c>
      <c r="B41" s="1216" t="s">
        <v>1056</v>
      </c>
      <c r="C41" s="3155">
        <v>21220</v>
      </c>
      <c r="D41" s="3155">
        <v>21120</v>
      </c>
      <c r="E41" s="3155">
        <v>22590</v>
      </c>
      <c r="F41" s="3161"/>
      <c r="G41" s="3161">
        <v>14780</v>
      </c>
      <c r="I41" s="971"/>
      <c r="N41" s="3164" t="s">
        <v>2847</v>
      </c>
      <c r="O41" s="3192" t="s">
        <v>2861</v>
      </c>
      <c r="P41" s="1216" t="s">
        <v>2911</v>
      </c>
      <c r="Q41" s="3164" t="s">
        <v>2940</v>
      </c>
      <c r="R41" s="1216" t="s">
        <v>2968</v>
      </c>
    </row>
    <row r="42" spans="1:18" ht="14.25" customHeight="1">
      <c r="A42" s="3155" t="s">
        <v>1145</v>
      </c>
      <c r="B42" s="1216" t="s">
        <v>1063</v>
      </c>
      <c r="C42" s="3155">
        <v>24800</v>
      </c>
      <c r="D42" s="3155">
        <v>22280</v>
      </c>
      <c r="E42" s="3155">
        <v>24350</v>
      </c>
      <c r="F42" s="3161"/>
      <c r="G42" s="3161">
        <v>15590</v>
      </c>
      <c r="I42" s="971"/>
      <c r="O42" s="3155" t="s">
        <v>2862</v>
      </c>
      <c r="P42" s="3155" t="s">
        <v>2912</v>
      </c>
      <c r="Q42" s="3164" t="s">
        <v>2941</v>
      </c>
      <c r="R42" s="3155" t="s">
        <v>2969</v>
      </c>
    </row>
    <row r="43" spans="1:18" ht="14.25" customHeight="1">
      <c r="A43" s="3155" t="s">
        <v>1145</v>
      </c>
      <c r="B43" s="1216" t="s">
        <v>1071</v>
      </c>
      <c r="C43" s="3155">
        <v>21210</v>
      </c>
      <c r="D43" s="3155">
        <v>21160</v>
      </c>
      <c r="E43" s="3155">
        <v>22650</v>
      </c>
      <c r="F43" s="3161"/>
      <c r="G43" s="3161">
        <v>14800</v>
      </c>
      <c r="I43" s="971"/>
      <c r="O43" s="3155" t="s">
        <v>2863</v>
      </c>
      <c r="P43" s="3155" t="s">
        <v>2913</v>
      </c>
      <c r="Q43" s="3164" t="s">
        <v>2942</v>
      </c>
      <c r="R43" s="3155" t="s">
        <v>2970</v>
      </c>
    </row>
    <row r="44" spans="1:18" ht="14.25" customHeight="1">
      <c r="A44" s="3155" t="s">
        <v>1145</v>
      </c>
      <c r="B44" s="1216" t="s">
        <v>1079</v>
      </c>
      <c r="C44" s="3155">
        <v>22370</v>
      </c>
      <c r="D44" s="3155">
        <v>23140</v>
      </c>
      <c r="E44" s="3155">
        <v>25090</v>
      </c>
      <c r="F44" s="3161"/>
      <c r="G44" s="3161">
        <v>16190</v>
      </c>
      <c r="I44" s="971"/>
      <c r="O44" s="3155" t="s">
        <v>2864</v>
      </c>
      <c r="P44" s="3155" t="s">
        <v>2914</v>
      </c>
      <c r="Q44" s="3164" t="s">
        <v>2943</v>
      </c>
      <c r="R44" s="3155" t="s">
        <v>2971</v>
      </c>
    </row>
    <row r="45" spans="1:18" ht="14.25" customHeight="1">
      <c r="A45" s="3155" t="s">
        <v>1145</v>
      </c>
      <c r="B45" s="1216" t="s">
        <v>1084</v>
      </c>
      <c r="C45" s="3155">
        <v>21240</v>
      </c>
      <c r="D45" s="3155">
        <v>27050</v>
      </c>
      <c r="E45" s="3155">
        <v>28000</v>
      </c>
      <c r="F45" s="3161"/>
      <c r="G45" s="3161">
        <v>18940</v>
      </c>
      <c r="I45" s="971"/>
      <c r="O45" s="3155" t="s">
        <v>2865</v>
      </c>
      <c r="P45" s="3155" t="s">
        <v>2915</v>
      </c>
      <c r="R45" s="3155" t="s">
        <v>2972</v>
      </c>
    </row>
    <row r="46" spans="1:18" ht="14.25" customHeight="1">
      <c r="A46" s="3155" t="s">
        <v>1145</v>
      </c>
      <c r="B46" s="1216" t="s">
        <v>1093</v>
      </c>
      <c r="C46" s="3155">
        <v>23240</v>
      </c>
      <c r="D46" s="3155">
        <v>23000</v>
      </c>
      <c r="E46" s="3155">
        <v>24980</v>
      </c>
      <c r="F46" s="3161"/>
      <c r="G46" s="3161">
        <v>16100</v>
      </c>
      <c r="I46" s="971"/>
      <c r="O46" s="3155" t="s">
        <v>2866</v>
      </c>
      <c r="P46" s="3155"/>
      <c r="R46" s="3155" t="s">
        <v>2973</v>
      </c>
    </row>
    <row r="47" spans="1:18" ht="14.25" customHeight="1">
      <c r="A47" s="3155" t="s">
        <v>1145</v>
      </c>
      <c r="B47" s="2405" t="s">
        <v>1100</v>
      </c>
      <c r="C47" s="1214">
        <v>27150</v>
      </c>
      <c r="D47" s="1214">
        <v>23310</v>
      </c>
      <c r="E47" s="1214">
        <v>25150</v>
      </c>
      <c r="F47" s="3166"/>
      <c r="G47" s="3166">
        <v>16310</v>
      </c>
      <c r="I47" s="971"/>
      <c r="O47" s="3155" t="s">
        <v>2867</v>
      </c>
      <c r="P47" s="3155"/>
      <c r="R47" s="3164" t="s">
        <v>2974</v>
      </c>
    </row>
    <row r="48" spans="1:18" ht="14.25" customHeight="1">
      <c r="A48" s="3155" t="s">
        <v>1145</v>
      </c>
      <c r="B48" s="3155" t="s">
        <v>1108</v>
      </c>
      <c r="C48" s="3155">
        <v>23100</v>
      </c>
      <c r="D48" s="3155">
        <v>21110</v>
      </c>
      <c r="E48" s="3155">
        <v>23080</v>
      </c>
      <c r="F48" s="3161"/>
      <c r="G48" s="3168">
        <v>14780</v>
      </c>
      <c r="I48" s="971"/>
      <c r="O48" s="3155" t="s">
        <v>2868</v>
      </c>
      <c r="P48" s="3155"/>
      <c r="R48" s="3164" t="s">
        <v>2975</v>
      </c>
    </row>
    <row r="49" spans="1:18" ht="14.25" customHeight="1">
      <c r="A49" s="3155" t="s">
        <v>1145</v>
      </c>
      <c r="B49" s="1216" t="s">
        <v>1115</v>
      </c>
      <c r="C49" s="1216">
        <v>23400</v>
      </c>
      <c r="D49" s="1216">
        <v>22920</v>
      </c>
      <c r="E49" s="1216">
        <v>24900</v>
      </c>
      <c r="F49" s="3156"/>
      <c r="G49" s="3156">
        <v>16040</v>
      </c>
      <c r="I49" s="971"/>
      <c r="O49" s="3155" t="s">
        <v>2869</v>
      </c>
      <c r="P49" s="3155"/>
      <c r="R49" s="3164" t="s">
        <v>2976</v>
      </c>
    </row>
    <row r="50" spans="1:18" ht="14.25" customHeight="1">
      <c r="A50" s="3155" t="s">
        <v>1145</v>
      </c>
      <c r="B50" s="3155" t="s">
        <v>2818</v>
      </c>
      <c r="C50" s="3155">
        <v>21200</v>
      </c>
      <c r="D50" s="3155">
        <v>26540</v>
      </c>
      <c r="E50" s="3155">
        <v>23200</v>
      </c>
      <c r="F50" s="3161"/>
      <c r="G50" s="3161">
        <v>18580</v>
      </c>
      <c r="I50" s="971"/>
      <c r="O50" s="3164" t="s">
        <v>2870</v>
      </c>
      <c r="R50" s="3164" t="s">
        <v>2977</v>
      </c>
    </row>
    <row r="51" spans="1:18" ht="14.25" customHeight="1">
      <c r="A51" s="3155" t="s">
        <v>1145</v>
      </c>
      <c r="B51" s="3155" t="s">
        <v>2819</v>
      </c>
      <c r="C51" s="3155">
        <v>23000</v>
      </c>
      <c r="D51" s="3155">
        <v>23460</v>
      </c>
      <c r="E51" s="3155">
        <v>25290</v>
      </c>
      <c r="F51" s="3161"/>
      <c r="G51" s="3161">
        <v>16420</v>
      </c>
      <c r="I51" s="971"/>
      <c r="O51" s="3164" t="s">
        <v>2871</v>
      </c>
      <c r="R51" s="3164" t="s">
        <v>2978</v>
      </c>
    </row>
    <row r="52" spans="1:18" ht="14.25" customHeight="1">
      <c r="A52" s="3155" t="s">
        <v>1145</v>
      </c>
      <c r="B52" s="3155" t="s">
        <v>2820</v>
      </c>
      <c r="C52" s="3155">
        <v>26660</v>
      </c>
      <c r="D52" s="3155">
        <v>22350</v>
      </c>
      <c r="E52" s="3155">
        <v>22920</v>
      </c>
      <c r="F52" s="3161"/>
      <c r="G52" s="3161">
        <v>15640</v>
      </c>
      <c r="I52" s="971"/>
      <c r="O52" s="3164" t="s">
        <v>2872</v>
      </c>
    </row>
    <row r="53" spans="1:18" ht="14.25" customHeight="1">
      <c r="A53" s="3155" t="s">
        <v>1145</v>
      </c>
      <c r="B53" s="3155" t="s">
        <v>2821</v>
      </c>
      <c r="C53" s="3155">
        <v>23580</v>
      </c>
      <c r="D53" s="3155"/>
      <c r="E53" s="3155">
        <v>24280</v>
      </c>
      <c r="F53" s="3161"/>
      <c r="G53" s="3161"/>
      <c r="I53" s="971"/>
      <c r="O53" s="3164" t="s">
        <v>2873</v>
      </c>
    </row>
    <row r="54" spans="1:18" ht="14.25" customHeight="1" thickBot="1">
      <c r="A54" s="3170" t="s">
        <v>1145</v>
      </c>
      <c r="B54" s="3158" t="s">
        <v>2822</v>
      </c>
      <c r="C54" s="3158">
        <v>22460</v>
      </c>
      <c r="D54" s="3158"/>
      <c r="E54" s="3158"/>
      <c r="F54" s="3159"/>
      <c r="G54" s="3171"/>
      <c r="I54" s="971"/>
      <c r="O54" s="3164" t="s">
        <v>2874</v>
      </c>
    </row>
    <row r="55" spans="1:18" ht="14.25" customHeight="1">
      <c r="A55" s="3169" t="s">
        <v>853</v>
      </c>
      <c r="B55" s="1216" t="s">
        <v>2823</v>
      </c>
      <c r="C55" s="1216">
        <v>21970</v>
      </c>
      <c r="D55" s="1216">
        <v>20370</v>
      </c>
      <c r="E55" s="1216">
        <v>20180</v>
      </c>
      <c r="F55" s="3156">
        <v>5730</v>
      </c>
      <c r="G55" s="3156">
        <v>13820</v>
      </c>
      <c r="I55" s="971"/>
      <c r="O55" s="3164" t="s">
        <v>2875</v>
      </c>
    </row>
    <row r="56" spans="1:18" ht="14.25" customHeight="1">
      <c r="A56" s="3155" t="s">
        <v>853</v>
      </c>
      <c r="B56" s="3155" t="s">
        <v>975</v>
      </c>
      <c r="C56" s="3155">
        <v>20470</v>
      </c>
      <c r="D56" s="3155">
        <v>20700</v>
      </c>
      <c r="E56" s="3155">
        <v>20380</v>
      </c>
      <c r="F56" s="3161">
        <v>4760</v>
      </c>
      <c r="G56" s="3161">
        <v>14050</v>
      </c>
      <c r="I56" s="971"/>
      <c r="O56" s="3164" t="s">
        <v>2876</v>
      </c>
    </row>
    <row r="57" spans="1:18" ht="14.25" customHeight="1">
      <c r="A57" s="3155" t="s">
        <v>853</v>
      </c>
      <c r="B57" s="3155" t="s">
        <v>985</v>
      </c>
      <c r="C57" s="3155">
        <v>20790</v>
      </c>
      <c r="D57" s="3155">
        <v>21370</v>
      </c>
      <c r="E57" s="3155">
        <v>20890</v>
      </c>
      <c r="F57" s="3161">
        <v>4910</v>
      </c>
      <c r="G57" s="3161">
        <v>14510</v>
      </c>
      <c r="I57" s="971"/>
      <c r="O57" s="3164" t="s">
        <v>2877</v>
      </c>
    </row>
    <row r="58" spans="1:18" ht="14.25" customHeight="1">
      <c r="A58" s="3155" t="s">
        <v>853</v>
      </c>
      <c r="B58" s="3155" t="s">
        <v>994</v>
      </c>
      <c r="C58" s="3155">
        <v>21460</v>
      </c>
      <c r="D58" s="3155">
        <v>20920</v>
      </c>
      <c r="E58" s="3155">
        <v>23410</v>
      </c>
      <c r="F58" s="3161">
        <v>5100</v>
      </c>
      <c r="G58" s="3161">
        <v>14200</v>
      </c>
      <c r="I58" s="971"/>
      <c r="O58" s="3164" t="s">
        <v>2878</v>
      </c>
    </row>
    <row r="59" spans="1:18" ht="14.25" customHeight="1">
      <c r="A59" s="3155" t="s">
        <v>853</v>
      </c>
      <c r="B59" s="3155" t="s">
        <v>1004</v>
      </c>
      <c r="C59" s="3155">
        <v>21000</v>
      </c>
      <c r="D59" s="3155">
        <v>21550</v>
      </c>
      <c r="E59" s="3155">
        <v>21150</v>
      </c>
      <c r="F59" s="3161">
        <v>5250</v>
      </c>
      <c r="G59" s="3161">
        <v>14630</v>
      </c>
      <c r="I59" s="971"/>
      <c r="O59" s="3164" t="s">
        <v>2879</v>
      </c>
    </row>
    <row r="60" spans="1:18" ht="14.25" customHeight="1">
      <c r="A60" s="3155" t="s">
        <v>853</v>
      </c>
      <c r="B60" s="3155" t="s">
        <v>1011</v>
      </c>
      <c r="C60" s="3155">
        <v>21640</v>
      </c>
      <c r="D60" s="3155">
        <v>21260</v>
      </c>
      <c r="E60" s="3155">
        <v>24040</v>
      </c>
      <c r="F60" s="3161">
        <v>4470</v>
      </c>
      <c r="G60" s="3161">
        <v>14430</v>
      </c>
      <c r="I60" s="971"/>
      <c r="O60" s="3164" t="s">
        <v>2880</v>
      </c>
    </row>
    <row r="61" spans="1:18" ht="14.25" customHeight="1">
      <c r="A61" s="3155" t="s">
        <v>853</v>
      </c>
      <c r="B61" s="3155" t="s">
        <v>1017</v>
      </c>
      <c r="C61" s="3155">
        <v>21330</v>
      </c>
      <c r="D61" s="3155">
        <v>18640</v>
      </c>
      <c r="E61" s="3155">
        <v>21190</v>
      </c>
      <c r="F61" s="3161">
        <v>4180</v>
      </c>
      <c r="G61" s="3163">
        <v>12650</v>
      </c>
      <c r="I61" s="971"/>
      <c r="O61" s="3164" t="s">
        <v>2881</v>
      </c>
    </row>
    <row r="62" spans="1:18" ht="14.25" customHeight="1">
      <c r="A62" s="3155" t="s">
        <v>853</v>
      </c>
      <c r="B62" s="3155" t="s">
        <v>1024</v>
      </c>
      <c r="C62" s="3155">
        <v>18710</v>
      </c>
      <c r="D62" s="3155">
        <v>19400</v>
      </c>
      <c r="E62" s="3155">
        <v>23750</v>
      </c>
      <c r="F62" s="3161">
        <v>4860</v>
      </c>
      <c r="G62" s="3163">
        <v>13170</v>
      </c>
      <c r="I62" s="971"/>
      <c r="O62" s="3164" t="s">
        <v>2882</v>
      </c>
    </row>
    <row r="63" spans="1:18" ht="14.25" customHeight="1">
      <c r="A63" s="3155" t="s">
        <v>853</v>
      </c>
      <c r="B63" s="3155" t="s">
        <v>1034</v>
      </c>
      <c r="C63" s="3155">
        <v>19480</v>
      </c>
      <c r="D63" s="3155">
        <v>16830</v>
      </c>
      <c r="E63" s="3155">
        <v>21590</v>
      </c>
      <c r="F63" s="3161">
        <v>4560</v>
      </c>
      <c r="G63" s="3163">
        <v>11420</v>
      </c>
      <c r="I63" s="971"/>
      <c r="O63" s="3164" t="s">
        <v>2883</v>
      </c>
    </row>
    <row r="64" spans="1:18" ht="14.25" customHeight="1">
      <c r="A64" s="3155" t="s">
        <v>853</v>
      </c>
      <c r="B64" s="3155" t="s">
        <v>1043</v>
      </c>
      <c r="C64" s="3155">
        <v>16920</v>
      </c>
      <c r="D64" s="3155">
        <v>19190</v>
      </c>
      <c r="E64" s="3155">
        <v>22200</v>
      </c>
      <c r="F64" s="3161">
        <v>4390</v>
      </c>
      <c r="G64" s="3163">
        <v>13030</v>
      </c>
      <c r="I64" s="971"/>
      <c r="O64" s="3164" t="s">
        <v>2884</v>
      </c>
    </row>
    <row r="65" spans="1:21" s="960" customFormat="1" ht="14.25" customHeight="1">
      <c r="A65" s="3155" t="s">
        <v>853</v>
      </c>
      <c r="B65" s="3155" t="s">
        <v>1050</v>
      </c>
      <c r="C65" s="3155">
        <v>19290</v>
      </c>
      <c r="D65" s="3155">
        <v>17020</v>
      </c>
      <c r="E65" s="3155">
        <v>19880</v>
      </c>
      <c r="F65" s="3161">
        <v>4070</v>
      </c>
      <c r="G65" s="3161">
        <v>11550</v>
      </c>
      <c r="I65" s="971"/>
      <c r="J65" s="3190"/>
      <c r="K65" s="3190"/>
      <c r="L65" s="3190"/>
      <c r="M65" s="3190"/>
      <c r="N65" s="3190"/>
      <c r="O65" s="3190"/>
      <c r="P65" s="3190"/>
      <c r="Q65" s="3190"/>
      <c r="R65" s="3190"/>
      <c r="S65" s="3190"/>
      <c r="T65" s="3190"/>
      <c r="U65" s="3190"/>
    </row>
    <row r="66" spans="1:21" s="960" customFormat="1" ht="14.25" customHeight="1">
      <c r="A66" s="3155" t="s">
        <v>853</v>
      </c>
      <c r="B66" s="3155" t="s">
        <v>1057</v>
      </c>
      <c r="C66" s="3155">
        <v>17090</v>
      </c>
      <c r="D66" s="3155">
        <v>18340</v>
      </c>
      <c r="E66" s="3155">
        <v>21830</v>
      </c>
      <c r="F66" s="3161">
        <v>4690</v>
      </c>
      <c r="G66" s="3161">
        <v>12450</v>
      </c>
      <c r="I66" s="971"/>
      <c r="J66" s="3190"/>
      <c r="K66" s="3190"/>
      <c r="L66" s="3190"/>
      <c r="M66" s="3190"/>
      <c r="N66" s="3190"/>
      <c r="O66" s="3190"/>
      <c r="P66" s="3190"/>
      <c r="Q66" s="3190"/>
      <c r="R66" s="3190"/>
      <c r="S66" s="3190"/>
      <c r="T66" s="3190"/>
      <c r="U66" s="3190"/>
    </row>
    <row r="67" spans="1:21" s="960" customFormat="1" ht="14.25" customHeight="1">
      <c r="A67" s="3155" t="s">
        <v>853</v>
      </c>
      <c r="B67" s="3155" t="s">
        <v>1064</v>
      </c>
      <c r="C67" s="3155">
        <v>18420</v>
      </c>
      <c r="D67" s="3155">
        <v>16360</v>
      </c>
      <c r="E67" s="3155">
        <v>20020</v>
      </c>
      <c r="F67" s="3161">
        <v>5150</v>
      </c>
      <c r="G67" s="3161">
        <v>11110</v>
      </c>
      <c r="I67" s="971"/>
      <c r="J67" s="3190"/>
      <c r="K67" s="3190"/>
      <c r="L67" s="3190"/>
      <c r="M67" s="3190"/>
      <c r="N67" s="3190"/>
      <c r="O67" s="3190"/>
      <c r="P67" s="3190"/>
      <c r="Q67" s="3190"/>
      <c r="R67" s="3190"/>
      <c r="S67" s="3190"/>
      <c r="T67" s="3190"/>
      <c r="U67" s="3190"/>
    </row>
    <row r="68" spans="1:21" s="960" customFormat="1" ht="14.25" customHeight="1">
      <c r="A68" s="3155" t="s">
        <v>853</v>
      </c>
      <c r="B68" s="3155" t="s">
        <v>1072</v>
      </c>
      <c r="C68" s="3155">
        <v>16450</v>
      </c>
      <c r="D68" s="3155">
        <v>18430</v>
      </c>
      <c r="E68" s="3155">
        <v>21010</v>
      </c>
      <c r="F68" s="3161">
        <v>4720</v>
      </c>
      <c r="G68" s="3161">
        <v>12510</v>
      </c>
      <c r="I68" s="971"/>
      <c r="J68" s="3190"/>
      <c r="K68" s="3190"/>
      <c r="L68" s="3190"/>
      <c r="M68" s="3190"/>
      <c r="N68" s="3190"/>
      <c r="O68" s="3190"/>
      <c r="P68" s="3190"/>
      <c r="Q68" s="3190"/>
      <c r="R68" s="3190"/>
      <c r="S68" s="3190"/>
      <c r="T68" s="3190"/>
      <c r="U68" s="3190"/>
    </row>
    <row r="69" spans="1:21" s="960" customFormat="1" ht="14.25" customHeight="1">
      <c r="A69" s="3155" t="s">
        <v>853</v>
      </c>
      <c r="B69" s="3155" t="s">
        <v>1080</v>
      </c>
      <c r="C69" s="3155">
        <v>18510</v>
      </c>
      <c r="D69" s="3155">
        <v>16300</v>
      </c>
      <c r="E69" s="3155">
        <v>18830</v>
      </c>
      <c r="F69" s="3161">
        <v>5400</v>
      </c>
      <c r="G69" s="3161">
        <v>11070</v>
      </c>
      <c r="I69" s="971"/>
      <c r="J69" s="3190"/>
      <c r="K69" s="3190"/>
      <c r="L69" s="3190"/>
      <c r="M69" s="3190"/>
      <c r="N69" s="3190"/>
      <c r="O69" s="3190"/>
      <c r="P69" s="3190"/>
      <c r="Q69" s="3190"/>
      <c r="R69" s="3190"/>
      <c r="S69" s="3190"/>
      <c r="T69" s="3190"/>
      <c r="U69" s="3190"/>
    </row>
    <row r="70" spans="1:21" s="960" customFormat="1" ht="14.25" customHeight="1">
      <c r="A70" s="3155" t="s">
        <v>853</v>
      </c>
      <c r="B70" s="3155" t="s">
        <v>1085</v>
      </c>
      <c r="C70" s="3155">
        <v>16370</v>
      </c>
      <c r="D70" s="3155">
        <v>18620</v>
      </c>
      <c r="E70" s="3155">
        <v>21100</v>
      </c>
      <c r="F70" s="3161">
        <v>5700</v>
      </c>
      <c r="G70" s="3161">
        <v>12640</v>
      </c>
      <c r="I70" s="971"/>
      <c r="J70" s="3190"/>
      <c r="K70" s="3190"/>
      <c r="L70" s="3190"/>
      <c r="M70" s="3190"/>
      <c r="N70" s="3190"/>
      <c r="O70" s="3190"/>
      <c r="P70" s="3190"/>
      <c r="Q70" s="3190"/>
      <c r="R70" s="3190"/>
      <c r="S70" s="3190"/>
      <c r="T70" s="3190"/>
      <c r="U70" s="3190"/>
    </row>
    <row r="71" spans="1:21" s="960" customFormat="1" ht="14.25" customHeight="1">
      <c r="A71" s="3155" t="s">
        <v>853</v>
      </c>
      <c r="B71" s="3155" t="s">
        <v>1094</v>
      </c>
      <c r="C71" s="3155">
        <v>18700</v>
      </c>
      <c r="D71" s="3155">
        <v>16290</v>
      </c>
      <c r="E71" s="3155">
        <v>18760</v>
      </c>
      <c r="F71" s="3161">
        <v>4780</v>
      </c>
      <c r="G71" s="3161">
        <v>11050</v>
      </c>
      <c r="I71" s="971"/>
      <c r="J71" s="3190"/>
      <c r="K71" s="3190"/>
      <c r="L71" s="3190"/>
      <c r="M71" s="3190"/>
      <c r="N71" s="3190"/>
      <c r="O71" s="3190"/>
      <c r="P71" s="3190"/>
      <c r="Q71" s="3190"/>
      <c r="R71" s="3190"/>
      <c r="S71" s="3190"/>
      <c r="T71" s="3190"/>
      <c r="U71" s="3190"/>
    </row>
    <row r="72" spans="1:21" s="960" customFormat="1" ht="14.25" customHeight="1">
      <c r="A72" s="3155" t="s">
        <v>853</v>
      </c>
      <c r="B72" s="3155" t="s">
        <v>1101</v>
      </c>
      <c r="C72" s="3155">
        <v>16340</v>
      </c>
      <c r="D72" s="3155">
        <v>17520</v>
      </c>
      <c r="E72" s="3155">
        <v>21170</v>
      </c>
      <c r="F72" s="3161"/>
      <c r="G72" s="3161">
        <v>11900</v>
      </c>
      <c r="I72" s="971"/>
      <c r="J72" s="3190"/>
      <c r="K72" s="3190"/>
      <c r="L72" s="3190"/>
      <c r="M72" s="3190"/>
      <c r="N72" s="3190"/>
      <c r="O72" s="3190"/>
      <c r="P72" s="3190"/>
      <c r="Q72" s="3190"/>
      <c r="R72" s="3190"/>
      <c r="S72" s="3190"/>
      <c r="T72" s="3190"/>
      <c r="U72" s="3190"/>
    </row>
    <row r="73" spans="1:21" s="960" customFormat="1" ht="14.25" customHeight="1">
      <c r="A73" s="3155" t="s">
        <v>853</v>
      </c>
      <c r="B73" s="3155" t="s">
        <v>1109</v>
      </c>
      <c r="C73" s="3155">
        <v>17610</v>
      </c>
      <c r="D73" s="3155">
        <v>18520</v>
      </c>
      <c r="E73" s="3155">
        <v>18720</v>
      </c>
      <c r="F73" s="3161"/>
      <c r="G73" s="3161">
        <v>12570</v>
      </c>
      <c r="I73" s="971"/>
      <c r="J73" s="3190"/>
      <c r="K73" s="3190"/>
      <c r="L73" s="3190"/>
      <c r="M73" s="3190"/>
      <c r="N73" s="3190"/>
      <c r="O73" s="3190"/>
      <c r="P73" s="3190"/>
      <c r="Q73" s="3190"/>
      <c r="R73" s="3190"/>
      <c r="S73" s="3190"/>
      <c r="T73" s="3190"/>
      <c r="U73" s="3190"/>
    </row>
    <row r="74" spans="1:21" s="960" customFormat="1" ht="14.25" customHeight="1">
      <c r="A74" s="3155" t="s">
        <v>853</v>
      </c>
      <c r="B74" s="3155" t="s">
        <v>1116</v>
      </c>
      <c r="C74" s="3155">
        <v>18600</v>
      </c>
      <c r="D74" s="3155">
        <v>16480</v>
      </c>
      <c r="E74" s="3155">
        <v>20100</v>
      </c>
      <c r="F74" s="3161"/>
      <c r="G74" s="3161">
        <v>11190</v>
      </c>
      <c r="I74" s="971"/>
      <c r="J74" s="3190"/>
      <c r="K74" s="3190"/>
      <c r="L74" s="3190"/>
      <c r="M74" s="3190"/>
      <c r="N74" s="3190"/>
      <c r="O74" s="3190"/>
      <c r="P74" s="3190"/>
      <c r="Q74" s="3190"/>
      <c r="R74" s="3190"/>
      <c r="S74" s="3190"/>
      <c r="T74" s="3190"/>
      <c r="U74" s="3190"/>
    </row>
    <row r="75" spans="1:21" s="960" customFormat="1" ht="14.25" customHeight="1">
      <c r="A75" s="3155" t="s">
        <v>853</v>
      </c>
      <c r="B75" s="3155" t="s">
        <v>1120</v>
      </c>
      <c r="C75" s="3155">
        <v>16570</v>
      </c>
      <c r="D75" s="3155">
        <v>17530</v>
      </c>
      <c r="E75" s="3155">
        <v>21030</v>
      </c>
      <c r="F75" s="3161"/>
      <c r="G75" s="3168">
        <v>11900</v>
      </c>
      <c r="I75" s="971"/>
      <c r="J75" s="3190"/>
      <c r="K75" s="3190"/>
      <c r="L75" s="3190"/>
      <c r="M75" s="3190"/>
      <c r="N75" s="3190"/>
      <c r="O75" s="3190"/>
      <c r="P75" s="3190"/>
      <c r="Q75" s="3190"/>
      <c r="R75" s="3190"/>
      <c r="S75" s="3190"/>
      <c r="T75" s="3190"/>
      <c r="U75" s="3190"/>
    </row>
    <row r="76" spans="1:21" s="960" customFormat="1" ht="14.25" customHeight="1">
      <c r="A76" s="3155" t="s">
        <v>853</v>
      </c>
      <c r="B76" s="1216" t="s">
        <v>1127</v>
      </c>
      <c r="C76" s="1216">
        <v>17610</v>
      </c>
      <c r="D76" s="1216">
        <v>20800</v>
      </c>
      <c r="E76" s="1216">
        <v>18920</v>
      </c>
      <c r="F76" s="3156"/>
      <c r="G76" s="3156">
        <v>14120</v>
      </c>
      <c r="I76" s="971"/>
      <c r="J76" s="3190"/>
      <c r="K76" s="3190"/>
      <c r="L76" s="3190"/>
      <c r="M76" s="3190"/>
      <c r="N76" s="3190"/>
      <c r="O76" s="3190"/>
      <c r="P76" s="3190"/>
      <c r="Q76" s="3190"/>
      <c r="R76" s="3190"/>
      <c r="S76" s="3190"/>
      <c r="T76" s="3190"/>
      <c r="U76" s="3190"/>
    </row>
    <row r="77" spans="1:21" s="960" customFormat="1" ht="14.25" customHeight="1">
      <c r="A77" s="3155" t="s">
        <v>853</v>
      </c>
      <c r="B77" s="3155" t="s">
        <v>1130</v>
      </c>
      <c r="C77" s="3155">
        <v>20890</v>
      </c>
      <c r="D77" s="3155">
        <v>19740</v>
      </c>
      <c r="E77" s="3155">
        <v>20110</v>
      </c>
      <c r="F77" s="3161"/>
      <c r="G77" s="3161">
        <v>13400</v>
      </c>
      <c r="I77" s="971"/>
      <c r="J77" s="3190"/>
      <c r="K77" s="3190"/>
      <c r="L77" s="3190"/>
      <c r="M77" s="3190"/>
      <c r="N77" s="3190"/>
      <c r="O77" s="3190"/>
      <c r="P77" s="3190"/>
      <c r="Q77" s="3190"/>
      <c r="R77" s="3190"/>
      <c r="S77" s="3190"/>
      <c r="T77" s="3190"/>
      <c r="U77" s="3190"/>
    </row>
    <row r="78" spans="1:21" s="960" customFormat="1" ht="14.25" customHeight="1">
      <c r="A78" s="3155" t="s">
        <v>853</v>
      </c>
      <c r="B78" s="3155" t="s">
        <v>2824</v>
      </c>
      <c r="C78" s="3155">
        <v>19820</v>
      </c>
      <c r="D78" s="3155">
        <v>19780</v>
      </c>
      <c r="E78" s="3155">
        <v>18560</v>
      </c>
      <c r="F78" s="3161"/>
      <c r="G78" s="3161">
        <v>13430</v>
      </c>
      <c r="I78" s="971"/>
      <c r="J78" s="3190"/>
      <c r="K78" s="3190"/>
      <c r="L78" s="3190"/>
      <c r="M78" s="3190"/>
      <c r="N78" s="3190"/>
      <c r="O78" s="3190"/>
      <c r="P78" s="3190"/>
      <c r="Q78" s="3190"/>
      <c r="R78" s="3190"/>
      <c r="S78" s="3190"/>
      <c r="T78" s="3190"/>
      <c r="U78" s="3190"/>
    </row>
    <row r="79" spans="1:21" s="960" customFormat="1" ht="14.25" customHeight="1">
      <c r="A79" s="3155" t="s">
        <v>853</v>
      </c>
      <c r="B79" s="3155" t="s">
        <v>2825</v>
      </c>
      <c r="C79" s="3155">
        <v>21660</v>
      </c>
      <c r="D79" s="3155">
        <v>18000</v>
      </c>
      <c r="E79" s="3155">
        <v>22570</v>
      </c>
      <c r="F79" s="3161"/>
      <c r="G79" s="3161">
        <v>12220</v>
      </c>
      <c r="I79" s="971"/>
      <c r="J79" s="3190"/>
      <c r="K79" s="3190"/>
      <c r="L79" s="3190"/>
      <c r="M79" s="3190"/>
      <c r="N79" s="3190"/>
      <c r="O79" s="3190"/>
      <c r="P79" s="3190"/>
      <c r="Q79" s="3190"/>
      <c r="R79" s="3190"/>
      <c r="S79" s="3190"/>
      <c r="T79" s="3190"/>
      <c r="U79" s="3190"/>
    </row>
    <row r="80" spans="1:21" s="960" customFormat="1" ht="14.25" customHeight="1">
      <c r="A80" s="3155" t="s">
        <v>853</v>
      </c>
      <c r="B80" s="3155" t="s">
        <v>2826</v>
      </c>
      <c r="C80" s="3155">
        <v>19850</v>
      </c>
      <c r="D80" s="3155"/>
      <c r="E80" s="3155">
        <v>21700</v>
      </c>
      <c r="F80" s="3161"/>
      <c r="G80" s="3161"/>
      <c r="I80" s="971"/>
      <c r="J80" s="3190"/>
      <c r="K80" s="3190"/>
      <c r="L80" s="3190"/>
      <c r="M80" s="3190"/>
      <c r="N80" s="3190"/>
      <c r="O80" s="3190"/>
      <c r="P80" s="3190"/>
      <c r="Q80" s="3190"/>
      <c r="R80" s="3190"/>
      <c r="S80" s="3190"/>
      <c r="T80" s="3190"/>
      <c r="U80" s="3190"/>
    </row>
    <row r="81" spans="1:21" s="960" customFormat="1" ht="14.25" customHeight="1">
      <c r="A81" s="3155" t="s">
        <v>853</v>
      </c>
      <c r="B81" s="3155" t="s">
        <v>2827</v>
      </c>
      <c r="C81" s="3155">
        <v>18080</v>
      </c>
      <c r="D81" s="3155"/>
      <c r="E81" s="3155">
        <v>20900</v>
      </c>
      <c r="F81" s="3161"/>
      <c r="G81" s="3161"/>
      <c r="I81" s="971"/>
      <c r="J81" s="3190"/>
      <c r="K81" s="3190"/>
      <c r="L81" s="3190"/>
      <c r="M81" s="3190"/>
      <c r="N81" s="3190"/>
      <c r="O81" s="3190"/>
      <c r="P81" s="3190"/>
      <c r="Q81" s="3190"/>
      <c r="R81" s="3190"/>
      <c r="S81" s="3190"/>
      <c r="T81" s="3190"/>
      <c r="U81" s="3190"/>
    </row>
    <row r="82" spans="1:21" s="960" customFormat="1" ht="14.25" customHeight="1">
      <c r="A82" s="3155" t="s">
        <v>853</v>
      </c>
      <c r="B82" s="3155" t="s">
        <v>2828</v>
      </c>
      <c r="C82" s="3155"/>
      <c r="D82" s="3155"/>
      <c r="E82" s="3155">
        <v>20840</v>
      </c>
      <c r="F82" s="3161"/>
      <c r="G82" s="3161"/>
      <c r="I82" s="971"/>
      <c r="J82" s="3190"/>
      <c r="K82" s="3190"/>
      <c r="L82" s="3190"/>
      <c r="M82" s="3190"/>
      <c r="N82" s="3190"/>
      <c r="O82" s="3190"/>
      <c r="P82" s="3190"/>
      <c r="Q82" s="3190"/>
      <c r="R82" s="3190"/>
      <c r="S82" s="3190"/>
      <c r="T82" s="3190"/>
      <c r="U82" s="3190"/>
    </row>
    <row r="83" spans="1:21" s="960" customFormat="1" ht="14.25" customHeight="1">
      <c r="A83" s="3155" t="s">
        <v>853</v>
      </c>
      <c r="B83" s="3155" t="s">
        <v>2829</v>
      </c>
      <c r="C83" s="3155"/>
      <c r="D83" s="3155"/>
      <c r="E83" s="3155"/>
      <c r="F83" s="3161">
        <v>4770</v>
      </c>
      <c r="G83" s="3161"/>
      <c r="I83" s="971"/>
      <c r="J83" s="3190"/>
      <c r="K83" s="3190"/>
      <c r="L83" s="3190"/>
      <c r="M83" s="3190"/>
      <c r="N83" s="3190"/>
      <c r="O83" s="3190"/>
      <c r="P83" s="3190"/>
      <c r="Q83" s="3190"/>
      <c r="R83" s="3190"/>
      <c r="S83" s="3190"/>
      <c r="T83" s="3190"/>
      <c r="U83" s="3190"/>
    </row>
    <row r="84" spans="1:21" s="960" customFormat="1" ht="14.25" customHeight="1">
      <c r="A84" s="3155" t="s">
        <v>853</v>
      </c>
      <c r="B84" s="3155" t="s">
        <v>2830</v>
      </c>
      <c r="C84" s="3155"/>
      <c r="D84" s="3155"/>
      <c r="E84" s="3155"/>
      <c r="F84" s="3161">
        <v>4600</v>
      </c>
      <c r="G84" s="3161"/>
      <c r="I84" s="971"/>
      <c r="J84" s="3190"/>
      <c r="K84" s="3190"/>
      <c r="L84" s="3190"/>
      <c r="M84" s="3190"/>
      <c r="N84" s="3190"/>
      <c r="O84" s="3190"/>
      <c r="P84" s="3190"/>
      <c r="Q84" s="3190"/>
      <c r="R84" s="3190"/>
      <c r="S84" s="3190"/>
      <c r="T84" s="3190"/>
      <c r="U84" s="3190"/>
    </row>
    <row r="85" spans="1:21" s="960" customFormat="1" ht="14.25" customHeight="1">
      <c r="A85" s="3155" t="s">
        <v>853</v>
      </c>
      <c r="B85" s="1214" t="s">
        <v>2831</v>
      </c>
      <c r="C85" s="1214"/>
      <c r="D85" s="1214"/>
      <c r="E85" s="1214"/>
      <c r="F85" s="3166">
        <v>4680</v>
      </c>
      <c r="G85" s="3166"/>
      <c r="I85" s="971"/>
      <c r="J85" s="3190"/>
      <c r="K85" s="3190"/>
      <c r="L85" s="3190"/>
      <c r="M85" s="3190"/>
      <c r="N85" s="3190"/>
      <c r="O85" s="3190"/>
      <c r="P85" s="3190"/>
      <c r="Q85" s="3190"/>
      <c r="R85" s="3190"/>
      <c r="S85" s="3190"/>
      <c r="T85" s="3190"/>
      <c r="U85" s="3190"/>
    </row>
    <row r="86" spans="1:21" s="960" customFormat="1" ht="14.25" customHeight="1" thickBot="1">
      <c r="A86" s="3170" t="s">
        <v>853</v>
      </c>
      <c r="B86" s="3158" t="s">
        <v>2832</v>
      </c>
      <c r="C86" s="3158">
        <v>16610</v>
      </c>
      <c r="D86" s="3158">
        <v>16540</v>
      </c>
      <c r="E86" s="3158">
        <v>18850</v>
      </c>
      <c r="F86" s="3159"/>
      <c r="G86" s="3171">
        <v>11220</v>
      </c>
      <c r="I86" s="971"/>
      <c r="J86" s="3190"/>
      <c r="K86" s="3190"/>
      <c r="L86" s="3190"/>
      <c r="M86" s="3190"/>
      <c r="N86" s="3190"/>
      <c r="O86" s="3190"/>
      <c r="P86" s="3190"/>
      <c r="Q86" s="3190"/>
      <c r="R86" s="3190"/>
      <c r="S86" s="3190"/>
      <c r="T86" s="3190"/>
      <c r="U86" s="3190"/>
    </row>
    <row r="87" spans="1:21" s="960" customFormat="1" ht="14.25" customHeight="1">
      <c r="A87" s="3169" t="s">
        <v>1152</v>
      </c>
      <c r="B87" s="1216" t="s">
        <v>2833</v>
      </c>
      <c r="C87" s="1216">
        <v>15240</v>
      </c>
      <c r="D87" s="1216">
        <v>15170</v>
      </c>
      <c r="E87" s="1216">
        <v>18260</v>
      </c>
      <c r="F87" s="3156">
        <v>3830</v>
      </c>
      <c r="G87" s="3172">
        <v>10020</v>
      </c>
      <c r="I87" s="971"/>
      <c r="J87" s="3190"/>
      <c r="K87" s="3190"/>
      <c r="L87" s="3190"/>
      <c r="M87" s="3190"/>
      <c r="N87" s="3190"/>
      <c r="O87" s="3190"/>
      <c r="P87" s="3190"/>
      <c r="Q87" s="3190"/>
      <c r="R87" s="3190"/>
      <c r="S87" s="3190"/>
      <c r="T87" s="3190"/>
      <c r="U87" s="3190"/>
    </row>
    <row r="88" spans="1:21" s="960" customFormat="1" ht="14.25" customHeight="1">
      <c r="A88" s="3155" t="s">
        <v>1152</v>
      </c>
      <c r="B88" s="3155" t="s">
        <v>976</v>
      </c>
      <c r="C88" s="3155">
        <v>17310</v>
      </c>
      <c r="D88" s="3155">
        <v>17220</v>
      </c>
      <c r="E88" s="3155">
        <v>18610</v>
      </c>
      <c r="F88" s="3161">
        <v>3990</v>
      </c>
      <c r="G88" s="3163">
        <v>11380</v>
      </c>
      <c r="I88" s="971"/>
      <c r="J88" s="3190"/>
      <c r="K88" s="3190"/>
      <c r="L88" s="3190"/>
      <c r="M88" s="3190"/>
      <c r="N88" s="3190"/>
      <c r="O88" s="3190"/>
      <c r="P88" s="3190"/>
      <c r="Q88" s="3190"/>
      <c r="R88" s="3190"/>
      <c r="S88" s="3190"/>
      <c r="T88" s="3190"/>
      <c r="U88" s="3190"/>
    </row>
    <row r="89" spans="1:21" s="960" customFormat="1" ht="14.25" customHeight="1">
      <c r="A89" s="3155" t="s">
        <v>1152</v>
      </c>
      <c r="B89" s="3155" t="s">
        <v>986</v>
      </c>
      <c r="C89" s="3155">
        <v>15600</v>
      </c>
      <c r="D89" s="3155">
        <v>15550</v>
      </c>
      <c r="E89" s="3155">
        <v>19200</v>
      </c>
      <c r="F89" s="3161">
        <v>4110</v>
      </c>
      <c r="G89" s="3163">
        <v>10270</v>
      </c>
      <c r="I89" s="971"/>
      <c r="J89" s="3190"/>
      <c r="K89" s="3190"/>
      <c r="L89" s="3190"/>
      <c r="M89" s="3190"/>
      <c r="N89" s="3190"/>
      <c r="O89" s="3190"/>
      <c r="P89" s="3190"/>
      <c r="Q89" s="3190"/>
      <c r="R89" s="3190"/>
      <c r="S89" s="3190"/>
      <c r="T89" s="3190"/>
      <c r="U89" s="3190"/>
    </row>
    <row r="90" spans="1:21" s="960" customFormat="1" ht="14.25" customHeight="1">
      <c r="A90" s="3155" t="s">
        <v>1152</v>
      </c>
      <c r="B90" s="3155" t="s">
        <v>995</v>
      </c>
      <c r="C90" s="3155">
        <v>17330</v>
      </c>
      <c r="D90" s="3155">
        <v>17240</v>
      </c>
      <c r="E90" s="3155">
        <v>18570</v>
      </c>
      <c r="F90" s="3161">
        <v>4070</v>
      </c>
      <c r="G90" s="3163">
        <v>11390</v>
      </c>
      <c r="I90" s="971"/>
      <c r="J90" s="3190"/>
      <c r="K90" s="3190"/>
      <c r="L90" s="3190"/>
      <c r="M90" s="3190"/>
      <c r="N90" s="3190"/>
      <c r="O90" s="3190"/>
      <c r="P90" s="3190"/>
      <c r="Q90" s="3190"/>
      <c r="R90" s="3190"/>
      <c r="S90" s="3190"/>
      <c r="T90" s="3190"/>
      <c r="U90" s="3190"/>
    </row>
    <row r="91" spans="1:21" s="960" customFormat="1" ht="14.25" customHeight="1">
      <c r="A91" s="3155" t="s">
        <v>1152</v>
      </c>
      <c r="B91" s="3155" t="s">
        <v>1005</v>
      </c>
      <c r="C91" s="3155">
        <v>16330</v>
      </c>
      <c r="D91" s="3155">
        <v>16260</v>
      </c>
      <c r="E91" s="3155">
        <v>16800</v>
      </c>
      <c r="F91" s="3161">
        <v>3410</v>
      </c>
      <c r="G91" s="3163">
        <v>10740</v>
      </c>
      <c r="I91" s="971"/>
      <c r="J91" s="3190"/>
      <c r="K91" s="3190"/>
      <c r="L91" s="3190"/>
      <c r="M91" s="3190"/>
      <c r="N91" s="3190"/>
      <c r="O91" s="3190"/>
      <c r="P91" s="3190"/>
      <c r="Q91" s="3190"/>
      <c r="R91" s="3190"/>
      <c r="S91" s="3190"/>
      <c r="T91" s="3190"/>
      <c r="U91" s="3190"/>
    </row>
    <row r="92" spans="1:21" s="960" customFormat="1" ht="14.25" customHeight="1">
      <c r="A92" s="3155" t="s">
        <v>1152</v>
      </c>
      <c r="B92" s="3155" t="s">
        <v>1012</v>
      </c>
      <c r="C92" s="3155">
        <v>15570</v>
      </c>
      <c r="D92" s="3155">
        <v>15500</v>
      </c>
      <c r="E92" s="3155">
        <v>17360</v>
      </c>
      <c r="F92" s="3161">
        <v>3510</v>
      </c>
      <c r="G92" s="3163">
        <v>10240</v>
      </c>
      <c r="I92" s="971"/>
      <c r="J92" s="3190"/>
      <c r="K92" s="3190"/>
      <c r="L92" s="3190"/>
      <c r="M92" s="3190"/>
      <c r="N92" s="3190"/>
      <c r="O92" s="3190"/>
      <c r="P92" s="3190"/>
      <c r="Q92" s="3190"/>
      <c r="R92" s="3190"/>
      <c r="S92" s="3190"/>
      <c r="T92" s="3190"/>
      <c r="U92" s="3190"/>
    </row>
    <row r="93" spans="1:21" s="960" customFormat="1" ht="14.25" customHeight="1">
      <c r="A93" s="3155" t="s">
        <v>1152</v>
      </c>
      <c r="B93" s="3155" t="s">
        <v>1018</v>
      </c>
      <c r="C93" s="3155">
        <v>14000</v>
      </c>
      <c r="D93" s="3155">
        <v>13930</v>
      </c>
      <c r="E93" s="3155">
        <v>18200</v>
      </c>
      <c r="F93" s="3161">
        <v>3640</v>
      </c>
      <c r="G93" s="3163">
        <v>9210</v>
      </c>
      <c r="I93" s="971"/>
      <c r="J93" s="3190"/>
      <c r="K93" s="3190"/>
      <c r="L93" s="3190"/>
      <c r="M93" s="3190"/>
      <c r="N93" s="3190"/>
      <c r="O93" s="3190"/>
      <c r="P93" s="3190"/>
      <c r="Q93" s="3190"/>
      <c r="R93" s="3190"/>
      <c r="S93" s="3190"/>
      <c r="T93" s="3190"/>
      <c r="U93" s="3190"/>
    </row>
    <row r="94" spans="1:21" s="960" customFormat="1" ht="14.25" customHeight="1">
      <c r="A94" s="3155" t="s">
        <v>1152</v>
      </c>
      <c r="B94" s="3155" t="s">
        <v>1025</v>
      </c>
      <c r="C94" s="3155">
        <v>14530</v>
      </c>
      <c r="D94" s="3155">
        <v>14470</v>
      </c>
      <c r="E94" s="3155">
        <v>18240</v>
      </c>
      <c r="F94" s="3161">
        <v>3180</v>
      </c>
      <c r="G94" s="3163">
        <v>9560</v>
      </c>
      <c r="I94" s="971"/>
      <c r="J94" s="3190"/>
      <c r="K94" s="3190"/>
      <c r="L94" s="3190"/>
      <c r="M94" s="3190"/>
      <c r="N94" s="3190"/>
      <c r="O94" s="3190"/>
      <c r="P94" s="3190"/>
      <c r="Q94" s="3190"/>
      <c r="R94" s="3190"/>
      <c r="S94" s="3190"/>
      <c r="T94" s="3190"/>
      <c r="U94" s="3190"/>
    </row>
    <row r="95" spans="1:21" s="960" customFormat="1" ht="14.25" customHeight="1">
      <c r="A95" s="3155" t="s">
        <v>1152</v>
      </c>
      <c r="B95" s="3155" t="s">
        <v>1035</v>
      </c>
      <c r="C95" s="3155">
        <v>17330</v>
      </c>
      <c r="D95" s="3155">
        <v>17260</v>
      </c>
      <c r="E95" s="3155">
        <v>18420</v>
      </c>
      <c r="F95" s="3161">
        <v>3060</v>
      </c>
      <c r="G95" s="3161">
        <v>11410</v>
      </c>
      <c r="I95" s="971"/>
      <c r="J95" s="3190"/>
      <c r="K95" s="3190"/>
      <c r="L95" s="3190"/>
      <c r="M95" s="3190"/>
      <c r="N95" s="3190"/>
      <c r="O95" s="3190"/>
      <c r="P95" s="3190"/>
      <c r="Q95" s="3190"/>
      <c r="R95" s="3190"/>
      <c r="S95" s="3190"/>
      <c r="T95" s="3190"/>
      <c r="U95" s="3190"/>
    </row>
    <row r="96" spans="1:21" s="960" customFormat="1" ht="14.25" customHeight="1">
      <c r="A96" s="3155" t="s">
        <v>1152</v>
      </c>
      <c r="B96" s="3155" t="s">
        <v>1044</v>
      </c>
      <c r="C96" s="3155">
        <v>15030</v>
      </c>
      <c r="D96" s="3155">
        <v>14970</v>
      </c>
      <c r="E96" s="3155">
        <v>17580</v>
      </c>
      <c r="F96" s="3161">
        <v>2970</v>
      </c>
      <c r="G96" s="3161">
        <v>9890</v>
      </c>
      <c r="I96" s="971"/>
      <c r="J96" s="3190"/>
      <c r="K96" s="3190"/>
      <c r="L96" s="3190"/>
      <c r="M96" s="3190"/>
      <c r="N96" s="3190"/>
      <c r="O96" s="3190"/>
      <c r="P96" s="3190"/>
      <c r="Q96" s="3190"/>
      <c r="R96" s="3190"/>
      <c r="S96" s="3190"/>
      <c r="T96" s="3190"/>
      <c r="U96" s="3190"/>
    </row>
    <row r="97" spans="1:21" s="960" customFormat="1" ht="14.25" customHeight="1">
      <c r="A97" s="3155" t="s">
        <v>1152</v>
      </c>
      <c r="B97" s="3155" t="s">
        <v>1051</v>
      </c>
      <c r="C97" s="3155">
        <v>17400</v>
      </c>
      <c r="D97" s="3155">
        <v>17330</v>
      </c>
      <c r="E97" s="3155">
        <v>16430</v>
      </c>
      <c r="F97" s="3161">
        <v>2950</v>
      </c>
      <c r="G97" s="3161">
        <v>11450</v>
      </c>
      <c r="I97" s="971"/>
      <c r="J97" s="3190"/>
      <c r="K97" s="3190"/>
      <c r="L97" s="3190"/>
      <c r="M97" s="3190"/>
      <c r="N97" s="3190"/>
      <c r="O97" s="3190"/>
      <c r="P97" s="3190"/>
      <c r="Q97" s="3190"/>
      <c r="R97" s="3190"/>
      <c r="S97" s="3190"/>
      <c r="T97" s="3190"/>
      <c r="U97" s="3190"/>
    </row>
    <row r="98" spans="1:21" s="960" customFormat="1" ht="14.25" customHeight="1">
      <c r="A98" s="3155" t="s">
        <v>1152</v>
      </c>
      <c r="B98" s="3155" t="s">
        <v>1058</v>
      </c>
      <c r="C98" s="3155">
        <v>15200</v>
      </c>
      <c r="D98" s="3155">
        <v>15120</v>
      </c>
      <c r="E98" s="3155">
        <v>17550</v>
      </c>
      <c r="F98" s="3161">
        <v>3080</v>
      </c>
      <c r="G98" s="3161">
        <v>9990</v>
      </c>
      <c r="I98" s="971"/>
      <c r="J98" s="3190"/>
      <c r="K98" s="3190"/>
      <c r="L98" s="3190"/>
      <c r="M98" s="3190"/>
      <c r="N98" s="3190"/>
      <c r="O98" s="3190"/>
      <c r="P98" s="3190"/>
      <c r="Q98" s="3190"/>
      <c r="R98" s="3190"/>
      <c r="S98" s="3190"/>
      <c r="T98" s="3190"/>
      <c r="U98" s="3190"/>
    </row>
    <row r="99" spans="1:21" s="960" customFormat="1" ht="14.25" customHeight="1">
      <c r="A99" s="3155" t="s">
        <v>1152</v>
      </c>
      <c r="B99" s="3155" t="s">
        <v>1065</v>
      </c>
      <c r="C99" s="3155">
        <v>17520</v>
      </c>
      <c r="D99" s="3155">
        <v>17430</v>
      </c>
      <c r="E99" s="3155">
        <v>16350</v>
      </c>
      <c r="F99" s="3161">
        <v>3260</v>
      </c>
      <c r="G99" s="3161">
        <v>11510</v>
      </c>
      <c r="I99" s="971"/>
      <c r="J99" s="3190"/>
      <c r="K99" s="3190"/>
      <c r="L99" s="3190"/>
      <c r="M99" s="3190"/>
      <c r="N99" s="3190"/>
      <c r="O99" s="3190"/>
      <c r="P99" s="3190"/>
      <c r="Q99" s="3190"/>
      <c r="R99" s="3190"/>
      <c r="S99" s="3190"/>
      <c r="T99" s="3190"/>
      <c r="U99" s="3190"/>
    </row>
    <row r="100" spans="1:21" s="960" customFormat="1" ht="14.25" customHeight="1">
      <c r="A100" s="3155" t="s">
        <v>1152</v>
      </c>
      <c r="B100" s="3155" t="s">
        <v>1073</v>
      </c>
      <c r="C100" s="3155">
        <v>15340</v>
      </c>
      <c r="D100" s="3155">
        <v>15260</v>
      </c>
      <c r="E100" s="3155">
        <v>15930</v>
      </c>
      <c r="F100" s="3161">
        <v>2740</v>
      </c>
      <c r="G100" s="3161">
        <v>10080</v>
      </c>
      <c r="I100" s="971"/>
      <c r="J100" s="3190"/>
      <c r="K100" s="3190"/>
      <c r="L100" s="3190"/>
      <c r="M100" s="3190"/>
      <c r="N100" s="3190"/>
      <c r="O100" s="3190"/>
      <c r="P100" s="3190"/>
      <c r="Q100" s="3190"/>
      <c r="R100" s="3190"/>
      <c r="S100" s="3190"/>
      <c r="T100" s="3190"/>
      <c r="U100" s="3190"/>
    </row>
    <row r="101" spans="1:21" s="960" customFormat="1" ht="14.25" customHeight="1">
      <c r="A101" s="3155" t="s">
        <v>1152</v>
      </c>
      <c r="B101" s="3155" t="s">
        <v>1081</v>
      </c>
      <c r="C101" s="3155">
        <v>14620</v>
      </c>
      <c r="D101" s="3155">
        <v>14560</v>
      </c>
      <c r="E101" s="3155">
        <v>15570</v>
      </c>
      <c r="F101" s="3161">
        <v>3500</v>
      </c>
      <c r="G101" s="3161">
        <v>9630</v>
      </c>
      <c r="I101" s="971"/>
      <c r="J101" s="3190"/>
      <c r="K101" s="3190"/>
      <c r="L101" s="3190"/>
      <c r="M101" s="3190"/>
      <c r="N101" s="3190"/>
      <c r="O101" s="3190"/>
      <c r="P101" s="3190"/>
      <c r="Q101" s="3190"/>
      <c r="R101" s="3190"/>
      <c r="S101" s="3190"/>
      <c r="T101" s="3190"/>
      <c r="U101" s="3190"/>
    </row>
    <row r="102" spans="1:21" s="960" customFormat="1" ht="14.25" customHeight="1">
      <c r="A102" s="3155" t="s">
        <v>1152</v>
      </c>
      <c r="B102" s="3155" t="s">
        <v>1086</v>
      </c>
      <c r="C102" s="3155">
        <v>13680</v>
      </c>
      <c r="D102" s="3155">
        <v>13610</v>
      </c>
      <c r="E102" s="3155">
        <v>15690</v>
      </c>
      <c r="F102" s="3161">
        <v>2870</v>
      </c>
      <c r="G102" s="3161">
        <v>8990</v>
      </c>
      <c r="I102" s="971"/>
      <c r="J102" s="3190"/>
      <c r="K102" s="3190"/>
      <c r="L102" s="3190"/>
      <c r="M102" s="3190"/>
      <c r="N102" s="3190"/>
      <c r="O102" s="3190"/>
      <c r="P102" s="3190"/>
      <c r="Q102" s="3190"/>
      <c r="R102" s="3190"/>
      <c r="S102" s="3190"/>
      <c r="T102" s="3190"/>
      <c r="U102" s="3190"/>
    </row>
    <row r="103" spans="1:21" s="960" customFormat="1" ht="14.25" customHeight="1">
      <c r="A103" s="3155" t="s">
        <v>1152</v>
      </c>
      <c r="B103" s="3155" t="s">
        <v>1095</v>
      </c>
      <c r="C103" s="3155">
        <v>14620</v>
      </c>
      <c r="D103" s="3155">
        <v>14540</v>
      </c>
      <c r="E103" s="3155">
        <v>15240</v>
      </c>
      <c r="F103" s="3161">
        <v>2840</v>
      </c>
      <c r="G103" s="3161">
        <v>9610</v>
      </c>
      <c r="I103" s="971"/>
      <c r="J103" s="3190"/>
      <c r="K103" s="3190"/>
      <c r="L103" s="3190"/>
      <c r="M103" s="3190"/>
      <c r="N103" s="3190"/>
      <c r="O103" s="3190"/>
      <c r="P103" s="3190"/>
      <c r="Q103" s="3190"/>
      <c r="R103" s="3190"/>
      <c r="S103" s="3190"/>
      <c r="T103" s="3190"/>
      <c r="U103" s="3190"/>
    </row>
    <row r="104" spans="1:21" s="960" customFormat="1" ht="14.25" customHeight="1">
      <c r="A104" s="3155" t="s">
        <v>1152</v>
      </c>
      <c r="B104" s="3155" t="s">
        <v>1102</v>
      </c>
      <c r="C104" s="3155">
        <v>13610</v>
      </c>
      <c r="D104" s="3155">
        <v>13540</v>
      </c>
      <c r="E104" s="3155">
        <v>15750</v>
      </c>
      <c r="F104" s="3161">
        <v>2770</v>
      </c>
      <c r="G104" s="3161">
        <v>8940</v>
      </c>
      <c r="I104" s="971"/>
      <c r="J104" s="3190"/>
      <c r="K104" s="3190"/>
      <c r="L104" s="3190"/>
      <c r="M104" s="3190"/>
      <c r="N104" s="3190"/>
      <c r="O104" s="3190"/>
      <c r="P104" s="3190"/>
      <c r="Q104" s="3190"/>
      <c r="R104" s="3190"/>
      <c r="S104" s="3190"/>
      <c r="T104" s="3190"/>
      <c r="U104" s="3190"/>
    </row>
    <row r="105" spans="1:21" s="960" customFormat="1" ht="14.25" customHeight="1">
      <c r="A105" s="3155" t="s">
        <v>1152</v>
      </c>
      <c r="B105" s="3155" t="s">
        <v>1110</v>
      </c>
      <c r="C105" s="3155">
        <v>13310</v>
      </c>
      <c r="D105" s="3155">
        <v>13240</v>
      </c>
      <c r="E105" s="3155">
        <v>16280</v>
      </c>
      <c r="F105" s="3161">
        <v>3210</v>
      </c>
      <c r="G105" s="3161">
        <v>8750</v>
      </c>
      <c r="I105" s="971"/>
      <c r="J105" s="3190"/>
      <c r="K105" s="3190"/>
      <c r="L105" s="3190"/>
      <c r="M105" s="3190"/>
      <c r="N105" s="3190"/>
      <c r="O105" s="3190"/>
      <c r="P105" s="3190"/>
      <c r="Q105" s="3190"/>
      <c r="R105" s="3190"/>
      <c r="S105" s="3190"/>
      <c r="T105" s="3190"/>
      <c r="U105" s="3190"/>
    </row>
    <row r="106" spans="1:21" s="960" customFormat="1" ht="14.25" customHeight="1">
      <c r="A106" s="3155" t="s">
        <v>1152</v>
      </c>
      <c r="B106" s="3155" t="s">
        <v>1117</v>
      </c>
      <c r="C106" s="3155">
        <v>13010</v>
      </c>
      <c r="D106" s="3155">
        <v>12930</v>
      </c>
      <c r="E106" s="3155">
        <v>14960</v>
      </c>
      <c r="F106" s="3161">
        <v>3530</v>
      </c>
      <c r="G106" s="3161">
        <v>8550</v>
      </c>
      <c r="I106" s="971"/>
      <c r="J106" s="3190"/>
      <c r="K106" s="3190"/>
      <c r="L106" s="3190"/>
      <c r="M106" s="3190"/>
      <c r="N106" s="3190"/>
      <c r="O106" s="3190"/>
      <c r="P106" s="3190"/>
      <c r="Q106" s="3190"/>
      <c r="R106" s="3190"/>
      <c r="S106" s="3190"/>
      <c r="T106" s="3190"/>
      <c r="U106" s="3190"/>
    </row>
    <row r="107" spans="1:21" s="960" customFormat="1" ht="14.25" customHeight="1">
      <c r="A107" s="3155" t="s">
        <v>1152</v>
      </c>
      <c r="B107" s="3155" t="s">
        <v>1121</v>
      </c>
      <c r="C107" s="3155">
        <v>13070</v>
      </c>
      <c r="D107" s="3155">
        <v>13000</v>
      </c>
      <c r="E107" s="3155">
        <v>15910</v>
      </c>
      <c r="F107" s="3161">
        <v>3990</v>
      </c>
      <c r="G107" s="3161">
        <v>8580</v>
      </c>
      <c r="I107" s="971"/>
      <c r="J107" s="3190"/>
      <c r="K107" s="3190"/>
      <c r="L107" s="3190"/>
      <c r="M107" s="3190"/>
      <c r="N107" s="3190"/>
      <c r="O107" s="3190"/>
      <c r="P107" s="3190"/>
      <c r="Q107" s="3190"/>
      <c r="R107" s="3190"/>
      <c r="S107" s="3190"/>
      <c r="T107" s="3190"/>
      <c r="U107" s="3190"/>
    </row>
    <row r="108" spans="1:21" s="960" customFormat="1" ht="14.25" customHeight="1">
      <c r="A108" s="3155" t="s">
        <v>1152</v>
      </c>
      <c r="B108" s="3155" t="s">
        <v>1128</v>
      </c>
      <c r="C108" s="3155">
        <v>12640</v>
      </c>
      <c r="D108" s="3155">
        <v>12580</v>
      </c>
      <c r="E108" s="3155">
        <v>15730</v>
      </c>
      <c r="F108" s="3161"/>
      <c r="G108" s="3161">
        <v>8310</v>
      </c>
      <c r="I108" s="971"/>
      <c r="J108" s="3190"/>
      <c r="K108" s="3190"/>
      <c r="L108" s="3190"/>
      <c r="M108" s="3190"/>
      <c r="N108" s="3190"/>
      <c r="O108" s="3190"/>
      <c r="P108" s="3190"/>
      <c r="Q108" s="3190"/>
      <c r="R108" s="3190"/>
      <c r="S108" s="3190"/>
      <c r="T108" s="3190"/>
      <c r="U108" s="3190"/>
    </row>
    <row r="109" spans="1:21" s="960" customFormat="1" ht="14.25" customHeight="1">
      <c r="A109" s="3155" t="s">
        <v>1152</v>
      </c>
      <c r="B109" s="3155" t="s">
        <v>1131</v>
      </c>
      <c r="C109" s="3155">
        <v>13130</v>
      </c>
      <c r="D109" s="3155">
        <v>13070</v>
      </c>
      <c r="E109" s="3155">
        <v>15000</v>
      </c>
      <c r="F109" s="3161"/>
      <c r="G109" s="3168">
        <v>8630</v>
      </c>
      <c r="I109" s="971"/>
      <c r="J109" s="3190"/>
      <c r="K109" s="3190"/>
      <c r="L109" s="3190"/>
      <c r="M109" s="3190"/>
      <c r="N109" s="3190"/>
      <c r="O109" s="3190"/>
      <c r="P109" s="3190"/>
      <c r="Q109" s="3190"/>
      <c r="R109" s="3190"/>
      <c r="S109" s="3190"/>
      <c r="T109" s="3190"/>
      <c r="U109" s="3190"/>
    </row>
    <row r="110" spans="1:21" s="960" customFormat="1" ht="14.25" customHeight="1">
      <c r="A110" s="3155" t="s">
        <v>1152</v>
      </c>
      <c r="B110" s="1216" t="s">
        <v>1133</v>
      </c>
      <c r="C110" s="1216">
        <v>13560</v>
      </c>
      <c r="D110" s="1216">
        <v>13490</v>
      </c>
      <c r="E110" s="1216">
        <v>16300</v>
      </c>
      <c r="F110" s="3156"/>
      <c r="G110" s="3156">
        <v>8920</v>
      </c>
      <c r="I110" s="971"/>
      <c r="J110" s="3190"/>
      <c r="K110" s="3190"/>
      <c r="L110" s="3190"/>
      <c r="M110" s="3190"/>
      <c r="N110" s="3190"/>
      <c r="O110" s="3190"/>
      <c r="P110" s="3190"/>
      <c r="Q110" s="3190"/>
      <c r="R110" s="3190"/>
      <c r="S110" s="3190"/>
      <c r="T110" s="3190"/>
      <c r="U110" s="3190"/>
    </row>
    <row r="111" spans="1:21" s="960" customFormat="1" ht="14.25" customHeight="1">
      <c r="A111" s="3155" t="s">
        <v>1152</v>
      </c>
      <c r="B111" s="3155" t="s">
        <v>1136</v>
      </c>
      <c r="C111" s="3155">
        <v>12440</v>
      </c>
      <c r="D111" s="3155">
        <v>12380</v>
      </c>
      <c r="E111" s="3155">
        <v>17850</v>
      </c>
      <c r="F111" s="3161"/>
      <c r="G111" s="3161">
        <v>8180</v>
      </c>
      <c r="I111" s="971"/>
      <c r="J111" s="3190"/>
      <c r="K111" s="3190"/>
      <c r="L111" s="3190"/>
      <c r="M111" s="3190"/>
      <c r="N111" s="3190"/>
      <c r="O111" s="3190"/>
      <c r="P111" s="3190"/>
      <c r="Q111" s="3190"/>
      <c r="R111" s="3190"/>
      <c r="S111" s="3190"/>
      <c r="T111" s="3190"/>
      <c r="U111" s="3190"/>
    </row>
    <row r="112" spans="1:21" s="960" customFormat="1" ht="14.25" customHeight="1">
      <c r="A112" s="3155" t="s">
        <v>1152</v>
      </c>
      <c r="B112" s="3155" t="s">
        <v>1140</v>
      </c>
      <c r="C112" s="3155">
        <v>13260</v>
      </c>
      <c r="D112" s="3155">
        <v>13180</v>
      </c>
      <c r="E112" s="3155">
        <v>19740</v>
      </c>
      <c r="F112" s="3161"/>
      <c r="G112" s="3161">
        <v>8710</v>
      </c>
      <c r="I112" s="971"/>
      <c r="J112" s="3190"/>
      <c r="K112" s="3190"/>
      <c r="L112" s="3190"/>
      <c r="M112" s="3190"/>
      <c r="N112" s="3190"/>
      <c r="O112" s="3190"/>
      <c r="P112" s="3190"/>
      <c r="Q112" s="3190"/>
      <c r="R112" s="3190"/>
      <c r="S112" s="3190"/>
      <c r="T112" s="3190"/>
      <c r="U112" s="3190"/>
    </row>
    <row r="113" spans="1:21" s="960" customFormat="1" ht="14.25" customHeight="1">
      <c r="A113" s="3155" t="s">
        <v>1152</v>
      </c>
      <c r="B113" s="3155" t="s">
        <v>2834</v>
      </c>
      <c r="C113" s="3155">
        <v>15520</v>
      </c>
      <c r="D113" s="3155">
        <v>15450</v>
      </c>
      <c r="E113" s="3155"/>
      <c r="F113" s="3161"/>
      <c r="G113" s="3161">
        <v>10210</v>
      </c>
      <c r="I113" s="971"/>
      <c r="J113" s="3190"/>
      <c r="K113" s="3190"/>
      <c r="L113" s="3190"/>
      <c r="M113" s="3190"/>
      <c r="N113" s="3190"/>
      <c r="O113" s="3190"/>
      <c r="P113" s="3190"/>
      <c r="Q113" s="3190"/>
      <c r="R113" s="3190"/>
      <c r="S113" s="3190"/>
      <c r="T113" s="3190"/>
      <c r="U113" s="3190"/>
    </row>
    <row r="114" spans="1:21" s="960" customFormat="1" ht="14.25" customHeight="1">
      <c r="A114" s="3155" t="s">
        <v>1152</v>
      </c>
      <c r="B114" s="3155" t="s">
        <v>2835</v>
      </c>
      <c r="C114" s="3155">
        <v>13110</v>
      </c>
      <c r="D114" s="3155">
        <v>13050</v>
      </c>
      <c r="E114" s="3155"/>
      <c r="F114" s="3161"/>
      <c r="G114" s="3161">
        <v>8620</v>
      </c>
      <c r="I114" s="971"/>
      <c r="J114" s="3190"/>
      <c r="K114" s="3190"/>
      <c r="L114" s="3190"/>
      <c r="M114" s="3190"/>
      <c r="N114" s="3190"/>
      <c r="O114" s="3190"/>
      <c r="P114" s="3190"/>
      <c r="Q114" s="3190"/>
      <c r="R114" s="3190"/>
      <c r="S114" s="3190"/>
      <c r="T114" s="3190"/>
      <c r="U114" s="3190"/>
    </row>
    <row r="115" spans="1:21" s="960" customFormat="1" ht="14.25" customHeight="1">
      <c r="A115" s="3155" t="s">
        <v>1152</v>
      </c>
      <c r="B115" s="3155" t="s">
        <v>2836</v>
      </c>
      <c r="C115" s="3155">
        <v>12460</v>
      </c>
      <c r="D115" s="3155">
        <v>12390</v>
      </c>
      <c r="E115" s="3155"/>
      <c r="F115" s="3161"/>
      <c r="G115" s="3161">
        <v>8190</v>
      </c>
      <c r="I115" s="971"/>
      <c r="J115" s="3190"/>
      <c r="K115" s="3190"/>
      <c r="L115" s="3190"/>
      <c r="M115" s="3190"/>
      <c r="N115" s="3190"/>
      <c r="O115" s="3190"/>
      <c r="P115" s="3190"/>
      <c r="Q115" s="3190"/>
      <c r="R115" s="3190"/>
      <c r="S115" s="3190"/>
      <c r="T115" s="3190"/>
      <c r="U115" s="3190"/>
    </row>
    <row r="116" spans="1:21" s="960" customFormat="1" ht="14.25" customHeight="1">
      <c r="A116" s="3155" t="s">
        <v>1152</v>
      </c>
      <c r="B116" s="3155" t="s">
        <v>2837</v>
      </c>
      <c r="C116" s="3155">
        <v>13580</v>
      </c>
      <c r="D116" s="3155">
        <v>13520</v>
      </c>
      <c r="E116" s="3155"/>
      <c r="F116" s="3161"/>
      <c r="G116" s="3161">
        <v>8930</v>
      </c>
      <c r="I116" s="971"/>
      <c r="J116" s="3190"/>
      <c r="K116" s="3190"/>
      <c r="L116" s="3190"/>
      <c r="M116" s="3190"/>
      <c r="N116" s="3190"/>
      <c r="O116" s="3190"/>
      <c r="P116" s="3190"/>
      <c r="Q116" s="3190"/>
      <c r="R116" s="3190"/>
      <c r="S116" s="3190"/>
      <c r="T116" s="3190"/>
      <c r="U116" s="3190"/>
    </row>
    <row r="117" spans="1:21" s="960" customFormat="1" ht="14.25" customHeight="1">
      <c r="A117" s="3155" t="s">
        <v>1152</v>
      </c>
      <c r="B117" s="3155" t="s">
        <v>2838</v>
      </c>
      <c r="C117" s="3155">
        <v>17120</v>
      </c>
      <c r="D117" s="3155">
        <v>17040</v>
      </c>
      <c r="E117" s="3155"/>
      <c r="F117" s="3161"/>
      <c r="G117" s="3161">
        <v>11260</v>
      </c>
      <c r="I117" s="971"/>
      <c r="J117" s="3190"/>
      <c r="K117" s="3190"/>
      <c r="L117" s="3190"/>
      <c r="M117" s="3190"/>
      <c r="N117" s="3190"/>
      <c r="O117" s="3190"/>
      <c r="P117" s="3190"/>
      <c r="Q117" s="3190"/>
      <c r="R117" s="3190"/>
      <c r="S117" s="3190"/>
      <c r="T117" s="3190"/>
      <c r="U117" s="3190"/>
    </row>
    <row r="118" spans="1:21" s="960" customFormat="1" ht="14.25" customHeight="1">
      <c r="A118" s="3155" t="s">
        <v>1152</v>
      </c>
      <c r="B118" s="3155" t="s">
        <v>2839</v>
      </c>
      <c r="C118" s="3155">
        <v>14860</v>
      </c>
      <c r="D118" s="3155">
        <v>14790</v>
      </c>
      <c r="E118" s="3155"/>
      <c r="F118" s="3161"/>
      <c r="G118" s="3161">
        <v>9780</v>
      </c>
      <c r="I118" s="971"/>
      <c r="J118" s="3190"/>
      <c r="K118" s="3190"/>
      <c r="L118" s="3190"/>
      <c r="M118" s="3190"/>
      <c r="N118" s="3190"/>
      <c r="O118" s="3190"/>
      <c r="P118" s="3190"/>
      <c r="Q118" s="3190"/>
      <c r="R118" s="3190"/>
      <c r="S118" s="3190"/>
      <c r="T118" s="3190"/>
      <c r="U118" s="3190"/>
    </row>
    <row r="119" spans="1:21" s="960" customFormat="1" ht="14.25" customHeight="1">
      <c r="A119" s="3155" t="s">
        <v>1152</v>
      </c>
      <c r="B119" s="3155" t="s">
        <v>2840</v>
      </c>
      <c r="C119" s="3155">
        <v>16470</v>
      </c>
      <c r="D119" s="3155">
        <v>16400</v>
      </c>
      <c r="E119" s="3155"/>
      <c r="F119" s="3161"/>
      <c r="G119" s="3161">
        <v>10840</v>
      </c>
      <c r="I119" s="971"/>
      <c r="J119" s="3190"/>
      <c r="K119" s="3190"/>
      <c r="L119" s="3190"/>
      <c r="M119" s="3190"/>
      <c r="N119" s="3190"/>
      <c r="O119" s="3190"/>
      <c r="P119" s="3190"/>
      <c r="Q119" s="3190"/>
      <c r="R119" s="3190"/>
      <c r="S119" s="3190"/>
      <c r="T119" s="3190"/>
      <c r="U119" s="3190"/>
    </row>
    <row r="120" spans="1:21" s="960" customFormat="1" ht="14.25" customHeight="1">
      <c r="A120" s="3155" t="s">
        <v>1152</v>
      </c>
      <c r="B120" s="3155" t="s">
        <v>2841</v>
      </c>
      <c r="C120" s="3155"/>
      <c r="D120" s="3155"/>
      <c r="E120" s="3155"/>
      <c r="F120" s="3161">
        <v>4160</v>
      </c>
      <c r="G120" s="3161"/>
      <c r="I120" s="971"/>
      <c r="J120" s="3190"/>
      <c r="K120" s="3190"/>
      <c r="L120" s="3190"/>
      <c r="M120" s="3190"/>
      <c r="N120" s="3190"/>
      <c r="O120" s="3190"/>
      <c r="P120" s="3190"/>
      <c r="Q120" s="3190"/>
      <c r="R120" s="3190"/>
      <c r="S120" s="3190"/>
      <c r="T120" s="3190"/>
      <c r="U120" s="3190"/>
    </row>
    <row r="121" spans="1:21" s="960" customFormat="1" ht="14.25" customHeight="1">
      <c r="A121" s="3155" t="s">
        <v>1152</v>
      </c>
      <c r="B121" s="3155" t="s">
        <v>2842</v>
      </c>
      <c r="C121" s="3155"/>
      <c r="D121" s="3155"/>
      <c r="E121" s="3155"/>
      <c r="F121" s="3161">
        <v>3880</v>
      </c>
      <c r="G121" s="3161"/>
      <c r="I121" s="971"/>
      <c r="J121" s="3190"/>
      <c r="K121" s="3190"/>
      <c r="L121" s="3190"/>
      <c r="M121" s="3190"/>
      <c r="N121" s="3190"/>
      <c r="O121" s="3190"/>
      <c r="P121" s="3190"/>
      <c r="Q121" s="3190"/>
      <c r="R121" s="3190"/>
      <c r="S121" s="3190"/>
      <c r="T121" s="3190"/>
      <c r="U121" s="3190"/>
    </row>
    <row r="122" spans="1:21" s="960" customFormat="1" ht="14.25" customHeight="1">
      <c r="A122" s="3155" t="s">
        <v>1152</v>
      </c>
      <c r="B122" s="3155" t="s">
        <v>2843</v>
      </c>
      <c r="C122" s="3155">
        <v>13750</v>
      </c>
      <c r="D122" s="3155">
        <v>13680</v>
      </c>
      <c r="E122" s="3155">
        <v>16460</v>
      </c>
      <c r="F122" s="3161">
        <v>2880</v>
      </c>
      <c r="G122" s="3161">
        <v>9040</v>
      </c>
      <c r="I122" s="971"/>
      <c r="J122" s="3190"/>
      <c r="K122" s="3190"/>
      <c r="L122" s="3190"/>
      <c r="M122" s="3190"/>
      <c r="N122" s="3190"/>
      <c r="O122" s="3190"/>
      <c r="P122" s="3190"/>
      <c r="Q122" s="3190"/>
      <c r="R122" s="3190"/>
      <c r="S122" s="3190"/>
      <c r="T122" s="3190"/>
      <c r="U122" s="3190"/>
    </row>
    <row r="123" spans="1:21" s="960" customFormat="1" ht="14.25" customHeight="1">
      <c r="A123" s="3155" t="s">
        <v>1152</v>
      </c>
      <c r="B123" s="3155" t="s">
        <v>2844</v>
      </c>
      <c r="C123" s="3155">
        <v>13590</v>
      </c>
      <c r="D123" s="3155">
        <v>13520</v>
      </c>
      <c r="E123" s="3155">
        <v>16290</v>
      </c>
      <c r="F123" s="3161">
        <v>2790</v>
      </c>
      <c r="G123" s="3161">
        <v>8930</v>
      </c>
      <c r="I123" s="971"/>
      <c r="J123" s="3190"/>
      <c r="K123" s="3190"/>
      <c r="L123" s="3190"/>
      <c r="M123" s="3190"/>
      <c r="N123" s="3190"/>
      <c r="O123" s="3190"/>
      <c r="P123" s="3190"/>
      <c r="Q123" s="3190"/>
      <c r="R123" s="3190"/>
      <c r="S123" s="3190"/>
      <c r="T123" s="3190"/>
      <c r="U123" s="3190"/>
    </row>
    <row r="124" spans="1:21" s="960" customFormat="1" ht="14.25" customHeight="1">
      <c r="A124" s="3155" t="s">
        <v>1152</v>
      </c>
      <c r="B124" s="3155" t="s">
        <v>2845</v>
      </c>
      <c r="C124" s="3155">
        <v>13400</v>
      </c>
      <c r="D124" s="3155">
        <v>13320</v>
      </c>
      <c r="E124" s="3155">
        <v>16100</v>
      </c>
      <c r="F124" s="3161">
        <v>2320</v>
      </c>
      <c r="G124" s="3163">
        <v>8800</v>
      </c>
      <c r="I124" s="971"/>
      <c r="J124" s="3190"/>
      <c r="K124" s="3190"/>
      <c r="L124" s="3190"/>
      <c r="M124" s="3190"/>
      <c r="N124" s="3190"/>
      <c r="O124" s="3190"/>
      <c r="P124" s="3190"/>
      <c r="Q124" s="3190"/>
      <c r="R124" s="3190"/>
      <c r="S124" s="3190"/>
      <c r="T124" s="3190"/>
      <c r="U124" s="3190"/>
    </row>
    <row r="125" spans="1:21" s="960" customFormat="1" ht="14.25" customHeight="1">
      <c r="A125" s="3155" t="s">
        <v>1152</v>
      </c>
      <c r="B125" s="1214" t="s">
        <v>2846</v>
      </c>
      <c r="C125" s="1214">
        <v>12860</v>
      </c>
      <c r="D125" s="1214">
        <v>12790</v>
      </c>
      <c r="E125" s="1214">
        <v>15370</v>
      </c>
      <c r="F125" s="3166">
        <v>2280</v>
      </c>
      <c r="G125" s="3173">
        <v>8450</v>
      </c>
      <c r="I125" s="971"/>
      <c r="J125" s="3190"/>
      <c r="K125" s="3190"/>
      <c r="L125" s="3190"/>
      <c r="M125" s="3190"/>
      <c r="N125" s="3190"/>
      <c r="O125" s="3190"/>
      <c r="P125" s="3190"/>
      <c r="Q125" s="3190"/>
      <c r="R125" s="3190"/>
      <c r="S125" s="3190"/>
      <c r="T125" s="3190"/>
      <c r="U125" s="3190"/>
    </row>
    <row r="126" spans="1:21" s="960" customFormat="1" ht="14.25" customHeight="1" thickBot="1">
      <c r="A126" s="3170" t="s">
        <v>1152</v>
      </c>
      <c r="B126" s="3158" t="s">
        <v>2847</v>
      </c>
      <c r="C126" s="3158">
        <v>12960</v>
      </c>
      <c r="D126" s="3158">
        <v>12890</v>
      </c>
      <c r="E126" s="3158">
        <v>15530</v>
      </c>
      <c r="F126" s="3159">
        <v>2910</v>
      </c>
      <c r="G126" s="3174">
        <v>8520</v>
      </c>
      <c r="I126" s="971"/>
      <c r="J126" s="3190"/>
      <c r="K126" s="3190"/>
      <c r="L126" s="3190"/>
      <c r="M126" s="3190"/>
      <c r="N126" s="3190"/>
      <c r="O126" s="3190"/>
      <c r="P126" s="3190"/>
      <c r="Q126" s="3190"/>
      <c r="R126" s="3190"/>
      <c r="S126" s="3190"/>
      <c r="T126" s="3190"/>
      <c r="U126" s="3190"/>
    </row>
    <row r="127" spans="1:21" s="960" customFormat="1" ht="14.25" customHeight="1">
      <c r="A127" s="3169" t="s">
        <v>1153</v>
      </c>
      <c r="B127" s="1216" t="s">
        <v>2848</v>
      </c>
      <c r="C127" s="1216">
        <v>12280</v>
      </c>
      <c r="D127" s="1216">
        <v>12250</v>
      </c>
      <c r="E127" s="1216">
        <v>15130</v>
      </c>
      <c r="F127" s="3156">
        <v>2710</v>
      </c>
      <c r="G127" s="3172">
        <v>7870</v>
      </c>
      <c r="I127" s="971"/>
      <c r="J127" s="3190"/>
      <c r="K127" s="3190"/>
      <c r="L127" s="3190"/>
      <c r="M127" s="3190"/>
      <c r="N127" s="3190"/>
      <c r="O127" s="3190"/>
      <c r="P127" s="3190"/>
      <c r="Q127" s="3190"/>
      <c r="R127" s="3190"/>
      <c r="S127" s="3190"/>
      <c r="T127" s="3190"/>
      <c r="U127" s="3190"/>
    </row>
    <row r="128" spans="1:21" s="960" customFormat="1" ht="14.25" customHeight="1">
      <c r="A128" s="3155" t="s">
        <v>1153</v>
      </c>
      <c r="B128" s="3155" t="s">
        <v>977</v>
      </c>
      <c r="C128" s="3155">
        <v>13180</v>
      </c>
      <c r="D128" s="3155">
        <v>13150</v>
      </c>
      <c r="E128" s="3155">
        <v>16190</v>
      </c>
      <c r="F128" s="3161">
        <v>2820</v>
      </c>
      <c r="G128" s="3163">
        <v>8460</v>
      </c>
      <c r="I128" s="971"/>
      <c r="J128" s="3190"/>
      <c r="K128" s="3190"/>
      <c r="L128" s="3190"/>
      <c r="M128" s="3190"/>
      <c r="N128" s="3190"/>
      <c r="O128" s="3190"/>
      <c r="P128" s="3190"/>
      <c r="Q128" s="3190"/>
      <c r="R128" s="3190"/>
      <c r="S128" s="3190"/>
      <c r="T128" s="3190"/>
      <c r="U128" s="3190"/>
    </row>
    <row r="129" spans="1:21" s="960" customFormat="1" ht="14.25" customHeight="1">
      <c r="A129" s="3155" t="s">
        <v>1153</v>
      </c>
      <c r="B129" s="3155" t="s">
        <v>987</v>
      </c>
      <c r="C129" s="3155">
        <v>10950</v>
      </c>
      <c r="D129" s="3155">
        <v>10920</v>
      </c>
      <c r="E129" s="3155">
        <v>13820</v>
      </c>
      <c r="F129" s="3161">
        <v>2500</v>
      </c>
      <c r="G129" s="3163">
        <v>7020</v>
      </c>
      <c r="I129" s="971"/>
      <c r="J129" s="3190"/>
      <c r="K129" s="3190"/>
      <c r="L129" s="3190"/>
      <c r="M129" s="3190"/>
      <c r="N129" s="3190"/>
      <c r="O129" s="3190"/>
      <c r="P129" s="3190"/>
      <c r="Q129" s="3190"/>
      <c r="R129" s="3190"/>
      <c r="S129" s="3190"/>
      <c r="T129" s="3190"/>
      <c r="U129" s="3190"/>
    </row>
    <row r="130" spans="1:21" s="960" customFormat="1" ht="14.25" customHeight="1">
      <c r="A130" s="3155" t="s">
        <v>1153</v>
      </c>
      <c r="B130" s="3155" t="s">
        <v>996</v>
      </c>
      <c r="C130" s="3155">
        <v>10910</v>
      </c>
      <c r="D130" s="3155">
        <v>10860</v>
      </c>
      <c r="E130" s="3155">
        <v>13730</v>
      </c>
      <c r="F130" s="3161">
        <v>2760</v>
      </c>
      <c r="G130" s="3163">
        <v>6990</v>
      </c>
      <c r="I130" s="971"/>
      <c r="J130" s="3190"/>
      <c r="K130" s="3190"/>
      <c r="L130" s="3190"/>
      <c r="M130" s="3190"/>
      <c r="N130" s="3190"/>
      <c r="O130" s="3190"/>
      <c r="P130" s="3190"/>
      <c r="Q130" s="3190"/>
      <c r="R130" s="3190"/>
      <c r="S130" s="3190"/>
      <c r="T130" s="3190"/>
      <c r="U130" s="3190"/>
    </row>
    <row r="131" spans="1:21" s="960" customFormat="1" ht="14.25" customHeight="1">
      <c r="A131" s="3155" t="s">
        <v>1153</v>
      </c>
      <c r="B131" s="3155" t="s">
        <v>1006</v>
      </c>
      <c r="C131" s="3155">
        <v>12910</v>
      </c>
      <c r="D131" s="3155">
        <v>12870</v>
      </c>
      <c r="E131" s="3155">
        <v>15720</v>
      </c>
      <c r="F131" s="3161">
        <v>2750</v>
      </c>
      <c r="G131" s="3163">
        <v>8280</v>
      </c>
      <c r="I131" s="971"/>
      <c r="J131" s="3190"/>
      <c r="K131" s="3190"/>
      <c r="L131" s="3190"/>
      <c r="M131" s="3190"/>
      <c r="N131" s="3190"/>
      <c r="O131" s="3190"/>
      <c r="P131" s="3190"/>
      <c r="Q131" s="3190"/>
      <c r="R131" s="3190"/>
      <c r="S131" s="3190"/>
      <c r="T131" s="3190"/>
      <c r="U131" s="3190"/>
    </row>
    <row r="132" spans="1:21" s="960" customFormat="1" ht="14.25" customHeight="1">
      <c r="A132" s="3155" t="s">
        <v>1153</v>
      </c>
      <c r="B132" s="3155" t="s">
        <v>1013</v>
      </c>
      <c r="C132" s="3155">
        <v>11910</v>
      </c>
      <c r="D132" s="3155">
        <v>11860</v>
      </c>
      <c r="E132" s="3155">
        <v>14730</v>
      </c>
      <c r="F132" s="3161">
        <v>2360</v>
      </c>
      <c r="G132" s="3163">
        <v>7630</v>
      </c>
      <c r="I132" s="971"/>
      <c r="J132" s="3190"/>
      <c r="K132" s="3190"/>
      <c r="L132" s="3190"/>
      <c r="M132" s="3190"/>
      <c r="N132" s="3190"/>
      <c r="O132" s="3190"/>
      <c r="P132" s="3190"/>
      <c r="Q132" s="3190"/>
      <c r="R132" s="3190"/>
      <c r="S132" s="3190"/>
      <c r="T132" s="3190"/>
      <c r="U132" s="3190"/>
    </row>
    <row r="133" spans="1:21" s="960" customFormat="1" ht="14.25" customHeight="1">
      <c r="A133" s="3155" t="s">
        <v>1153</v>
      </c>
      <c r="B133" s="3155" t="s">
        <v>1019</v>
      </c>
      <c r="C133" s="3155">
        <v>12270</v>
      </c>
      <c r="D133" s="3155">
        <v>12210</v>
      </c>
      <c r="E133" s="3155">
        <v>15010</v>
      </c>
      <c r="F133" s="3161">
        <v>2580</v>
      </c>
      <c r="G133" s="3163">
        <v>7860</v>
      </c>
      <c r="I133" s="971"/>
      <c r="J133" s="3190"/>
      <c r="K133" s="3190"/>
      <c r="L133" s="3190"/>
      <c r="M133" s="3190"/>
      <c r="N133" s="3190"/>
      <c r="O133" s="3190"/>
      <c r="P133" s="3190"/>
      <c r="Q133" s="3190"/>
      <c r="R133" s="3190"/>
      <c r="S133" s="3190"/>
      <c r="T133" s="3190"/>
      <c r="U133" s="3190"/>
    </row>
    <row r="134" spans="1:21" s="960" customFormat="1" ht="14.25" customHeight="1">
      <c r="A134" s="3155" t="s">
        <v>1153</v>
      </c>
      <c r="B134" s="3155" t="s">
        <v>1026</v>
      </c>
      <c r="C134" s="3155">
        <v>10800</v>
      </c>
      <c r="D134" s="3155">
        <v>10780</v>
      </c>
      <c r="E134" s="3155">
        <v>13640</v>
      </c>
      <c r="F134" s="3161">
        <v>2110</v>
      </c>
      <c r="G134" s="3161">
        <v>6930</v>
      </c>
      <c r="I134" s="971"/>
      <c r="J134" s="3190"/>
      <c r="K134" s="3190"/>
      <c r="L134" s="3190"/>
      <c r="M134" s="3190"/>
      <c r="N134" s="3190"/>
      <c r="O134" s="3190"/>
      <c r="P134" s="3190"/>
      <c r="Q134" s="3190"/>
      <c r="R134" s="3190"/>
      <c r="S134" s="3190"/>
      <c r="T134" s="3190"/>
      <c r="U134" s="3190"/>
    </row>
    <row r="135" spans="1:21" s="960" customFormat="1" ht="14.25" customHeight="1">
      <c r="A135" s="3155" t="s">
        <v>1153</v>
      </c>
      <c r="B135" s="3155" t="s">
        <v>1036</v>
      </c>
      <c r="C135" s="3155">
        <v>10430</v>
      </c>
      <c r="D135" s="3155">
        <v>10390</v>
      </c>
      <c r="E135" s="3155">
        <v>13140</v>
      </c>
      <c r="F135" s="3161">
        <v>2240</v>
      </c>
      <c r="G135" s="3163">
        <v>6680</v>
      </c>
      <c r="I135" s="971"/>
      <c r="J135" s="3190"/>
      <c r="K135" s="3190"/>
      <c r="L135" s="3190"/>
      <c r="M135" s="3190"/>
      <c r="N135" s="3190"/>
      <c r="O135" s="3190"/>
      <c r="P135" s="3190"/>
      <c r="Q135" s="3190"/>
      <c r="R135" s="3190"/>
      <c r="S135" s="3190"/>
      <c r="T135" s="3190"/>
      <c r="U135" s="3190"/>
    </row>
    <row r="136" spans="1:21" s="960" customFormat="1" ht="14.25" customHeight="1">
      <c r="A136" s="3155" t="s">
        <v>1153</v>
      </c>
      <c r="B136" s="3155" t="s">
        <v>1045</v>
      </c>
      <c r="C136" s="3155">
        <v>11930</v>
      </c>
      <c r="D136" s="3155">
        <v>11880</v>
      </c>
      <c r="E136" s="3155">
        <v>14770</v>
      </c>
      <c r="F136" s="3161">
        <v>1970</v>
      </c>
      <c r="G136" s="3163">
        <v>7640</v>
      </c>
      <c r="I136" s="971"/>
      <c r="J136" s="3190"/>
      <c r="K136" s="3190"/>
      <c r="L136" s="3190"/>
      <c r="M136" s="3190"/>
      <c r="N136" s="3190"/>
      <c r="O136" s="3190"/>
      <c r="P136" s="3190"/>
      <c r="Q136" s="3190"/>
      <c r="R136" s="3190"/>
      <c r="S136" s="3190"/>
      <c r="T136" s="3190"/>
      <c r="U136" s="3190"/>
    </row>
    <row r="137" spans="1:21" s="960" customFormat="1" ht="14.25" customHeight="1">
      <c r="A137" s="3155" t="s">
        <v>1153</v>
      </c>
      <c r="B137" s="3155" t="s">
        <v>1052</v>
      </c>
      <c r="C137" s="3155">
        <v>10470</v>
      </c>
      <c r="D137" s="3155">
        <v>10430</v>
      </c>
      <c r="E137" s="3155">
        <v>13190</v>
      </c>
      <c r="F137" s="3161">
        <v>1990</v>
      </c>
      <c r="G137" s="3163">
        <v>6710</v>
      </c>
      <c r="I137" s="971"/>
      <c r="J137" s="3190"/>
      <c r="K137" s="3190"/>
      <c r="L137" s="3190"/>
      <c r="M137" s="3190"/>
      <c r="N137" s="3190"/>
      <c r="O137" s="3190"/>
      <c r="P137" s="3190"/>
      <c r="Q137" s="3190"/>
      <c r="R137" s="3190"/>
      <c r="S137" s="3190"/>
      <c r="T137" s="3190"/>
      <c r="U137" s="3190"/>
    </row>
    <row r="138" spans="1:21" s="960" customFormat="1" ht="14.25" customHeight="1">
      <c r="A138" s="3155" t="s">
        <v>1153</v>
      </c>
      <c r="B138" s="3155" t="s">
        <v>1059</v>
      </c>
      <c r="C138" s="3155">
        <v>10410</v>
      </c>
      <c r="D138" s="3155">
        <v>10380</v>
      </c>
      <c r="E138" s="3155">
        <v>13130</v>
      </c>
      <c r="F138" s="3161">
        <v>2030</v>
      </c>
      <c r="G138" s="3163">
        <v>6680</v>
      </c>
      <c r="I138" s="971"/>
      <c r="J138" s="3190"/>
      <c r="K138" s="3190"/>
      <c r="L138" s="3190"/>
      <c r="M138" s="3190"/>
      <c r="N138" s="3190"/>
      <c r="O138" s="3190"/>
      <c r="P138" s="3190"/>
      <c r="Q138" s="3190"/>
      <c r="R138" s="3190"/>
      <c r="S138" s="3190"/>
      <c r="T138" s="3190"/>
      <c r="U138" s="3190"/>
    </row>
    <row r="139" spans="1:21" s="960" customFormat="1" ht="14.25" customHeight="1">
      <c r="A139" s="3155" t="s">
        <v>1153</v>
      </c>
      <c r="B139" s="3155" t="s">
        <v>1066</v>
      </c>
      <c r="C139" s="3155">
        <v>9460</v>
      </c>
      <c r="D139" s="3155">
        <v>9410</v>
      </c>
      <c r="E139" s="3155">
        <v>12050</v>
      </c>
      <c r="F139" s="3161">
        <v>2140</v>
      </c>
      <c r="G139" s="3161">
        <v>6050</v>
      </c>
      <c r="I139" s="971"/>
      <c r="J139" s="3190"/>
      <c r="K139" s="3190"/>
      <c r="L139" s="3190"/>
      <c r="M139" s="3190"/>
      <c r="N139" s="3190"/>
      <c r="O139" s="3190"/>
      <c r="P139" s="3190"/>
      <c r="Q139" s="3190"/>
      <c r="R139" s="3190"/>
      <c r="S139" s="3190"/>
      <c r="T139" s="3190"/>
      <c r="U139" s="3190"/>
    </row>
    <row r="140" spans="1:21" s="960" customFormat="1" ht="14.25" customHeight="1">
      <c r="A140" s="3155" t="s">
        <v>1153</v>
      </c>
      <c r="B140" s="3155" t="s">
        <v>1074</v>
      </c>
      <c r="C140" s="3155">
        <v>11030</v>
      </c>
      <c r="D140" s="3155">
        <v>10980</v>
      </c>
      <c r="E140" s="3155">
        <v>13880</v>
      </c>
      <c r="F140" s="3161">
        <v>2210</v>
      </c>
      <c r="G140" s="3161">
        <v>7060</v>
      </c>
      <c r="I140" s="971"/>
      <c r="J140" s="3190"/>
      <c r="K140" s="3190"/>
      <c r="L140" s="3190"/>
      <c r="M140" s="3190"/>
      <c r="N140" s="3190"/>
      <c r="O140" s="3190"/>
      <c r="P140" s="3190"/>
      <c r="Q140" s="3190"/>
      <c r="R140" s="3190"/>
      <c r="S140" s="3190"/>
      <c r="T140" s="3190"/>
      <c r="U140" s="3190"/>
    </row>
    <row r="141" spans="1:21" s="960" customFormat="1" ht="14.25" customHeight="1">
      <c r="A141" s="3155" t="s">
        <v>1153</v>
      </c>
      <c r="B141" s="3155" t="s">
        <v>1082</v>
      </c>
      <c r="C141" s="3155">
        <v>11200</v>
      </c>
      <c r="D141" s="3155">
        <v>11150</v>
      </c>
      <c r="E141" s="3155">
        <v>14100</v>
      </c>
      <c r="F141" s="3161">
        <v>2470</v>
      </c>
      <c r="G141" s="3163">
        <v>7170</v>
      </c>
      <c r="I141" s="971"/>
      <c r="J141" s="3190"/>
      <c r="K141" s="3190"/>
      <c r="L141" s="3190"/>
      <c r="M141" s="3190"/>
      <c r="N141" s="3190"/>
      <c r="O141" s="3190"/>
      <c r="P141" s="3190"/>
      <c r="Q141" s="3190"/>
      <c r="R141" s="3190"/>
      <c r="S141" s="3190"/>
      <c r="T141" s="3190"/>
      <c r="U141" s="3190"/>
    </row>
    <row r="142" spans="1:21" s="960" customFormat="1" ht="14.25" customHeight="1">
      <c r="A142" s="3155" t="s">
        <v>1153</v>
      </c>
      <c r="B142" s="3155" t="s">
        <v>1087</v>
      </c>
      <c r="C142" s="3155">
        <v>10780</v>
      </c>
      <c r="D142" s="3155">
        <v>10730</v>
      </c>
      <c r="E142" s="3155">
        <v>13540</v>
      </c>
      <c r="F142" s="3161">
        <v>2280</v>
      </c>
      <c r="G142" s="3163">
        <v>6900</v>
      </c>
      <c r="I142" s="971"/>
      <c r="J142" s="3190"/>
      <c r="K142" s="3190"/>
      <c r="L142" s="3190"/>
      <c r="M142" s="3190"/>
      <c r="N142" s="3190"/>
      <c r="O142" s="3190"/>
      <c r="P142" s="3190"/>
      <c r="Q142" s="3190"/>
      <c r="R142" s="3190"/>
      <c r="S142" s="3190"/>
      <c r="T142" s="3190"/>
      <c r="U142" s="3190"/>
    </row>
    <row r="143" spans="1:21" s="960" customFormat="1" ht="14.25" customHeight="1">
      <c r="A143" s="3155" t="s">
        <v>1153</v>
      </c>
      <c r="B143" s="3155" t="s">
        <v>1096</v>
      </c>
      <c r="C143" s="3155">
        <v>11550</v>
      </c>
      <c r="D143" s="3155">
        <v>11490</v>
      </c>
      <c r="E143" s="3155">
        <v>14480</v>
      </c>
      <c r="F143" s="3161">
        <v>2070</v>
      </c>
      <c r="G143" s="3163">
        <v>7390</v>
      </c>
      <c r="I143" s="971"/>
      <c r="J143" s="3190"/>
      <c r="K143" s="3190"/>
      <c r="L143" s="3190"/>
      <c r="M143" s="3190"/>
      <c r="N143" s="3190"/>
      <c r="O143" s="3190"/>
      <c r="P143" s="3190"/>
      <c r="Q143" s="3190"/>
      <c r="R143" s="3190"/>
      <c r="S143" s="3190"/>
      <c r="T143" s="3190"/>
      <c r="U143" s="3190"/>
    </row>
    <row r="144" spans="1:21" s="960" customFormat="1" ht="14.25" customHeight="1">
      <c r="A144" s="3155" t="s">
        <v>1153</v>
      </c>
      <c r="B144" s="3155" t="s">
        <v>1103</v>
      </c>
      <c r="C144" s="3155">
        <v>10720</v>
      </c>
      <c r="D144" s="3155">
        <v>10680</v>
      </c>
      <c r="E144" s="3155">
        <v>13480</v>
      </c>
      <c r="F144" s="3161">
        <v>2440</v>
      </c>
      <c r="G144" s="3163">
        <v>6870</v>
      </c>
      <c r="I144" s="971"/>
      <c r="J144" s="3190"/>
      <c r="K144" s="3190"/>
      <c r="L144" s="3190"/>
      <c r="M144" s="3190"/>
      <c r="N144" s="3190"/>
      <c r="O144" s="3190"/>
      <c r="P144" s="3190"/>
      <c r="Q144" s="3190"/>
      <c r="R144" s="3190"/>
      <c r="S144" s="3190"/>
      <c r="T144" s="3190"/>
      <c r="U144" s="3190"/>
    </row>
    <row r="145" spans="1:21" s="960" customFormat="1" ht="14.25" customHeight="1">
      <c r="A145" s="3155" t="s">
        <v>1153</v>
      </c>
      <c r="B145" s="3155" t="s">
        <v>1111</v>
      </c>
      <c r="C145" s="3155">
        <v>10340</v>
      </c>
      <c r="D145" s="3155">
        <v>10290</v>
      </c>
      <c r="E145" s="3155">
        <v>12880</v>
      </c>
      <c r="F145" s="3161">
        <v>2650</v>
      </c>
      <c r="G145" s="3161">
        <v>6620</v>
      </c>
      <c r="I145" s="971"/>
      <c r="J145" s="3190"/>
      <c r="K145" s="3190"/>
      <c r="L145" s="3190"/>
      <c r="M145" s="3190"/>
      <c r="N145" s="3190"/>
      <c r="O145" s="3190"/>
      <c r="P145" s="3190"/>
      <c r="Q145" s="3190"/>
      <c r="R145" s="3190"/>
      <c r="S145" s="3190"/>
      <c r="T145" s="3190"/>
      <c r="U145" s="3190"/>
    </row>
    <row r="146" spans="1:21" s="960" customFormat="1" ht="14.25" customHeight="1">
      <c r="A146" s="3155" t="s">
        <v>1153</v>
      </c>
      <c r="B146" s="3155" t="s">
        <v>1118</v>
      </c>
      <c r="C146" s="3155">
        <v>11890</v>
      </c>
      <c r="D146" s="3155">
        <v>11830</v>
      </c>
      <c r="E146" s="3155">
        <v>14670</v>
      </c>
      <c r="F146" s="3161"/>
      <c r="G146" s="3161">
        <v>7610</v>
      </c>
      <c r="I146" s="971"/>
      <c r="J146" s="3190"/>
      <c r="K146" s="3190"/>
      <c r="L146" s="3190"/>
      <c r="M146" s="3190"/>
      <c r="N146" s="3190"/>
      <c r="O146" s="3190"/>
      <c r="P146" s="3190"/>
      <c r="Q146" s="3190"/>
      <c r="R146" s="3190"/>
      <c r="S146" s="3190"/>
      <c r="T146" s="3190"/>
      <c r="U146" s="3190"/>
    </row>
    <row r="147" spans="1:21" s="960" customFormat="1" ht="14.25" customHeight="1">
      <c r="A147" s="3155" t="s">
        <v>1153</v>
      </c>
      <c r="B147" s="3155" t="s">
        <v>1122</v>
      </c>
      <c r="C147" s="3155">
        <v>12650</v>
      </c>
      <c r="D147" s="3155">
        <v>12600</v>
      </c>
      <c r="E147" s="3155">
        <v>15440</v>
      </c>
      <c r="F147" s="3161"/>
      <c r="G147" s="3161">
        <v>8110</v>
      </c>
      <c r="I147" s="971"/>
      <c r="J147" s="3190"/>
      <c r="K147" s="3190"/>
      <c r="L147" s="3190"/>
      <c r="M147" s="3190"/>
      <c r="N147" s="3190"/>
      <c r="O147" s="3190"/>
      <c r="P147" s="3190"/>
      <c r="Q147" s="3190"/>
      <c r="R147" s="3190"/>
      <c r="S147" s="3190"/>
      <c r="T147" s="3190"/>
      <c r="U147" s="3190"/>
    </row>
    <row r="148" spans="1:21" s="960" customFormat="1" ht="14.25" customHeight="1">
      <c r="A148" s="3155" t="s">
        <v>1153</v>
      </c>
      <c r="B148" s="3155" t="s">
        <v>2849</v>
      </c>
      <c r="C148" s="3155">
        <v>10370</v>
      </c>
      <c r="D148" s="3155">
        <v>10310</v>
      </c>
      <c r="E148" s="3155">
        <v>12970</v>
      </c>
      <c r="F148" s="3161"/>
      <c r="G148" s="3161">
        <v>6630</v>
      </c>
      <c r="I148" s="971"/>
      <c r="J148" s="3190"/>
      <c r="K148" s="3190"/>
      <c r="L148" s="3190"/>
      <c r="M148" s="3190"/>
      <c r="N148" s="3190"/>
      <c r="O148" s="3190"/>
      <c r="P148" s="3190"/>
      <c r="Q148" s="3190"/>
      <c r="R148" s="3190"/>
      <c r="S148" s="3190"/>
      <c r="T148" s="3190"/>
      <c r="U148" s="3190"/>
    </row>
    <row r="149" spans="1:21" s="960" customFormat="1" ht="14.25" customHeight="1">
      <c r="A149" s="3155" t="s">
        <v>1153</v>
      </c>
      <c r="B149" s="3155" t="s">
        <v>2850</v>
      </c>
      <c r="C149" s="3155">
        <v>11600</v>
      </c>
      <c r="D149" s="3155">
        <v>11560</v>
      </c>
      <c r="E149" s="3155">
        <v>14540</v>
      </c>
      <c r="F149" s="3161">
        <v>2390</v>
      </c>
      <c r="G149" s="3161">
        <v>7430</v>
      </c>
      <c r="I149" s="971"/>
      <c r="J149" s="3190"/>
      <c r="K149" s="3190"/>
      <c r="L149" s="3190"/>
      <c r="M149" s="3190"/>
      <c r="N149" s="3190"/>
      <c r="O149" s="3190"/>
      <c r="P149" s="3190"/>
      <c r="Q149" s="3190"/>
      <c r="R149" s="3190"/>
      <c r="S149" s="3190"/>
      <c r="T149" s="3190"/>
      <c r="U149" s="3190"/>
    </row>
    <row r="150" spans="1:21" s="960" customFormat="1" ht="14.25" customHeight="1">
      <c r="A150" s="3155" t="s">
        <v>1153</v>
      </c>
      <c r="B150" s="3155" t="s">
        <v>1141</v>
      </c>
      <c r="C150" s="3155">
        <v>9950</v>
      </c>
      <c r="D150" s="3155">
        <v>9890</v>
      </c>
      <c r="E150" s="3155">
        <v>12590</v>
      </c>
      <c r="F150" s="3161">
        <v>1970</v>
      </c>
      <c r="G150" s="3161">
        <v>6360</v>
      </c>
      <c r="I150" s="971"/>
      <c r="J150" s="3190"/>
      <c r="K150" s="3190"/>
      <c r="L150" s="3190"/>
      <c r="M150" s="3190"/>
      <c r="N150" s="3190"/>
      <c r="O150" s="3190"/>
      <c r="P150" s="3190"/>
      <c r="Q150" s="3190"/>
      <c r="R150" s="3190"/>
      <c r="S150" s="3190"/>
      <c r="T150" s="3190"/>
      <c r="U150" s="3190"/>
    </row>
    <row r="151" spans="1:21" s="960" customFormat="1" ht="14.25" customHeight="1">
      <c r="A151" s="3155" t="s">
        <v>1153</v>
      </c>
      <c r="B151" s="3155" t="s">
        <v>1143</v>
      </c>
      <c r="C151" s="3155">
        <v>10700</v>
      </c>
      <c r="D151" s="3155">
        <v>10650</v>
      </c>
      <c r="E151" s="3155">
        <v>13420</v>
      </c>
      <c r="F151" s="3161">
        <v>2020</v>
      </c>
      <c r="G151" s="3161">
        <v>6850</v>
      </c>
      <c r="I151" s="971"/>
      <c r="J151" s="3190"/>
      <c r="K151" s="3190"/>
      <c r="L151" s="3190"/>
      <c r="M151" s="3190"/>
      <c r="N151" s="3190"/>
      <c r="O151" s="3190"/>
      <c r="P151" s="3190"/>
      <c r="Q151" s="3190"/>
      <c r="R151" s="3190"/>
      <c r="S151" s="3190"/>
      <c r="T151" s="3190"/>
      <c r="U151" s="3190"/>
    </row>
    <row r="152" spans="1:21" s="960" customFormat="1" ht="14.25" customHeight="1">
      <c r="A152" s="3155" t="s">
        <v>1153</v>
      </c>
      <c r="B152" s="3155" t="s">
        <v>1146</v>
      </c>
      <c r="C152" s="3155">
        <v>10310</v>
      </c>
      <c r="D152" s="3155">
        <v>10260</v>
      </c>
      <c r="E152" s="3155">
        <v>12820</v>
      </c>
      <c r="F152" s="3161">
        <v>1980</v>
      </c>
      <c r="G152" s="3161">
        <v>6600</v>
      </c>
      <c r="I152" s="971"/>
      <c r="J152" s="3190"/>
      <c r="K152" s="3190"/>
      <c r="L152" s="3190"/>
      <c r="M152" s="3190"/>
      <c r="N152" s="3190"/>
      <c r="O152" s="3190"/>
      <c r="P152" s="3190"/>
      <c r="Q152" s="3190"/>
      <c r="R152" s="3190"/>
      <c r="S152" s="3190"/>
      <c r="T152" s="3190"/>
      <c r="U152" s="3190"/>
    </row>
    <row r="153" spans="1:21" s="960" customFormat="1" ht="14.25" customHeight="1">
      <c r="A153" s="3155" t="s">
        <v>1153</v>
      </c>
      <c r="B153" s="3155" t="s">
        <v>2851</v>
      </c>
      <c r="C153" s="3155">
        <v>10880</v>
      </c>
      <c r="D153" s="3155">
        <v>10820</v>
      </c>
      <c r="E153" s="3155">
        <v>13660</v>
      </c>
      <c r="F153" s="3161">
        <v>2260</v>
      </c>
      <c r="G153" s="3161">
        <v>6970</v>
      </c>
      <c r="I153" s="971"/>
      <c r="J153" s="3190"/>
      <c r="K153" s="3190"/>
      <c r="L153" s="3190"/>
      <c r="M153" s="3190"/>
      <c r="N153" s="3190"/>
      <c r="O153" s="3190"/>
      <c r="P153" s="3190"/>
      <c r="Q153" s="3190"/>
      <c r="R153" s="3190"/>
      <c r="S153" s="3190"/>
      <c r="T153" s="3190"/>
      <c r="U153" s="3190"/>
    </row>
    <row r="154" spans="1:21" s="960" customFormat="1" ht="14.25" customHeight="1">
      <c r="A154" s="3155" t="s">
        <v>1153</v>
      </c>
      <c r="B154" s="3155" t="s">
        <v>2852</v>
      </c>
      <c r="C154" s="3155">
        <v>11220</v>
      </c>
      <c r="D154" s="3155">
        <v>11160</v>
      </c>
      <c r="E154" s="3155">
        <v>14130</v>
      </c>
      <c r="F154" s="3161">
        <v>2230</v>
      </c>
      <c r="G154" s="3161">
        <v>7180</v>
      </c>
      <c r="I154" s="971"/>
      <c r="J154" s="3190"/>
      <c r="K154" s="3190"/>
      <c r="L154" s="3190"/>
      <c r="M154" s="3190"/>
      <c r="N154" s="3190"/>
      <c r="O154" s="3190"/>
      <c r="P154" s="3190"/>
      <c r="Q154" s="3190"/>
      <c r="R154" s="3190"/>
      <c r="S154" s="3190"/>
      <c r="T154" s="3190"/>
      <c r="U154" s="3190"/>
    </row>
    <row r="155" spans="1:21" s="960" customFormat="1" ht="14.25" customHeight="1">
      <c r="A155" s="3155" t="s">
        <v>1153</v>
      </c>
      <c r="B155" s="3155" t="s">
        <v>2853</v>
      </c>
      <c r="C155" s="3155">
        <v>10430</v>
      </c>
      <c r="D155" s="3155">
        <v>10380</v>
      </c>
      <c r="E155" s="3155">
        <v>13140</v>
      </c>
      <c r="F155" s="3161">
        <v>2080</v>
      </c>
      <c r="G155" s="3161">
        <v>6650</v>
      </c>
      <c r="I155" s="971"/>
      <c r="J155" s="3190"/>
      <c r="K155" s="3190"/>
      <c r="L155" s="3190"/>
      <c r="M155" s="3190"/>
      <c r="N155" s="3190"/>
      <c r="O155" s="3190"/>
      <c r="P155" s="3190"/>
      <c r="Q155" s="3190"/>
      <c r="R155" s="3190"/>
      <c r="S155" s="3190"/>
      <c r="T155" s="3190"/>
      <c r="U155" s="3190"/>
    </row>
    <row r="156" spans="1:21" s="960" customFormat="1" ht="14.25" customHeight="1">
      <c r="A156" s="3155" t="s">
        <v>1153</v>
      </c>
      <c r="B156" s="3155" t="s">
        <v>2854</v>
      </c>
      <c r="C156" s="3155">
        <v>10440</v>
      </c>
      <c r="D156" s="3155">
        <v>10400</v>
      </c>
      <c r="E156" s="3155">
        <v>13150</v>
      </c>
      <c r="F156" s="3161">
        <v>2490</v>
      </c>
      <c r="G156" s="3161">
        <v>6690</v>
      </c>
      <c r="I156" s="971"/>
      <c r="J156" s="3190"/>
      <c r="K156" s="3190"/>
      <c r="L156" s="3190"/>
      <c r="M156" s="3190"/>
      <c r="N156" s="3190"/>
      <c r="O156" s="3190"/>
      <c r="P156" s="3190"/>
      <c r="Q156" s="3190"/>
      <c r="R156" s="3190"/>
      <c r="S156" s="3190"/>
      <c r="T156" s="3190"/>
      <c r="U156" s="3190"/>
    </row>
    <row r="157" spans="1:21" s="960" customFormat="1" ht="14.25" customHeight="1">
      <c r="A157" s="3155" t="s">
        <v>1153</v>
      </c>
      <c r="B157" s="3155" t="s">
        <v>1149</v>
      </c>
      <c r="C157" s="3155">
        <v>10970</v>
      </c>
      <c r="D157" s="3155">
        <v>10920</v>
      </c>
      <c r="E157" s="3155">
        <v>13840</v>
      </c>
      <c r="F157" s="3161">
        <v>2420</v>
      </c>
      <c r="G157" s="3168">
        <v>7020</v>
      </c>
      <c r="I157" s="971"/>
      <c r="J157" s="3190"/>
      <c r="K157" s="3190"/>
      <c r="L157" s="3190"/>
      <c r="M157" s="3190"/>
      <c r="N157" s="3190"/>
      <c r="O157" s="3190"/>
      <c r="P157" s="3190"/>
      <c r="Q157" s="3190"/>
      <c r="R157" s="3190"/>
      <c r="S157" s="3190"/>
      <c r="T157" s="3190"/>
      <c r="U157" s="3190"/>
    </row>
    <row r="158" spans="1:21" s="960" customFormat="1" ht="14.25" customHeight="1">
      <c r="A158" s="1216" t="s">
        <v>1153</v>
      </c>
      <c r="B158" s="1216" t="s">
        <v>1150</v>
      </c>
      <c r="C158" s="1216">
        <v>9590</v>
      </c>
      <c r="D158" s="1216">
        <v>9540</v>
      </c>
      <c r="E158" s="1216">
        <v>12210</v>
      </c>
      <c r="F158" s="3156">
        <v>2100</v>
      </c>
      <c r="G158" s="3156">
        <v>6130</v>
      </c>
      <c r="I158" s="971"/>
      <c r="J158" s="3190"/>
      <c r="K158" s="3190"/>
      <c r="L158" s="3190"/>
      <c r="M158" s="3190"/>
      <c r="N158" s="3190"/>
      <c r="O158" s="3190"/>
      <c r="P158" s="3190"/>
      <c r="Q158" s="3190"/>
      <c r="R158" s="3190"/>
      <c r="S158" s="3190"/>
      <c r="T158" s="3190"/>
      <c r="U158" s="3190"/>
    </row>
    <row r="159" spans="1:21" s="960" customFormat="1" ht="14.25" customHeight="1">
      <c r="A159" s="3155" t="s">
        <v>1153</v>
      </c>
      <c r="B159" s="3155" t="s">
        <v>1151</v>
      </c>
      <c r="C159" s="3155">
        <v>11190</v>
      </c>
      <c r="D159" s="3155">
        <v>11140</v>
      </c>
      <c r="E159" s="3155">
        <v>14090</v>
      </c>
      <c r="F159" s="3161">
        <v>2470</v>
      </c>
      <c r="G159" s="3161">
        <v>7170</v>
      </c>
      <c r="I159" s="971"/>
      <c r="J159" s="3190"/>
      <c r="K159" s="3190"/>
      <c r="L159" s="3190"/>
      <c r="M159" s="3190"/>
      <c r="N159" s="3190"/>
      <c r="O159" s="3190"/>
      <c r="P159" s="3190"/>
      <c r="Q159" s="3190"/>
      <c r="R159" s="3190"/>
      <c r="S159" s="3190"/>
      <c r="T159" s="3190"/>
      <c r="U159" s="3190"/>
    </row>
    <row r="160" spans="1:21" s="960" customFormat="1" ht="14.25" customHeight="1">
      <c r="A160" s="3155" t="s">
        <v>1153</v>
      </c>
      <c r="B160" s="3155" t="s">
        <v>2855</v>
      </c>
      <c r="C160" s="3155">
        <v>11180</v>
      </c>
      <c r="D160" s="3155">
        <v>11140</v>
      </c>
      <c r="E160" s="3155">
        <v>14050</v>
      </c>
      <c r="F160" s="3161">
        <v>2270</v>
      </c>
      <c r="G160" s="3161">
        <v>7170</v>
      </c>
      <c r="I160" s="971"/>
      <c r="J160" s="3190"/>
      <c r="K160" s="3190"/>
      <c r="L160" s="3190"/>
      <c r="M160" s="3190"/>
      <c r="N160" s="3190"/>
      <c r="O160" s="3190"/>
      <c r="P160" s="3190"/>
      <c r="Q160" s="3190"/>
      <c r="R160" s="3190"/>
      <c r="S160" s="3190"/>
      <c r="T160" s="3190"/>
      <c r="U160" s="3190"/>
    </row>
    <row r="161" spans="1:21" s="960" customFormat="1" ht="14.25" customHeight="1">
      <c r="A161" s="3155" t="s">
        <v>1153</v>
      </c>
      <c r="B161" s="3155" t="s">
        <v>2856</v>
      </c>
      <c r="C161" s="3155">
        <v>11160</v>
      </c>
      <c r="D161" s="3155">
        <v>11120</v>
      </c>
      <c r="E161" s="3155">
        <v>14020</v>
      </c>
      <c r="F161" s="3161">
        <v>2150</v>
      </c>
      <c r="G161" s="3161">
        <v>7160</v>
      </c>
      <c r="I161" s="971"/>
      <c r="J161" s="3190"/>
      <c r="K161" s="3190"/>
      <c r="L161" s="3190"/>
      <c r="M161" s="3190"/>
      <c r="N161" s="3190"/>
      <c r="O161" s="3190"/>
      <c r="P161" s="3190"/>
      <c r="Q161" s="3190"/>
      <c r="R161" s="3190"/>
      <c r="S161" s="3190"/>
      <c r="T161" s="3190"/>
      <c r="U161" s="3190"/>
    </row>
    <row r="162" spans="1:21" s="960" customFormat="1" ht="14.25" customHeight="1">
      <c r="A162" s="3155" t="s">
        <v>1153</v>
      </c>
      <c r="B162" s="3155" t="s">
        <v>2857</v>
      </c>
      <c r="C162" s="3155">
        <v>9620</v>
      </c>
      <c r="D162" s="3155">
        <v>9570</v>
      </c>
      <c r="E162" s="3155">
        <v>12320</v>
      </c>
      <c r="F162" s="3161">
        <v>2010</v>
      </c>
      <c r="G162" s="3161">
        <v>6160</v>
      </c>
      <c r="I162" s="971"/>
      <c r="J162" s="3190"/>
      <c r="K162" s="3190"/>
      <c r="L162" s="3190"/>
      <c r="M162" s="3190"/>
      <c r="N162" s="3190"/>
      <c r="O162" s="3190"/>
      <c r="P162" s="3190"/>
      <c r="Q162" s="3190"/>
      <c r="R162" s="3190"/>
      <c r="S162" s="3190"/>
      <c r="T162" s="3190"/>
      <c r="U162" s="3190"/>
    </row>
    <row r="163" spans="1:21" s="960" customFormat="1" ht="14.25" customHeight="1">
      <c r="A163" s="3155" t="s">
        <v>1153</v>
      </c>
      <c r="B163" s="3155" t="s">
        <v>2858</v>
      </c>
      <c r="C163" s="3155">
        <v>9320</v>
      </c>
      <c r="D163" s="3155">
        <v>9270</v>
      </c>
      <c r="E163" s="3155">
        <v>11790</v>
      </c>
      <c r="F163" s="3161">
        <v>1920</v>
      </c>
      <c r="G163" s="3161">
        <v>5960</v>
      </c>
      <c r="I163" s="971"/>
      <c r="J163" s="3190"/>
      <c r="K163" s="3190"/>
      <c r="L163" s="3190"/>
      <c r="M163" s="3190"/>
      <c r="N163" s="3190"/>
      <c r="O163" s="3190"/>
      <c r="P163" s="3190"/>
      <c r="Q163" s="3190"/>
      <c r="R163" s="3190"/>
      <c r="S163" s="3190"/>
      <c r="T163" s="3190"/>
      <c r="U163" s="3190"/>
    </row>
    <row r="164" spans="1:21" s="960" customFormat="1" ht="14.25" customHeight="1">
      <c r="A164" s="3155" t="s">
        <v>1153</v>
      </c>
      <c r="B164" s="3155" t="s">
        <v>2859</v>
      </c>
      <c r="C164" s="3155"/>
      <c r="D164" s="3155"/>
      <c r="E164" s="3155"/>
      <c r="F164" s="3161">
        <v>1980</v>
      </c>
      <c r="G164" s="3161"/>
      <c r="I164" s="971"/>
      <c r="J164" s="3190"/>
      <c r="K164" s="3190"/>
      <c r="L164" s="3190"/>
      <c r="M164" s="3190"/>
      <c r="N164" s="3190"/>
      <c r="O164" s="3190"/>
      <c r="P164" s="3190"/>
      <c r="Q164" s="3190"/>
      <c r="R164" s="3190"/>
      <c r="S164" s="3190"/>
      <c r="T164" s="3190"/>
      <c r="U164" s="3190"/>
    </row>
    <row r="165" spans="1:21" s="960" customFormat="1" ht="14.25" customHeight="1">
      <c r="A165" s="3155" t="s">
        <v>1153</v>
      </c>
      <c r="B165" s="3155" t="s">
        <v>2860</v>
      </c>
      <c r="C165" s="3155">
        <v>11060</v>
      </c>
      <c r="D165" s="3155">
        <v>11030</v>
      </c>
      <c r="E165" s="3155">
        <v>13850</v>
      </c>
      <c r="F165" s="3161">
        <v>2170</v>
      </c>
      <c r="G165" s="3161">
        <v>7090</v>
      </c>
      <c r="I165" s="971"/>
      <c r="J165" s="3190"/>
      <c r="K165" s="3190"/>
      <c r="L165" s="3190"/>
      <c r="M165" s="3190"/>
      <c r="N165" s="3190"/>
      <c r="O165" s="3190"/>
      <c r="P165" s="3190"/>
      <c r="Q165" s="3190"/>
      <c r="R165" s="3190"/>
      <c r="S165" s="3190"/>
      <c r="T165" s="3190"/>
      <c r="U165" s="3190"/>
    </row>
    <row r="166" spans="1:21" s="960" customFormat="1" ht="14.25" customHeight="1">
      <c r="A166" s="3155" t="s">
        <v>1153</v>
      </c>
      <c r="B166" s="3155" t="s">
        <v>2861</v>
      </c>
      <c r="C166" s="3155">
        <v>11050</v>
      </c>
      <c r="D166" s="3155">
        <v>11010</v>
      </c>
      <c r="E166" s="3155">
        <v>13920</v>
      </c>
      <c r="F166" s="3161">
        <v>2140</v>
      </c>
      <c r="G166" s="3161">
        <v>7080</v>
      </c>
      <c r="I166" s="971"/>
      <c r="J166" s="3190"/>
      <c r="K166" s="3190"/>
      <c r="L166" s="3190"/>
      <c r="M166" s="3190"/>
      <c r="N166" s="3190"/>
      <c r="O166" s="3190"/>
      <c r="P166" s="3190"/>
      <c r="Q166" s="3190"/>
      <c r="R166" s="3190"/>
      <c r="S166" s="3190"/>
      <c r="T166" s="3190"/>
      <c r="U166" s="3190"/>
    </row>
    <row r="167" spans="1:21" s="960" customFormat="1" ht="14.25" customHeight="1">
      <c r="A167" s="3155" t="s">
        <v>1153</v>
      </c>
      <c r="B167" s="3155" t="s">
        <v>2862</v>
      </c>
      <c r="C167" s="3155">
        <v>10930</v>
      </c>
      <c r="D167" s="3155">
        <v>10890</v>
      </c>
      <c r="E167" s="3155">
        <v>13790</v>
      </c>
      <c r="F167" s="3161">
        <v>2010</v>
      </c>
      <c r="G167" s="3163">
        <v>7000</v>
      </c>
      <c r="I167" s="971"/>
      <c r="J167" s="3190"/>
      <c r="K167" s="3190"/>
      <c r="L167" s="3190"/>
      <c r="M167" s="3190"/>
      <c r="N167" s="3190"/>
      <c r="O167" s="3190"/>
      <c r="P167" s="3190"/>
      <c r="Q167" s="3190"/>
      <c r="R167" s="3190"/>
      <c r="S167" s="3190"/>
      <c r="T167" s="3190"/>
      <c r="U167" s="3190"/>
    </row>
    <row r="168" spans="1:21" s="960" customFormat="1" ht="14.25" customHeight="1">
      <c r="A168" s="3155" t="s">
        <v>1153</v>
      </c>
      <c r="B168" s="3155" t="s">
        <v>2863</v>
      </c>
      <c r="C168" s="3155">
        <v>9420</v>
      </c>
      <c r="D168" s="3155">
        <v>9380</v>
      </c>
      <c r="E168" s="3155">
        <v>11970</v>
      </c>
      <c r="F168" s="3161"/>
      <c r="G168" s="3163">
        <v>6040</v>
      </c>
      <c r="I168" s="971"/>
      <c r="J168" s="3190"/>
      <c r="K168" s="3190"/>
      <c r="L168" s="3190"/>
      <c r="M168" s="3190"/>
      <c r="N168" s="3190"/>
      <c r="O168" s="3190"/>
      <c r="P168" s="3190"/>
      <c r="Q168" s="3190"/>
      <c r="R168" s="3190"/>
      <c r="S168" s="3190"/>
      <c r="T168" s="3190"/>
      <c r="U168" s="3190"/>
    </row>
    <row r="169" spans="1:21" s="960" customFormat="1" ht="14.25" customHeight="1">
      <c r="A169" s="3155" t="s">
        <v>1153</v>
      </c>
      <c r="B169" s="3155" t="s">
        <v>2864</v>
      </c>
      <c r="C169" s="3155"/>
      <c r="D169" s="3155"/>
      <c r="E169" s="3155"/>
      <c r="F169" s="3161">
        <v>2880</v>
      </c>
      <c r="G169" s="3163"/>
      <c r="I169" s="971"/>
      <c r="J169" s="3190"/>
      <c r="K169" s="3190"/>
      <c r="L169" s="3190"/>
      <c r="M169" s="3190"/>
      <c r="N169" s="3190"/>
      <c r="O169" s="3190"/>
      <c r="P169" s="3190"/>
      <c r="Q169" s="3190"/>
      <c r="R169" s="3190"/>
      <c r="S169" s="3190"/>
      <c r="T169" s="3190"/>
      <c r="U169" s="3190"/>
    </row>
    <row r="170" spans="1:21" s="960" customFormat="1" ht="14.25" customHeight="1">
      <c r="A170" s="3155" t="s">
        <v>1153</v>
      </c>
      <c r="B170" s="3155" t="s">
        <v>2865</v>
      </c>
      <c r="C170" s="3155"/>
      <c r="D170" s="3155"/>
      <c r="E170" s="3155"/>
      <c r="F170" s="3161">
        <v>2880</v>
      </c>
      <c r="G170" s="3163"/>
      <c r="I170" s="971"/>
      <c r="J170" s="3190"/>
      <c r="K170" s="3190"/>
      <c r="L170" s="3190"/>
      <c r="M170" s="3190"/>
      <c r="N170" s="3190"/>
      <c r="O170" s="3190"/>
      <c r="P170" s="3190"/>
      <c r="Q170" s="3190"/>
      <c r="R170" s="3190"/>
      <c r="S170" s="3190"/>
      <c r="T170" s="3190"/>
      <c r="U170" s="3190"/>
    </row>
    <row r="171" spans="1:21" s="960" customFormat="1" ht="14.25" customHeight="1">
      <c r="A171" s="3155" t="s">
        <v>1153</v>
      </c>
      <c r="B171" s="3155" t="s">
        <v>2866</v>
      </c>
      <c r="C171" s="3155"/>
      <c r="D171" s="3155"/>
      <c r="E171" s="3155"/>
      <c r="F171" s="3161">
        <v>2880</v>
      </c>
      <c r="G171" s="3161"/>
      <c r="I171" s="971"/>
      <c r="J171" s="3190"/>
      <c r="K171" s="3190"/>
      <c r="L171" s="3190"/>
      <c r="M171" s="3190"/>
      <c r="N171" s="3190"/>
      <c r="O171" s="3190"/>
      <c r="P171" s="3190"/>
      <c r="Q171" s="3190"/>
      <c r="R171" s="3190"/>
      <c r="S171" s="3190"/>
      <c r="T171" s="3190"/>
      <c r="U171" s="3190"/>
    </row>
    <row r="172" spans="1:21" s="960" customFormat="1" ht="14.25" customHeight="1">
      <c r="A172" s="3155" t="s">
        <v>1153</v>
      </c>
      <c r="B172" s="3155" t="s">
        <v>2867</v>
      </c>
      <c r="C172" s="3155"/>
      <c r="D172" s="3155"/>
      <c r="E172" s="3155"/>
      <c r="F172" s="3161">
        <v>2880</v>
      </c>
      <c r="G172" s="3163"/>
      <c r="I172" s="971"/>
      <c r="J172" s="3190"/>
      <c r="K172" s="3190"/>
      <c r="L172" s="3190"/>
      <c r="M172" s="3190"/>
      <c r="N172" s="3190"/>
      <c r="O172" s="3190"/>
      <c r="P172" s="3190"/>
      <c r="Q172" s="3190"/>
      <c r="R172" s="3190"/>
      <c r="S172" s="3190"/>
      <c r="T172" s="3190"/>
      <c r="U172" s="3190"/>
    </row>
    <row r="173" spans="1:21" s="960" customFormat="1" ht="14.25" customHeight="1">
      <c r="A173" s="3155" t="s">
        <v>1153</v>
      </c>
      <c r="B173" s="3155" t="s">
        <v>2868</v>
      </c>
      <c r="C173" s="3155"/>
      <c r="D173" s="3155"/>
      <c r="E173" s="3155"/>
      <c r="F173" s="3161">
        <v>2150</v>
      </c>
      <c r="G173" s="3163"/>
      <c r="I173" s="971"/>
      <c r="J173" s="3190"/>
      <c r="K173" s="3190"/>
      <c r="L173" s="3190"/>
      <c r="M173" s="3190"/>
      <c r="N173" s="3190"/>
      <c r="O173" s="3190"/>
      <c r="P173" s="3190"/>
      <c r="Q173" s="3190"/>
      <c r="R173" s="3190"/>
      <c r="S173" s="3190"/>
      <c r="T173" s="3190"/>
      <c r="U173" s="3190"/>
    </row>
    <row r="174" spans="1:21" s="960" customFormat="1" ht="14.25" customHeight="1">
      <c r="A174" s="3155" t="s">
        <v>1153</v>
      </c>
      <c r="B174" s="3155" t="s">
        <v>2869</v>
      </c>
      <c r="C174" s="3155"/>
      <c r="D174" s="3155"/>
      <c r="E174" s="3155"/>
      <c r="F174" s="3161">
        <v>2030</v>
      </c>
      <c r="G174" s="3161"/>
      <c r="I174" s="971"/>
      <c r="J174" s="3190"/>
      <c r="K174" s="3190"/>
      <c r="L174" s="3190"/>
      <c r="M174" s="3190"/>
      <c r="N174" s="3190"/>
      <c r="O174" s="3190"/>
      <c r="P174" s="3190"/>
      <c r="Q174" s="3190"/>
      <c r="R174" s="3190"/>
      <c r="S174" s="3190"/>
      <c r="T174" s="3190"/>
      <c r="U174" s="3190"/>
    </row>
    <row r="175" spans="1:21" s="960" customFormat="1" ht="14.25" customHeight="1">
      <c r="A175" s="3155" t="s">
        <v>1153</v>
      </c>
      <c r="B175" s="3155" t="s">
        <v>2870</v>
      </c>
      <c r="C175" s="3155"/>
      <c r="D175" s="3155"/>
      <c r="E175" s="3155"/>
      <c r="F175" s="3161">
        <v>2780</v>
      </c>
      <c r="G175" s="3161"/>
      <c r="I175" s="971"/>
      <c r="J175" s="3190"/>
      <c r="K175" s="3190"/>
      <c r="L175" s="3190"/>
      <c r="M175" s="3190"/>
      <c r="N175" s="3190"/>
      <c r="O175" s="3190"/>
      <c r="P175" s="3190"/>
      <c r="Q175" s="3190"/>
      <c r="R175" s="3190"/>
      <c r="S175" s="3190"/>
      <c r="T175" s="3190"/>
      <c r="U175" s="3190"/>
    </row>
    <row r="176" spans="1:21" s="960" customFormat="1" ht="14.25" customHeight="1">
      <c r="A176" s="3155" t="s">
        <v>1153</v>
      </c>
      <c r="B176" s="3155" t="s">
        <v>2871</v>
      </c>
      <c r="C176" s="3155"/>
      <c r="D176" s="3155"/>
      <c r="E176" s="3155"/>
      <c r="F176" s="3161">
        <v>2780</v>
      </c>
      <c r="G176" s="3161"/>
      <c r="I176" s="971"/>
      <c r="J176" s="3190"/>
      <c r="K176" s="3190"/>
      <c r="L176" s="3190"/>
      <c r="M176" s="3190"/>
      <c r="N176" s="3190"/>
      <c r="O176" s="3190"/>
      <c r="P176" s="3190"/>
      <c r="Q176" s="3190"/>
      <c r="R176" s="3190"/>
      <c r="S176" s="3190"/>
      <c r="T176" s="3190"/>
      <c r="U176" s="3190"/>
    </row>
    <row r="177" spans="1:21" s="960" customFormat="1" ht="14.25" customHeight="1">
      <c r="A177" s="3155" t="s">
        <v>1153</v>
      </c>
      <c r="B177" s="3155" t="s">
        <v>2872</v>
      </c>
      <c r="C177" s="3155"/>
      <c r="D177" s="3155"/>
      <c r="E177" s="3155"/>
      <c r="F177" s="3161">
        <v>2780</v>
      </c>
      <c r="G177" s="3161"/>
      <c r="I177" s="971"/>
      <c r="J177" s="3190"/>
      <c r="K177" s="3190"/>
      <c r="L177" s="3190"/>
      <c r="M177" s="3190"/>
      <c r="N177" s="3190"/>
      <c r="O177" s="3190"/>
      <c r="P177" s="3190"/>
      <c r="Q177" s="3190"/>
      <c r="R177" s="3190"/>
      <c r="S177" s="3190"/>
      <c r="T177" s="3190"/>
      <c r="U177" s="3190"/>
    </row>
    <row r="178" spans="1:21" s="960" customFormat="1" ht="14.25" customHeight="1">
      <c r="A178" s="3155" t="s">
        <v>1153</v>
      </c>
      <c r="B178" s="3155" t="s">
        <v>2873</v>
      </c>
      <c r="C178" s="3155"/>
      <c r="D178" s="3155"/>
      <c r="E178" s="3155"/>
      <c r="F178" s="3161">
        <v>2060</v>
      </c>
      <c r="G178" s="3161"/>
      <c r="I178" s="971"/>
      <c r="J178" s="3190"/>
      <c r="K178" s="3190"/>
      <c r="L178" s="3190"/>
      <c r="M178" s="3190"/>
      <c r="N178" s="3190"/>
      <c r="O178" s="3190"/>
      <c r="P178" s="3190"/>
      <c r="Q178" s="3190"/>
      <c r="R178" s="3190"/>
      <c r="S178" s="3190"/>
      <c r="T178" s="3190"/>
      <c r="U178" s="3190"/>
    </row>
    <row r="179" spans="1:21" s="960" customFormat="1" ht="14.25" customHeight="1">
      <c r="A179" s="3155" t="s">
        <v>1153</v>
      </c>
      <c r="B179" s="3155" t="s">
        <v>2874</v>
      </c>
      <c r="C179" s="3155"/>
      <c r="D179" s="3155"/>
      <c r="E179" s="3155"/>
      <c r="F179" s="3161">
        <v>2120</v>
      </c>
      <c r="G179" s="3163"/>
      <c r="I179" s="971"/>
      <c r="J179" s="3190"/>
      <c r="K179" s="3190"/>
      <c r="L179" s="3190"/>
      <c r="M179" s="3190"/>
      <c r="N179" s="3190"/>
      <c r="O179" s="3190"/>
      <c r="P179" s="3190"/>
      <c r="Q179" s="3190"/>
      <c r="R179" s="3190"/>
      <c r="S179" s="3190"/>
      <c r="T179" s="3190"/>
      <c r="U179" s="3190"/>
    </row>
    <row r="180" spans="1:21" s="960" customFormat="1" ht="14.25" customHeight="1">
      <c r="A180" s="3155" t="s">
        <v>1153</v>
      </c>
      <c r="B180" s="3155" t="s">
        <v>2875</v>
      </c>
      <c r="C180" s="3155"/>
      <c r="D180" s="3155"/>
      <c r="E180" s="3155"/>
      <c r="F180" s="3161">
        <v>2340</v>
      </c>
      <c r="G180" s="3161"/>
      <c r="I180" s="971"/>
      <c r="J180" s="3190"/>
      <c r="K180" s="3190"/>
      <c r="L180" s="3190"/>
      <c r="M180" s="3190"/>
      <c r="N180" s="3190"/>
      <c r="O180" s="3190"/>
      <c r="P180" s="3190"/>
      <c r="Q180" s="3190"/>
      <c r="R180" s="3190"/>
      <c r="S180" s="3190"/>
      <c r="T180" s="3190"/>
      <c r="U180" s="3190"/>
    </row>
    <row r="181" spans="1:21" s="960" customFormat="1" ht="14.25" customHeight="1">
      <c r="A181" s="3155" t="s">
        <v>1153</v>
      </c>
      <c r="B181" s="3155" t="s">
        <v>2876</v>
      </c>
      <c r="C181" s="3155"/>
      <c r="D181" s="3155"/>
      <c r="E181" s="3155"/>
      <c r="F181" s="3161">
        <v>2340</v>
      </c>
      <c r="G181" s="3161"/>
      <c r="I181" s="971"/>
      <c r="J181" s="3190"/>
      <c r="K181" s="3190"/>
      <c r="L181" s="3190"/>
      <c r="M181" s="3190"/>
      <c r="N181" s="3190"/>
      <c r="O181" s="3190"/>
      <c r="P181" s="3190"/>
      <c r="Q181" s="3190"/>
      <c r="R181" s="3190"/>
      <c r="S181" s="3190"/>
      <c r="T181" s="3190"/>
      <c r="U181" s="3190"/>
    </row>
    <row r="182" spans="1:21" s="960" customFormat="1" ht="14.25" customHeight="1">
      <c r="A182" s="3155" t="s">
        <v>1153</v>
      </c>
      <c r="B182" s="3155" t="s">
        <v>2877</v>
      </c>
      <c r="C182" s="3155"/>
      <c r="D182" s="3155"/>
      <c r="E182" s="3155"/>
      <c r="F182" s="3161">
        <v>2340</v>
      </c>
      <c r="G182" s="3161"/>
      <c r="I182" s="971"/>
      <c r="J182" s="3190"/>
      <c r="K182" s="3190"/>
      <c r="L182" s="3190"/>
      <c r="M182" s="3190"/>
      <c r="N182" s="3190"/>
      <c r="O182" s="3190"/>
      <c r="P182" s="3190"/>
      <c r="Q182" s="3190"/>
      <c r="R182" s="3190"/>
      <c r="S182" s="3190"/>
      <c r="T182" s="3190"/>
      <c r="U182" s="3190"/>
    </row>
    <row r="183" spans="1:21" s="960" customFormat="1" ht="14.25" customHeight="1">
      <c r="A183" s="3155" t="s">
        <v>1153</v>
      </c>
      <c r="B183" s="3155" t="s">
        <v>2878</v>
      </c>
      <c r="C183" s="3155"/>
      <c r="D183" s="3155"/>
      <c r="E183" s="3155"/>
      <c r="F183" s="3161">
        <v>2340</v>
      </c>
      <c r="G183" s="3163"/>
      <c r="I183" s="971"/>
      <c r="J183" s="3190"/>
      <c r="K183" s="3190"/>
      <c r="L183" s="3190"/>
      <c r="M183" s="3190"/>
      <c r="N183" s="3190"/>
      <c r="O183" s="3190"/>
      <c r="P183" s="3190"/>
      <c r="Q183" s="3190"/>
      <c r="R183" s="3190"/>
      <c r="S183" s="3190"/>
      <c r="T183" s="3190"/>
      <c r="U183" s="3190"/>
    </row>
    <row r="184" spans="1:21" s="960" customFormat="1" ht="14.25" customHeight="1">
      <c r="A184" s="3155" t="s">
        <v>1153</v>
      </c>
      <c r="B184" s="3155" t="s">
        <v>2879</v>
      </c>
      <c r="C184" s="3155"/>
      <c r="D184" s="3155"/>
      <c r="E184" s="3155"/>
      <c r="F184" s="3161">
        <v>2340</v>
      </c>
      <c r="G184" s="3163"/>
      <c r="I184" s="971"/>
      <c r="J184" s="3190"/>
      <c r="K184" s="3190"/>
      <c r="L184" s="3190"/>
      <c r="M184" s="3190"/>
      <c r="N184" s="3190"/>
      <c r="O184" s="3190"/>
      <c r="P184" s="3190"/>
      <c r="Q184" s="3190"/>
      <c r="R184" s="3190"/>
      <c r="S184" s="3190"/>
      <c r="T184" s="3190"/>
      <c r="U184" s="3190"/>
    </row>
    <row r="185" spans="1:21" s="960" customFormat="1" ht="14.25" customHeight="1">
      <c r="A185" s="3155" t="s">
        <v>1153</v>
      </c>
      <c r="B185" s="3155" t="s">
        <v>2880</v>
      </c>
      <c r="C185" s="3155"/>
      <c r="D185" s="3155"/>
      <c r="E185" s="3155"/>
      <c r="F185" s="3161">
        <v>2530</v>
      </c>
      <c r="G185" s="3161"/>
      <c r="I185" s="971"/>
      <c r="J185" s="3190"/>
      <c r="K185" s="3190"/>
      <c r="L185" s="3190"/>
      <c r="M185" s="3190"/>
      <c r="N185" s="3190"/>
      <c r="O185" s="3190"/>
      <c r="P185" s="3190"/>
      <c r="Q185" s="3190"/>
      <c r="R185" s="3190"/>
      <c r="S185" s="3190"/>
      <c r="T185" s="3190"/>
      <c r="U185" s="3190"/>
    </row>
    <row r="186" spans="1:21" s="960" customFormat="1" ht="14.25" customHeight="1">
      <c r="A186" s="3155" t="s">
        <v>1153</v>
      </c>
      <c r="B186" s="3155" t="s">
        <v>2881</v>
      </c>
      <c r="C186" s="3155"/>
      <c r="D186" s="3155"/>
      <c r="E186" s="3155"/>
      <c r="F186" s="3161">
        <v>2550</v>
      </c>
      <c r="G186" s="3161"/>
      <c r="I186" s="971"/>
      <c r="J186" s="3190"/>
      <c r="K186" s="3190"/>
      <c r="L186" s="3190"/>
      <c r="M186" s="3190"/>
      <c r="N186" s="3190"/>
      <c r="O186" s="3190"/>
      <c r="P186" s="3190"/>
      <c r="Q186" s="3190"/>
      <c r="R186" s="3190"/>
      <c r="S186" s="3190"/>
      <c r="T186" s="3190"/>
      <c r="U186" s="3190"/>
    </row>
    <row r="187" spans="1:21" s="960" customFormat="1" ht="14.25" customHeight="1">
      <c r="A187" s="3155" t="s">
        <v>1153</v>
      </c>
      <c r="B187" s="3155" t="s">
        <v>2882</v>
      </c>
      <c r="C187" s="3155"/>
      <c r="D187" s="3155"/>
      <c r="E187" s="3155"/>
      <c r="F187" s="3161">
        <v>2070</v>
      </c>
      <c r="G187" s="3161"/>
      <c r="I187" s="971"/>
      <c r="J187" s="3190"/>
      <c r="K187" s="3190"/>
      <c r="L187" s="3190"/>
      <c r="M187" s="3190"/>
      <c r="N187" s="3190"/>
      <c r="O187" s="3190"/>
      <c r="P187" s="3190"/>
      <c r="Q187" s="3190"/>
      <c r="R187" s="3190"/>
      <c r="S187" s="3190"/>
      <c r="T187" s="3190"/>
      <c r="U187" s="3190"/>
    </row>
    <row r="188" spans="1:21" s="960" customFormat="1" ht="14.25" customHeight="1">
      <c r="A188" s="3155" t="s">
        <v>1153</v>
      </c>
      <c r="B188" s="3155" t="s">
        <v>2883</v>
      </c>
      <c r="C188" s="3155"/>
      <c r="D188" s="3155"/>
      <c r="E188" s="3155"/>
      <c r="F188" s="3161">
        <v>2340</v>
      </c>
      <c r="G188" s="3161"/>
      <c r="I188" s="971"/>
      <c r="J188" s="3190"/>
      <c r="K188" s="3190"/>
      <c r="L188" s="3190"/>
      <c r="M188" s="3190"/>
      <c r="N188" s="3190"/>
      <c r="O188" s="3190"/>
      <c r="P188" s="3190"/>
      <c r="Q188" s="3190"/>
      <c r="R188" s="3190"/>
      <c r="S188" s="3190"/>
      <c r="T188" s="3190"/>
      <c r="U188" s="3190"/>
    </row>
    <row r="189" spans="1:21" s="960" customFormat="1" ht="14.25" customHeight="1" thickBot="1">
      <c r="A189" s="3170" t="s">
        <v>1153</v>
      </c>
      <c r="B189" s="3158" t="s">
        <v>2884</v>
      </c>
      <c r="C189" s="3158"/>
      <c r="D189" s="3158"/>
      <c r="E189" s="3158"/>
      <c r="F189" s="3159">
        <v>2050</v>
      </c>
      <c r="G189" s="3171"/>
      <c r="I189" s="971"/>
      <c r="J189" s="3190"/>
      <c r="K189" s="3190"/>
      <c r="L189" s="3190"/>
      <c r="M189" s="3190"/>
      <c r="N189" s="3190"/>
      <c r="O189" s="3190"/>
      <c r="P189" s="3190"/>
      <c r="Q189" s="3190"/>
      <c r="R189" s="3190"/>
      <c r="S189" s="3190"/>
      <c r="T189" s="3190"/>
      <c r="U189" s="3190"/>
    </row>
    <row r="190" spans="1:21" s="960" customFormat="1" ht="14.25" customHeight="1">
      <c r="A190" s="3169" t="s">
        <v>1154</v>
      </c>
      <c r="B190" s="1216" t="s">
        <v>2885</v>
      </c>
      <c r="C190" s="1216">
        <v>8830</v>
      </c>
      <c r="D190" s="1216">
        <v>8790</v>
      </c>
      <c r="E190" s="1216">
        <v>11630</v>
      </c>
      <c r="F190" s="3156">
        <v>1790</v>
      </c>
      <c r="G190" s="3156">
        <v>5550</v>
      </c>
      <c r="I190" s="971"/>
      <c r="J190" s="3190"/>
      <c r="K190" s="3190"/>
      <c r="L190" s="3190"/>
      <c r="M190" s="3190"/>
      <c r="N190" s="3190"/>
      <c r="O190" s="3190"/>
      <c r="P190" s="3190"/>
      <c r="Q190" s="3190"/>
      <c r="R190" s="3190"/>
      <c r="S190" s="3190"/>
      <c r="T190" s="3190"/>
      <c r="U190" s="3190"/>
    </row>
    <row r="191" spans="1:21" s="960" customFormat="1" ht="14.25" customHeight="1">
      <c r="A191" s="3155" t="s">
        <v>1154</v>
      </c>
      <c r="B191" s="3155" t="s">
        <v>978</v>
      </c>
      <c r="C191" s="3155">
        <v>9780</v>
      </c>
      <c r="D191" s="3155">
        <v>9710</v>
      </c>
      <c r="E191" s="3155">
        <v>12550</v>
      </c>
      <c r="F191" s="3161">
        <v>1980</v>
      </c>
      <c r="G191" s="3161">
        <v>6130</v>
      </c>
      <c r="I191" s="971"/>
      <c r="J191" s="3190"/>
      <c r="K191" s="3190"/>
      <c r="L191" s="3190"/>
      <c r="M191" s="3190"/>
      <c r="N191" s="3190"/>
      <c r="O191" s="3190"/>
      <c r="P191" s="3190"/>
      <c r="Q191" s="3190"/>
      <c r="R191" s="3190"/>
      <c r="S191" s="3190"/>
      <c r="T191" s="3190"/>
      <c r="U191" s="3190"/>
    </row>
    <row r="192" spans="1:21" s="960" customFormat="1" ht="14.25" customHeight="1">
      <c r="A192" s="3155" t="s">
        <v>1154</v>
      </c>
      <c r="B192" s="3155" t="s">
        <v>988</v>
      </c>
      <c r="C192" s="3155">
        <v>8180</v>
      </c>
      <c r="D192" s="3155">
        <v>8140</v>
      </c>
      <c r="E192" s="3155">
        <v>10870</v>
      </c>
      <c r="F192" s="3161">
        <v>1690</v>
      </c>
      <c r="G192" s="3161">
        <v>5140</v>
      </c>
      <c r="I192" s="971"/>
      <c r="J192" s="3190"/>
      <c r="K192" s="3190"/>
      <c r="L192" s="3190"/>
      <c r="M192" s="3190"/>
      <c r="N192" s="3190"/>
      <c r="O192" s="3190"/>
      <c r="P192" s="3190"/>
      <c r="Q192" s="3190"/>
      <c r="R192" s="3190"/>
      <c r="S192" s="3190"/>
      <c r="T192" s="3190"/>
      <c r="U192" s="3190"/>
    </row>
    <row r="193" spans="1:21" s="960" customFormat="1" ht="14.25" customHeight="1">
      <c r="A193" s="3155" t="s">
        <v>1154</v>
      </c>
      <c r="B193" s="3155" t="s">
        <v>997</v>
      </c>
      <c r="C193" s="3155">
        <v>8440</v>
      </c>
      <c r="D193" s="3155">
        <v>8390</v>
      </c>
      <c r="E193" s="3155">
        <v>11210</v>
      </c>
      <c r="F193" s="3161">
        <v>1600</v>
      </c>
      <c r="G193" s="3161">
        <v>5300</v>
      </c>
      <c r="I193" s="971"/>
      <c r="J193" s="3190"/>
      <c r="K193" s="3190"/>
      <c r="L193" s="3190"/>
      <c r="M193" s="3190"/>
      <c r="N193" s="3190"/>
      <c r="O193" s="3190"/>
      <c r="P193" s="3190"/>
      <c r="Q193" s="3190"/>
      <c r="R193" s="3190"/>
      <c r="S193" s="3190"/>
      <c r="T193" s="3190"/>
      <c r="U193" s="3190"/>
    </row>
    <row r="194" spans="1:21" s="960" customFormat="1" ht="14.25" customHeight="1">
      <c r="A194" s="3155" t="s">
        <v>1154</v>
      </c>
      <c r="B194" s="3155" t="s">
        <v>1007</v>
      </c>
      <c r="C194" s="3155">
        <v>8780</v>
      </c>
      <c r="D194" s="3155">
        <v>8730</v>
      </c>
      <c r="E194" s="3155">
        <v>11550</v>
      </c>
      <c r="F194" s="3161">
        <v>1660</v>
      </c>
      <c r="G194" s="3161">
        <v>5520</v>
      </c>
      <c r="I194" s="971"/>
      <c r="J194" s="3190"/>
      <c r="K194" s="3190"/>
      <c r="L194" s="3190"/>
      <c r="M194" s="3190"/>
      <c r="N194" s="3190"/>
      <c r="O194" s="3190"/>
      <c r="P194" s="3190"/>
      <c r="Q194" s="3190"/>
      <c r="R194" s="3190"/>
      <c r="S194" s="3190"/>
      <c r="T194" s="3190"/>
      <c r="U194" s="3190"/>
    </row>
    <row r="195" spans="1:21" s="960" customFormat="1" ht="14.25" customHeight="1">
      <c r="A195" s="3155" t="s">
        <v>1154</v>
      </c>
      <c r="B195" s="3155" t="s">
        <v>1014</v>
      </c>
      <c r="C195" s="3155">
        <v>8720</v>
      </c>
      <c r="D195" s="3155">
        <v>8670</v>
      </c>
      <c r="E195" s="3155">
        <v>11450</v>
      </c>
      <c r="F195" s="3161">
        <v>1720</v>
      </c>
      <c r="G195" s="3161">
        <v>5480</v>
      </c>
      <c r="I195" s="971"/>
      <c r="J195" s="3190"/>
      <c r="K195" s="3190"/>
      <c r="L195" s="3190"/>
      <c r="M195" s="3190"/>
      <c r="N195" s="3190"/>
      <c r="O195" s="3190"/>
      <c r="P195" s="3190"/>
      <c r="Q195" s="3190"/>
      <c r="R195" s="3190"/>
      <c r="S195" s="3190"/>
      <c r="T195" s="3190"/>
      <c r="U195" s="3190"/>
    </row>
    <row r="196" spans="1:21" s="960" customFormat="1" ht="14.25" customHeight="1">
      <c r="A196" s="3155" t="s">
        <v>1154</v>
      </c>
      <c r="B196" s="3155" t="s">
        <v>1020</v>
      </c>
      <c r="C196" s="3155">
        <v>8460</v>
      </c>
      <c r="D196" s="3155">
        <v>8410</v>
      </c>
      <c r="E196" s="3155">
        <v>11230</v>
      </c>
      <c r="F196" s="3161">
        <v>1730</v>
      </c>
      <c r="G196" s="3161">
        <v>5310</v>
      </c>
      <c r="I196" s="971"/>
      <c r="J196" s="3190"/>
      <c r="K196" s="3190"/>
      <c r="L196" s="3190"/>
      <c r="M196" s="3190"/>
      <c r="N196" s="3190"/>
      <c r="O196" s="3190"/>
      <c r="P196" s="3190"/>
      <c r="Q196" s="3190"/>
      <c r="R196" s="3190"/>
      <c r="S196" s="3190"/>
      <c r="T196" s="3190"/>
      <c r="U196" s="3190"/>
    </row>
    <row r="197" spans="1:21" s="960" customFormat="1" ht="14.25" customHeight="1">
      <c r="A197" s="3155" t="s">
        <v>1154</v>
      </c>
      <c r="B197" s="3155" t="s">
        <v>1027</v>
      </c>
      <c r="C197" s="3155">
        <v>8790</v>
      </c>
      <c r="D197" s="3155">
        <v>8730</v>
      </c>
      <c r="E197" s="3155">
        <v>11560</v>
      </c>
      <c r="F197" s="3161">
        <v>1750</v>
      </c>
      <c r="G197" s="3161">
        <v>5520</v>
      </c>
      <c r="I197" s="971"/>
      <c r="J197" s="3190"/>
      <c r="K197" s="3190"/>
      <c r="L197" s="3190"/>
      <c r="M197" s="3190"/>
      <c r="N197" s="3190"/>
      <c r="O197" s="3190"/>
      <c r="P197" s="3190"/>
      <c r="Q197" s="3190"/>
      <c r="R197" s="3190"/>
      <c r="S197" s="3190"/>
      <c r="T197" s="3190"/>
      <c r="U197" s="3190"/>
    </row>
    <row r="198" spans="1:21" s="960" customFormat="1" ht="14.25" customHeight="1">
      <c r="A198" s="3155" t="s">
        <v>1154</v>
      </c>
      <c r="B198" s="3155" t="s">
        <v>1037</v>
      </c>
      <c r="C198" s="3155">
        <v>8720</v>
      </c>
      <c r="D198" s="3155">
        <v>8680</v>
      </c>
      <c r="E198" s="3155">
        <v>11470</v>
      </c>
      <c r="F198" s="3161"/>
      <c r="G198" s="3161">
        <v>5480</v>
      </c>
      <c r="I198" s="971"/>
      <c r="J198" s="3190"/>
      <c r="K198" s="3190"/>
      <c r="L198" s="3190"/>
      <c r="M198" s="3190"/>
      <c r="N198" s="3190"/>
      <c r="O198" s="3190"/>
      <c r="P198" s="3190"/>
      <c r="Q198" s="3190"/>
      <c r="R198" s="3190"/>
      <c r="S198" s="3190"/>
      <c r="T198" s="3190"/>
      <c r="U198" s="3190"/>
    </row>
    <row r="199" spans="1:21" s="960" customFormat="1" ht="14.25" customHeight="1">
      <c r="A199" s="3155" t="s">
        <v>1154</v>
      </c>
      <c r="B199" s="3155" t="s">
        <v>2886</v>
      </c>
      <c r="C199" s="3155">
        <v>8690</v>
      </c>
      <c r="D199" s="3155">
        <v>8630</v>
      </c>
      <c r="E199" s="3155">
        <v>11350</v>
      </c>
      <c r="F199" s="3161">
        <v>1600</v>
      </c>
      <c r="G199" s="3161">
        <v>5450</v>
      </c>
      <c r="I199" s="971"/>
      <c r="J199" s="3190"/>
      <c r="K199" s="3190"/>
      <c r="L199" s="3190"/>
      <c r="M199" s="3190"/>
      <c r="N199" s="3190"/>
      <c r="O199" s="3190"/>
      <c r="P199" s="3190"/>
      <c r="Q199" s="3190"/>
      <c r="R199" s="3190"/>
      <c r="S199" s="3190"/>
      <c r="T199" s="3190"/>
      <c r="U199" s="3190"/>
    </row>
    <row r="200" spans="1:21" s="960" customFormat="1" ht="14.25" customHeight="1">
      <c r="A200" s="3155" t="s">
        <v>1154</v>
      </c>
      <c r="B200" s="3155" t="s">
        <v>2887</v>
      </c>
      <c r="C200" s="3155"/>
      <c r="D200" s="3155"/>
      <c r="E200" s="3155"/>
      <c r="F200" s="3161">
        <v>1510</v>
      </c>
      <c r="G200" s="3161"/>
      <c r="I200" s="971"/>
      <c r="J200" s="3190"/>
      <c r="K200" s="3190"/>
      <c r="L200" s="3190"/>
      <c r="M200" s="3190"/>
      <c r="N200" s="3190"/>
      <c r="O200" s="3190"/>
      <c r="P200" s="3190"/>
      <c r="Q200" s="3190"/>
      <c r="R200" s="3190"/>
      <c r="S200" s="3190"/>
      <c r="T200" s="3190"/>
      <c r="U200" s="3190"/>
    </row>
    <row r="201" spans="1:21" s="960" customFormat="1" ht="14.25" customHeight="1">
      <c r="A201" s="3155" t="s">
        <v>1154</v>
      </c>
      <c r="B201" s="3155" t="s">
        <v>2888</v>
      </c>
      <c r="C201" s="3155">
        <v>8440</v>
      </c>
      <c r="D201" s="3155">
        <v>8390</v>
      </c>
      <c r="E201" s="3155">
        <v>10930</v>
      </c>
      <c r="F201" s="3161">
        <v>1500</v>
      </c>
      <c r="G201" s="3161">
        <v>5300</v>
      </c>
      <c r="I201" s="971"/>
      <c r="J201" s="3190"/>
      <c r="K201" s="3190"/>
      <c r="L201" s="3190"/>
      <c r="M201" s="3190"/>
      <c r="N201" s="3190"/>
      <c r="O201" s="3190"/>
      <c r="P201" s="3190"/>
      <c r="Q201" s="3190"/>
      <c r="R201" s="3190"/>
      <c r="S201" s="3190"/>
      <c r="T201" s="3190"/>
      <c r="U201" s="3190"/>
    </row>
    <row r="202" spans="1:21" s="960" customFormat="1" ht="14.25" customHeight="1">
      <c r="A202" s="3155" t="s">
        <v>1154</v>
      </c>
      <c r="B202" s="3155" t="s">
        <v>1088</v>
      </c>
      <c r="C202" s="3155">
        <v>8530</v>
      </c>
      <c r="D202" s="3155">
        <v>8490</v>
      </c>
      <c r="E202" s="3155">
        <v>11160</v>
      </c>
      <c r="F202" s="3161">
        <v>1580</v>
      </c>
      <c r="G202" s="3161">
        <v>5360</v>
      </c>
      <c r="I202" s="971"/>
      <c r="J202" s="3190"/>
      <c r="K202" s="3190"/>
      <c r="L202" s="3190"/>
      <c r="M202" s="3190"/>
      <c r="N202" s="3190"/>
      <c r="O202" s="3190"/>
      <c r="P202" s="3190"/>
      <c r="Q202" s="3190"/>
      <c r="R202" s="3190"/>
      <c r="S202" s="3190"/>
      <c r="T202" s="3190"/>
      <c r="U202" s="3190"/>
    </row>
    <row r="203" spans="1:21" s="960" customFormat="1" ht="14.25" customHeight="1">
      <c r="A203" s="3155" t="s">
        <v>1154</v>
      </c>
      <c r="B203" s="3155" t="s">
        <v>2889</v>
      </c>
      <c r="C203" s="3155">
        <v>8130</v>
      </c>
      <c r="D203" s="3155">
        <v>8070</v>
      </c>
      <c r="E203" s="3155">
        <v>10820</v>
      </c>
      <c r="F203" s="3161">
        <v>1690</v>
      </c>
      <c r="G203" s="3161">
        <v>5100</v>
      </c>
      <c r="I203" s="971"/>
      <c r="J203" s="3190"/>
      <c r="K203" s="3190"/>
      <c r="L203" s="3190"/>
      <c r="M203" s="3190"/>
      <c r="N203" s="3190"/>
      <c r="O203" s="3190"/>
      <c r="P203" s="3190"/>
      <c r="Q203" s="3190"/>
      <c r="R203" s="3190"/>
      <c r="S203" s="3190"/>
      <c r="T203" s="3190"/>
      <c r="U203" s="3190"/>
    </row>
    <row r="204" spans="1:21" s="960" customFormat="1" ht="14.25" customHeight="1">
      <c r="A204" s="3155" t="s">
        <v>1154</v>
      </c>
      <c r="B204" s="3155" t="s">
        <v>2890</v>
      </c>
      <c r="C204" s="3155">
        <v>8350</v>
      </c>
      <c r="D204" s="3155">
        <v>8290</v>
      </c>
      <c r="E204" s="3155">
        <v>11080</v>
      </c>
      <c r="F204" s="3161">
        <v>1450</v>
      </c>
      <c r="G204" s="3161">
        <v>5240</v>
      </c>
      <c r="I204" s="971"/>
      <c r="J204" s="3190"/>
      <c r="K204" s="3190"/>
      <c r="L204" s="3190"/>
      <c r="M204" s="3190"/>
      <c r="N204" s="3190"/>
      <c r="O204" s="3190"/>
      <c r="P204" s="3190"/>
      <c r="Q204" s="3190"/>
      <c r="R204" s="3190"/>
      <c r="S204" s="3190"/>
      <c r="T204" s="3190"/>
      <c r="U204" s="3190"/>
    </row>
    <row r="205" spans="1:21" s="960" customFormat="1" ht="14.25" customHeight="1">
      <c r="A205" s="3155" t="s">
        <v>1154</v>
      </c>
      <c r="B205" s="3155" t="s">
        <v>2891</v>
      </c>
      <c r="C205" s="3155">
        <v>7190</v>
      </c>
      <c r="D205" s="3155">
        <v>7130</v>
      </c>
      <c r="E205" s="3155">
        <v>9490</v>
      </c>
      <c r="F205" s="3161">
        <v>1470</v>
      </c>
      <c r="G205" s="3168">
        <v>4510</v>
      </c>
      <c r="I205" s="971"/>
      <c r="J205" s="3190"/>
      <c r="K205" s="3190"/>
      <c r="L205" s="3190"/>
      <c r="M205" s="3190"/>
      <c r="N205" s="3190"/>
      <c r="O205" s="3190"/>
      <c r="P205" s="3190"/>
      <c r="Q205" s="3190"/>
      <c r="R205" s="3190"/>
      <c r="S205" s="3190"/>
      <c r="T205" s="3190"/>
      <c r="U205" s="3190"/>
    </row>
    <row r="206" spans="1:21" s="960" customFormat="1" ht="14.25" customHeight="1">
      <c r="A206" s="1216" t="s">
        <v>1154</v>
      </c>
      <c r="B206" s="1216" t="s">
        <v>2892</v>
      </c>
      <c r="C206" s="1216">
        <v>7000</v>
      </c>
      <c r="D206" s="1216">
        <v>6950</v>
      </c>
      <c r="E206" s="1216">
        <v>9170</v>
      </c>
      <c r="F206" s="3156">
        <v>1400</v>
      </c>
      <c r="G206" s="3156">
        <v>4380</v>
      </c>
      <c r="I206" s="971"/>
      <c r="J206" s="3190"/>
      <c r="K206" s="3190"/>
      <c r="L206" s="3190"/>
      <c r="M206" s="3190"/>
      <c r="N206" s="3190"/>
      <c r="O206" s="3190"/>
      <c r="P206" s="3190"/>
      <c r="Q206" s="3190"/>
      <c r="R206" s="3190"/>
      <c r="S206" s="3190"/>
      <c r="T206" s="3190"/>
      <c r="U206" s="3190"/>
    </row>
    <row r="207" spans="1:21" s="960" customFormat="1" ht="14.25" customHeight="1">
      <c r="A207" s="3155" t="s">
        <v>1154</v>
      </c>
      <c r="B207" s="3155" t="s">
        <v>2893</v>
      </c>
      <c r="C207" s="3155">
        <v>6950</v>
      </c>
      <c r="D207" s="3155">
        <v>6900</v>
      </c>
      <c r="E207" s="3155">
        <v>9110</v>
      </c>
      <c r="F207" s="3161">
        <v>1790</v>
      </c>
      <c r="G207" s="3161">
        <v>4360</v>
      </c>
      <c r="I207" s="971"/>
      <c r="J207" s="3190"/>
      <c r="K207" s="3190"/>
      <c r="L207" s="3190"/>
      <c r="M207" s="3190"/>
      <c r="N207" s="3190"/>
      <c r="O207" s="3190"/>
      <c r="P207" s="3190"/>
      <c r="Q207" s="3190"/>
      <c r="R207" s="3190"/>
      <c r="S207" s="3190"/>
      <c r="T207" s="3190"/>
      <c r="U207" s="3190"/>
    </row>
    <row r="208" spans="1:21" s="960" customFormat="1" ht="14.25" customHeight="1">
      <c r="A208" s="3155" t="s">
        <v>1154</v>
      </c>
      <c r="B208" s="3155" t="s">
        <v>2894</v>
      </c>
      <c r="C208" s="3155">
        <v>9470</v>
      </c>
      <c r="D208" s="3155">
        <v>9410</v>
      </c>
      <c r="E208" s="3155">
        <v>12330</v>
      </c>
      <c r="F208" s="3161">
        <v>1770</v>
      </c>
      <c r="G208" s="3161">
        <v>5940</v>
      </c>
      <c r="I208" s="971"/>
      <c r="J208" s="3190"/>
      <c r="K208" s="3190"/>
      <c r="L208" s="3190"/>
      <c r="M208" s="3190"/>
      <c r="N208" s="3190"/>
      <c r="O208" s="3190"/>
      <c r="P208" s="3190"/>
      <c r="Q208" s="3190"/>
      <c r="R208" s="3190"/>
      <c r="S208" s="3190"/>
      <c r="T208" s="3190"/>
      <c r="U208" s="3190"/>
    </row>
    <row r="209" spans="1:21" s="960" customFormat="1" ht="14.25" customHeight="1">
      <c r="A209" s="3155" t="s">
        <v>1154</v>
      </c>
      <c r="B209" s="3155" t="s">
        <v>1112</v>
      </c>
      <c r="C209" s="3155">
        <v>8740</v>
      </c>
      <c r="D209" s="3155">
        <v>8700</v>
      </c>
      <c r="E209" s="3155">
        <v>11500</v>
      </c>
      <c r="F209" s="3161">
        <v>1730</v>
      </c>
      <c r="G209" s="3161">
        <v>5490</v>
      </c>
      <c r="I209" s="971"/>
      <c r="J209" s="3190"/>
      <c r="K209" s="3190"/>
      <c r="L209" s="3190"/>
      <c r="M209" s="3190"/>
      <c r="N209" s="3190"/>
      <c r="O209" s="3190"/>
      <c r="P209" s="3190"/>
      <c r="Q209" s="3190"/>
      <c r="R209" s="3190"/>
      <c r="S209" s="3190"/>
      <c r="T209" s="3190"/>
      <c r="U209" s="3190"/>
    </row>
    <row r="210" spans="1:21" s="960" customFormat="1" ht="14.25" customHeight="1">
      <c r="A210" s="3155" t="s">
        <v>1154</v>
      </c>
      <c r="B210" s="3155" t="s">
        <v>2895</v>
      </c>
      <c r="C210" s="3155">
        <v>8710</v>
      </c>
      <c r="D210" s="3155">
        <v>8660</v>
      </c>
      <c r="E210" s="3155">
        <v>11440</v>
      </c>
      <c r="F210" s="3161">
        <v>1740</v>
      </c>
      <c r="G210" s="3161">
        <v>5470</v>
      </c>
      <c r="I210" s="971"/>
      <c r="J210" s="3190"/>
      <c r="K210" s="3190"/>
      <c r="L210" s="3190"/>
      <c r="M210" s="3190"/>
      <c r="N210" s="3190"/>
      <c r="O210" s="3190"/>
      <c r="P210" s="3190"/>
      <c r="Q210" s="3190"/>
      <c r="R210" s="3190"/>
      <c r="S210" s="3190"/>
      <c r="T210" s="3190"/>
      <c r="U210" s="3190"/>
    </row>
    <row r="211" spans="1:21" s="960" customFormat="1" ht="14.25" customHeight="1">
      <c r="A211" s="3155" t="s">
        <v>1154</v>
      </c>
      <c r="B211" s="3155" t="s">
        <v>2896</v>
      </c>
      <c r="C211" s="3155">
        <v>9480</v>
      </c>
      <c r="D211" s="3155">
        <v>9430</v>
      </c>
      <c r="E211" s="3155">
        <v>12360</v>
      </c>
      <c r="F211" s="3161">
        <v>1820</v>
      </c>
      <c r="G211" s="3161">
        <v>5950</v>
      </c>
      <c r="I211" s="971"/>
      <c r="J211" s="3190"/>
      <c r="K211" s="3190"/>
      <c r="L211" s="3190"/>
      <c r="M211" s="3190"/>
      <c r="N211" s="3190"/>
      <c r="O211" s="3190"/>
      <c r="P211" s="3190"/>
      <c r="Q211" s="3190"/>
      <c r="R211" s="3190"/>
      <c r="S211" s="3190"/>
      <c r="T211" s="3190"/>
      <c r="U211" s="3190"/>
    </row>
    <row r="212" spans="1:21" s="960" customFormat="1" ht="14.25" customHeight="1">
      <c r="A212" s="3155" t="s">
        <v>1154</v>
      </c>
      <c r="B212" s="3155" t="s">
        <v>1134</v>
      </c>
      <c r="C212" s="3155">
        <v>9070</v>
      </c>
      <c r="D212" s="3155">
        <v>9020</v>
      </c>
      <c r="E212" s="3155">
        <v>11720</v>
      </c>
      <c r="F212" s="3161">
        <v>1850</v>
      </c>
      <c r="G212" s="3161">
        <v>5700</v>
      </c>
      <c r="I212" s="971"/>
      <c r="J212" s="3190"/>
      <c r="K212" s="3190"/>
      <c r="L212" s="3190"/>
      <c r="M212" s="3190"/>
      <c r="N212" s="3190"/>
      <c r="O212" s="3190"/>
      <c r="P212" s="3190"/>
      <c r="Q212" s="3190"/>
      <c r="R212" s="3190"/>
      <c r="S212" s="3190"/>
      <c r="T212" s="3190"/>
      <c r="U212" s="3190"/>
    </row>
    <row r="213" spans="1:21" s="960" customFormat="1" ht="14.25" customHeight="1">
      <c r="A213" s="3155" t="s">
        <v>1154</v>
      </c>
      <c r="B213" s="3155" t="s">
        <v>1137</v>
      </c>
      <c r="C213" s="3155">
        <v>9030</v>
      </c>
      <c r="D213" s="3155">
        <v>8980</v>
      </c>
      <c r="E213" s="3155">
        <v>11670</v>
      </c>
      <c r="F213" s="3161">
        <v>1690</v>
      </c>
      <c r="G213" s="3161">
        <v>5670</v>
      </c>
      <c r="I213" s="971"/>
      <c r="J213" s="3190"/>
      <c r="K213" s="3190"/>
      <c r="L213" s="3190"/>
      <c r="M213" s="3190"/>
      <c r="N213" s="3190"/>
      <c r="O213" s="3190"/>
      <c r="P213" s="3190"/>
      <c r="Q213" s="3190"/>
      <c r="R213" s="3190"/>
      <c r="S213" s="3190"/>
      <c r="T213" s="3190"/>
      <c r="U213" s="3190"/>
    </row>
    <row r="214" spans="1:21" s="960" customFormat="1" ht="14.25" customHeight="1">
      <c r="A214" s="3155" t="s">
        <v>1154</v>
      </c>
      <c r="B214" s="3155" t="s">
        <v>2897</v>
      </c>
      <c r="C214" s="3155">
        <v>8090</v>
      </c>
      <c r="D214" s="3155">
        <v>8030</v>
      </c>
      <c r="E214" s="3155">
        <v>10780</v>
      </c>
      <c r="F214" s="3161">
        <v>1570</v>
      </c>
      <c r="G214" s="3163">
        <v>5070</v>
      </c>
      <c r="I214" s="971"/>
      <c r="J214" s="3190"/>
      <c r="K214" s="3190"/>
      <c r="L214" s="3190"/>
      <c r="M214" s="3190"/>
      <c r="N214" s="3190"/>
      <c r="O214" s="3190"/>
      <c r="P214" s="3190"/>
      <c r="Q214" s="3190"/>
      <c r="R214" s="3190"/>
      <c r="S214" s="3190"/>
      <c r="T214" s="3190"/>
      <c r="U214" s="3190"/>
    </row>
    <row r="215" spans="1:21" s="960" customFormat="1" ht="14.25" customHeight="1">
      <c r="A215" s="3155" t="s">
        <v>1154</v>
      </c>
      <c r="B215" s="3155" t="s">
        <v>1123</v>
      </c>
      <c r="C215" s="3155">
        <v>7950</v>
      </c>
      <c r="D215" s="3155">
        <v>7900</v>
      </c>
      <c r="E215" s="3155">
        <v>10560</v>
      </c>
      <c r="F215" s="3161">
        <v>1630</v>
      </c>
      <c r="G215" s="3161">
        <v>4990</v>
      </c>
      <c r="I215" s="971"/>
      <c r="J215" s="3190"/>
      <c r="K215" s="3190"/>
      <c r="L215" s="3190"/>
      <c r="M215" s="3190"/>
      <c r="N215" s="3190"/>
      <c r="O215" s="3190"/>
      <c r="P215" s="3190"/>
      <c r="Q215" s="3190"/>
      <c r="R215" s="3190"/>
      <c r="S215" s="3190"/>
      <c r="T215" s="3190"/>
      <c r="U215" s="3190"/>
    </row>
    <row r="216" spans="1:21" s="960" customFormat="1" ht="14.25" customHeight="1">
      <c r="A216" s="3155" t="s">
        <v>1154</v>
      </c>
      <c r="B216" s="3155" t="s">
        <v>2898</v>
      </c>
      <c r="C216" s="3155">
        <v>8490</v>
      </c>
      <c r="D216" s="3155">
        <v>8440</v>
      </c>
      <c r="E216" s="3155">
        <v>11260</v>
      </c>
      <c r="F216" s="3161">
        <v>1690</v>
      </c>
      <c r="G216" s="3161">
        <v>5330</v>
      </c>
      <c r="I216" s="971"/>
      <c r="J216" s="3190"/>
      <c r="K216" s="3190"/>
      <c r="L216" s="3190"/>
      <c r="M216" s="3190"/>
      <c r="N216" s="3190"/>
      <c r="O216" s="3190"/>
      <c r="P216" s="3190"/>
      <c r="Q216" s="3190"/>
      <c r="R216" s="3190"/>
      <c r="S216" s="3190"/>
      <c r="T216" s="3190"/>
      <c r="U216" s="3190"/>
    </row>
    <row r="217" spans="1:21" s="960" customFormat="1" ht="14.25" customHeight="1">
      <c r="A217" s="3155" t="s">
        <v>1154</v>
      </c>
      <c r="B217" s="3155" t="s">
        <v>2899</v>
      </c>
      <c r="C217" s="3155">
        <v>8200</v>
      </c>
      <c r="D217" s="3155">
        <v>8150</v>
      </c>
      <c r="E217" s="3155">
        <v>10910</v>
      </c>
      <c r="F217" s="3161">
        <v>1670</v>
      </c>
      <c r="G217" s="3161">
        <v>5150</v>
      </c>
      <c r="I217" s="971"/>
      <c r="J217" s="3190"/>
      <c r="K217" s="3190"/>
      <c r="L217" s="3190"/>
      <c r="M217" s="3190"/>
      <c r="N217" s="3190"/>
      <c r="O217" s="3190"/>
      <c r="P217" s="3190"/>
      <c r="Q217" s="3190"/>
      <c r="R217" s="3190"/>
      <c r="S217" s="3190"/>
      <c r="T217" s="3190"/>
      <c r="U217" s="3190"/>
    </row>
    <row r="218" spans="1:21" s="960" customFormat="1" ht="14.25" customHeight="1">
      <c r="A218" s="3155" t="s">
        <v>1154</v>
      </c>
      <c r="B218" s="3155" t="s">
        <v>2900</v>
      </c>
      <c r="C218" s="3155"/>
      <c r="D218" s="3155"/>
      <c r="E218" s="3155"/>
      <c r="F218" s="3161">
        <v>2040</v>
      </c>
      <c r="G218" s="3161"/>
      <c r="I218" s="971"/>
      <c r="J218" s="3190"/>
      <c r="K218" s="3190"/>
      <c r="L218" s="3190"/>
      <c r="M218" s="3190"/>
      <c r="N218" s="3190"/>
      <c r="O218" s="3190"/>
      <c r="P218" s="3190"/>
      <c r="Q218" s="3190"/>
      <c r="R218" s="3190"/>
      <c r="S218" s="3190"/>
      <c r="T218" s="3190"/>
      <c r="U218" s="3190"/>
    </row>
    <row r="219" spans="1:21" s="960" customFormat="1" ht="14.25" customHeight="1">
      <c r="A219" s="3155" t="s">
        <v>1154</v>
      </c>
      <c r="B219" s="3155" t="s">
        <v>2901</v>
      </c>
      <c r="C219" s="3155"/>
      <c r="D219" s="3155"/>
      <c r="E219" s="3155"/>
      <c r="F219" s="3161">
        <v>2040</v>
      </c>
      <c r="G219" s="3161"/>
      <c r="I219" s="971"/>
      <c r="J219" s="3190"/>
      <c r="K219" s="3190"/>
      <c r="L219" s="3190"/>
      <c r="M219" s="3190"/>
      <c r="N219" s="3190"/>
      <c r="O219" s="3190"/>
      <c r="P219" s="3190"/>
      <c r="Q219" s="3190"/>
      <c r="R219" s="3190"/>
      <c r="S219" s="3190"/>
      <c r="T219" s="3190"/>
      <c r="U219" s="3190"/>
    </row>
    <row r="220" spans="1:21" s="960" customFormat="1" ht="14.25" customHeight="1">
      <c r="A220" s="3155" t="s">
        <v>1154</v>
      </c>
      <c r="B220" s="3155" t="s">
        <v>2902</v>
      </c>
      <c r="C220" s="3155"/>
      <c r="D220" s="3155"/>
      <c r="E220" s="3155"/>
      <c r="F220" s="3161">
        <v>2040</v>
      </c>
      <c r="G220" s="3161"/>
      <c r="I220" s="971"/>
      <c r="J220" s="3190"/>
      <c r="K220" s="3190"/>
      <c r="L220" s="3190"/>
      <c r="M220" s="3190"/>
      <c r="N220" s="3190"/>
      <c r="O220" s="3190"/>
      <c r="P220" s="3190"/>
      <c r="Q220" s="3190"/>
      <c r="R220" s="3190"/>
      <c r="S220" s="3190"/>
      <c r="T220" s="3190"/>
      <c r="U220" s="3190"/>
    </row>
    <row r="221" spans="1:21" s="960" customFormat="1" ht="14.25" customHeight="1">
      <c r="A221" s="3155" t="s">
        <v>1154</v>
      </c>
      <c r="B221" s="3155" t="s">
        <v>2903</v>
      </c>
      <c r="C221" s="3164"/>
      <c r="D221" s="3164"/>
      <c r="E221" s="3164"/>
      <c r="F221" s="3163">
        <v>2040</v>
      </c>
      <c r="G221" s="3161"/>
      <c r="I221" s="971"/>
      <c r="J221" s="3190"/>
      <c r="K221" s="3190"/>
      <c r="L221" s="3190"/>
      <c r="M221" s="3190"/>
      <c r="N221" s="3190"/>
      <c r="O221" s="3190"/>
      <c r="P221" s="3190"/>
      <c r="Q221" s="3190"/>
      <c r="R221" s="3190"/>
      <c r="S221" s="3190"/>
      <c r="T221" s="3190"/>
      <c r="U221" s="3190"/>
    </row>
    <row r="222" spans="1:21" s="960" customFormat="1" ht="14.25" customHeight="1">
      <c r="A222" s="3155" t="s">
        <v>1154</v>
      </c>
      <c r="B222" s="3155" t="s">
        <v>2904</v>
      </c>
      <c r="C222" s="3164"/>
      <c r="D222" s="3164"/>
      <c r="E222" s="3164"/>
      <c r="F222" s="3163">
        <v>2040</v>
      </c>
      <c r="G222" s="3161"/>
      <c r="I222" s="971"/>
      <c r="J222" s="3190"/>
      <c r="K222" s="3190"/>
      <c r="L222" s="3190"/>
      <c r="M222" s="3190"/>
      <c r="N222" s="3190"/>
      <c r="O222" s="3190"/>
      <c r="P222" s="3190"/>
      <c r="Q222" s="3190"/>
      <c r="R222" s="3190"/>
      <c r="S222" s="3190"/>
      <c r="T222" s="3190"/>
      <c r="U222" s="3190"/>
    </row>
    <row r="223" spans="1:21" s="960" customFormat="1" ht="14.25" customHeight="1">
      <c r="A223" s="3155" t="s">
        <v>1154</v>
      </c>
      <c r="B223" s="3155" t="s">
        <v>2905</v>
      </c>
      <c r="C223" s="3164"/>
      <c r="D223" s="3164"/>
      <c r="E223" s="3164"/>
      <c r="F223" s="3163">
        <v>1930</v>
      </c>
      <c r="G223" s="3161"/>
      <c r="I223" s="971"/>
      <c r="J223" s="3190"/>
      <c r="K223" s="3190"/>
      <c r="L223" s="3190"/>
      <c r="M223" s="3190"/>
      <c r="N223" s="3190"/>
      <c r="O223" s="3190"/>
      <c r="P223" s="3190"/>
      <c r="Q223" s="3190"/>
      <c r="R223" s="3190"/>
      <c r="S223" s="3190"/>
      <c r="T223" s="3190"/>
      <c r="U223" s="3190"/>
    </row>
    <row r="224" spans="1:21" s="960" customFormat="1" ht="14.25" customHeight="1">
      <c r="A224" s="3155" t="s">
        <v>1154</v>
      </c>
      <c r="B224" s="3155" t="s">
        <v>2906</v>
      </c>
      <c r="C224" s="3164"/>
      <c r="D224" s="3164"/>
      <c r="E224" s="3164"/>
      <c r="F224" s="3163">
        <v>1930</v>
      </c>
      <c r="G224" s="3161"/>
      <c r="I224" s="971"/>
      <c r="J224" s="3190"/>
      <c r="K224" s="3190"/>
      <c r="L224" s="3190"/>
      <c r="M224" s="3190"/>
      <c r="N224" s="3190"/>
      <c r="O224" s="3190"/>
      <c r="P224" s="3190"/>
      <c r="Q224" s="3190"/>
      <c r="R224" s="3190"/>
      <c r="S224" s="3190"/>
      <c r="T224" s="3190"/>
      <c r="U224" s="3190"/>
    </row>
    <row r="225" spans="1:21" s="960" customFormat="1" ht="14.25" customHeight="1">
      <c r="A225" s="3155" t="s">
        <v>1154</v>
      </c>
      <c r="B225" s="3155" t="s">
        <v>2907</v>
      </c>
      <c r="C225" s="3155"/>
      <c r="D225" s="3155"/>
      <c r="E225" s="3155"/>
      <c r="F225" s="3161">
        <v>1930</v>
      </c>
      <c r="G225" s="3161"/>
      <c r="I225" s="971"/>
      <c r="J225" s="3190"/>
      <c r="K225" s="3190"/>
      <c r="L225" s="3190"/>
      <c r="M225" s="3190"/>
      <c r="N225" s="3190"/>
      <c r="O225" s="3190"/>
      <c r="P225" s="3190"/>
      <c r="Q225" s="3190"/>
      <c r="R225" s="3190"/>
      <c r="S225" s="3190"/>
      <c r="T225" s="3190"/>
      <c r="U225" s="3190"/>
    </row>
    <row r="226" spans="1:21" s="960" customFormat="1" ht="14.25" customHeight="1">
      <c r="A226" s="3155" t="s">
        <v>1154</v>
      </c>
      <c r="B226" s="3155" t="s">
        <v>2908</v>
      </c>
      <c r="C226" s="3155"/>
      <c r="D226" s="3155"/>
      <c r="E226" s="3155"/>
      <c r="F226" s="3161">
        <v>1700</v>
      </c>
      <c r="G226" s="3161"/>
      <c r="I226" s="971"/>
      <c r="J226" s="3190"/>
      <c r="K226" s="3190"/>
      <c r="L226" s="3190"/>
      <c r="M226" s="3190"/>
      <c r="N226" s="3190"/>
      <c r="O226" s="3190"/>
      <c r="P226" s="3190"/>
      <c r="Q226" s="3190"/>
      <c r="R226" s="3190"/>
      <c r="S226" s="3190"/>
      <c r="T226" s="3190"/>
      <c r="U226" s="3190"/>
    </row>
    <row r="227" spans="1:21" s="960" customFormat="1" ht="14.25" customHeight="1">
      <c r="A227" s="3155" t="s">
        <v>1154</v>
      </c>
      <c r="B227" s="3155" t="s">
        <v>2909</v>
      </c>
      <c r="C227" s="3155"/>
      <c r="D227" s="3155"/>
      <c r="E227" s="3155"/>
      <c r="F227" s="3161">
        <v>1520</v>
      </c>
      <c r="G227" s="3161"/>
      <c r="I227" s="971"/>
      <c r="J227" s="3190"/>
      <c r="K227" s="3190"/>
      <c r="L227" s="3190"/>
      <c r="M227" s="3190"/>
      <c r="N227" s="3190"/>
      <c r="O227" s="3190"/>
      <c r="P227" s="3190"/>
      <c r="Q227" s="3190"/>
      <c r="R227" s="3190"/>
      <c r="S227" s="3190"/>
      <c r="T227" s="3190"/>
      <c r="U227" s="3190"/>
    </row>
    <row r="228" spans="1:21" s="960" customFormat="1" ht="14.25" customHeight="1">
      <c r="A228" s="3155" t="s">
        <v>1154</v>
      </c>
      <c r="B228" s="3155" t="s">
        <v>2910</v>
      </c>
      <c r="C228" s="3155"/>
      <c r="D228" s="3155"/>
      <c r="E228" s="3155"/>
      <c r="F228" s="3161">
        <v>1520</v>
      </c>
      <c r="G228" s="3161"/>
      <c r="I228" s="971"/>
      <c r="J228" s="3190"/>
      <c r="K228" s="3190"/>
      <c r="L228" s="3190"/>
      <c r="M228" s="3190"/>
      <c r="N228" s="3190"/>
      <c r="O228" s="3190"/>
      <c r="P228" s="3190"/>
      <c r="Q228" s="3190"/>
      <c r="R228" s="3190"/>
      <c r="S228" s="3190"/>
      <c r="T228" s="3190"/>
      <c r="U228" s="3190"/>
    </row>
    <row r="229" spans="1:21" s="960" customFormat="1" ht="14.25" customHeight="1">
      <c r="A229" s="3155" t="s">
        <v>1154</v>
      </c>
      <c r="B229" s="3155" t="s">
        <v>2911</v>
      </c>
      <c r="C229" s="3155"/>
      <c r="D229" s="3155"/>
      <c r="E229" s="3155"/>
      <c r="F229" s="3161">
        <v>1520</v>
      </c>
      <c r="G229" s="3163"/>
      <c r="I229" s="971"/>
      <c r="J229" s="3190"/>
      <c r="K229" s="3190"/>
      <c r="L229" s="3190"/>
      <c r="M229" s="3190"/>
      <c r="N229" s="3190"/>
      <c r="O229" s="3190"/>
      <c r="P229" s="3190"/>
      <c r="Q229" s="3190"/>
      <c r="R229" s="3190"/>
      <c r="S229" s="3190"/>
      <c r="T229" s="3190"/>
      <c r="U229" s="3190"/>
    </row>
    <row r="230" spans="1:21" s="960" customFormat="1" ht="14.25" customHeight="1">
      <c r="A230" s="3155" t="s">
        <v>1154</v>
      </c>
      <c r="B230" s="3155" t="s">
        <v>2912</v>
      </c>
      <c r="C230" s="3155"/>
      <c r="D230" s="3155"/>
      <c r="E230" s="3155"/>
      <c r="F230" s="3161">
        <v>1820</v>
      </c>
      <c r="G230" s="3163"/>
      <c r="I230" s="971"/>
      <c r="J230" s="3190"/>
      <c r="K230" s="3190"/>
      <c r="L230" s="3190"/>
      <c r="M230" s="3190"/>
      <c r="N230" s="3190"/>
      <c r="O230" s="3190"/>
      <c r="P230" s="3190"/>
      <c r="Q230" s="3190"/>
      <c r="R230" s="3190"/>
      <c r="S230" s="3190"/>
      <c r="T230" s="3190"/>
      <c r="U230" s="3190"/>
    </row>
    <row r="231" spans="1:21" s="960" customFormat="1" ht="14.25" customHeight="1">
      <c r="A231" s="3155" t="s">
        <v>1154</v>
      </c>
      <c r="B231" s="3155" t="s">
        <v>2913</v>
      </c>
      <c r="C231" s="3155"/>
      <c r="D231" s="3155"/>
      <c r="E231" s="3155"/>
      <c r="F231" s="3161">
        <v>1760</v>
      </c>
      <c r="G231" s="3163"/>
      <c r="I231" s="971"/>
      <c r="J231" s="3190"/>
      <c r="K231" s="3190"/>
      <c r="L231" s="3190"/>
      <c r="M231" s="3190"/>
      <c r="N231" s="3190"/>
      <c r="O231" s="3190"/>
      <c r="P231" s="3190"/>
      <c r="Q231" s="3190"/>
      <c r="R231" s="3190"/>
      <c r="S231" s="3190"/>
      <c r="T231" s="3190"/>
      <c r="U231" s="3190"/>
    </row>
    <row r="232" spans="1:21" s="960" customFormat="1" ht="14.25" customHeight="1">
      <c r="A232" s="3155" t="s">
        <v>1154</v>
      </c>
      <c r="B232" s="3155" t="s">
        <v>2914</v>
      </c>
      <c r="C232" s="3155"/>
      <c r="D232" s="3155"/>
      <c r="E232" s="3155"/>
      <c r="F232" s="3161">
        <v>1840</v>
      </c>
      <c r="G232" s="3161"/>
      <c r="I232" s="971"/>
      <c r="J232" s="3190"/>
      <c r="K232" s="3190"/>
      <c r="L232" s="3190"/>
      <c r="M232" s="3190"/>
      <c r="N232" s="3190"/>
      <c r="O232" s="3190"/>
      <c r="P232" s="3190"/>
      <c r="Q232" s="3190"/>
      <c r="R232" s="3190"/>
      <c r="S232" s="3190"/>
      <c r="T232" s="3190"/>
      <c r="U232" s="3190"/>
    </row>
    <row r="233" spans="1:21" s="960" customFormat="1" ht="14.25" customHeight="1" thickBot="1">
      <c r="A233" s="3170" t="s">
        <v>1154</v>
      </c>
      <c r="B233" s="3158" t="s">
        <v>2915</v>
      </c>
      <c r="C233" s="3158"/>
      <c r="D233" s="3158"/>
      <c r="E233" s="3158"/>
      <c r="F233" s="3159">
        <v>1770</v>
      </c>
      <c r="G233" s="3174"/>
      <c r="I233" s="971"/>
      <c r="J233" s="3190"/>
      <c r="K233" s="3190"/>
      <c r="L233" s="3190"/>
      <c r="M233" s="3190"/>
      <c r="N233" s="3190"/>
      <c r="O233" s="3190"/>
      <c r="P233" s="3190"/>
      <c r="Q233" s="3190"/>
      <c r="R233" s="3190"/>
      <c r="S233" s="3190"/>
      <c r="T233" s="3190"/>
      <c r="U233" s="3190"/>
    </row>
    <row r="234" spans="1:21" s="960" customFormat="1" ht="14.25" customHeight="1">
      <c r="A234" s="3169" t="s">
        <v>1155</v>
      </c>
      <c r="B234" s="1216" t="s">
        <v>2916</v>
      </c>
      <c r="C234" s="1216">
        <v>6980</v>
      </c>
      <c r="D234" s="1216">
        <v>6970</v>
      </c>
      <c r="E234" s="1216">
        <v>8720</v>
      </c>
      <c r="F234" s="3156">
        <v>1350</v>
      </c>
      <c r="G234" s="3172">
        <v>4280</v>
      </c>
      <c r="I234" s="971"/>
      <c r="J234" s="3190"/>
      <c r="K234" s="3190"/>
      <c r="L234" s="3190"/>
      <c r="M234" s="3190"/>
      <c r="N234" s="3190"/>
      <c r="O234" s="3190"/>
      <c r="P234" s="3190"/>
      <c r="Q234" s="3190"/>
      <c r="R234" s="3190"/>
      <c r="S234" s="3190"/>
      <c r="T234" s="3190"/>
      <c r="U234" s="3190"/>
    </row>
    <row r="235" spans="1:21" s="960" customFormat="1" ht="14.25" customHeight="1">
      <c r="A235" s="3155" t="s">
        <v>1155</v>
      </c>
      <c r="B235" s="3155" t="s">
        <v>979</v>
      </c>
      <c r="C235" s="3155">
        <v>7620</v>
      </c>
      <c r="D235" s="3155">
        <v>7580</v>
      </c>
      <c r="E235" s="3155">
        <v>9360</v>
      </c>
      <c r="F235" s="3161">
        <v>1490</v>
      </c>
      <c r="G235" s="3161">
        <v>4650</v>
      </c>
      <c r="I235" s="971"/>
      <c r="J235" s="3190"/>
      <c r="K235" s="3190"/>
      <c r="L235" s="3190"/>
      <c r="M235" s="3190"/>
      <c r="N235" s="3190"/>
      <c r="O235" s="3190"/>
      <c r="P235" s="3190"/>
      <c r="Q235" s="3190"/>
      <c r="R235" s="3190"/>
      <c r="S235" s="3190"/>
      <c r="T235" s="3190"/>
      <c r="U235" s="3190"/>
    </row>
    <row r="236" spans="1:21" s="960" customFormat="1" ht="14.25" customHeight="1">
      <c r="A236" s="3155" t="s">
        <v>1155</v>
      </c>
      <c r="B236" s="3155" t="s">
        <v>989</v>
      </c>
      <c r="C236" s="3155">
        <v>6650</v>
      </c>
      <c r="D236" s="3155">
        <v>6630</v>
      </c>
      <c r="E236" s="3155">
        <v>8330</v>
      </c>
      <c r="F236" s="3161">
        <v>1250</v>
      </c>
      <c r="G236" s="3161">
        <v>4070</v>
      </c>
      <c r="I236" s="971"/>
      <c r="J236" s="3190"/>
      <c r="K236" s="3190"/>
      <c r="L236" s="3190"/>
      <c r="M236" s="3190"/>
      <c r="N236" s="3190"/>
      <c r="O236" s="3190"/>
      <c r="P236" s="3190"/>
      <c r="Q236" s="3190"/>
      <c r="R236" s="3190"/>
      <c r="S236" s="3190"/>
      <c r="T236" s="3190"/>
      <c r="U236" s="3190"/>
    </row>
    <row r="237" spans="1:21" s="960" customFormat="1" ht="14.25" customHeight="1">
      <c r="A237" s="3155" t="s">
        <v>1155</v>
      </c>
      <c r="B237" s="3155" t="s">
        <v>998</v>
      </c>
      <c r="C237" s="3155">
        <v>5850</v>
      </c>
      <c r="D237" s="3155">
        <v>5820</v>
      </c>
      <c r="E237" s="3155">
        <v>7260</v>
      </c>
      <c r="F237" s="3161">
        <v>1140</v>
      </c>
      <c r="G237" s="3161">
        <v>3570</v>
      </c>
      <c r="I237" s="971"/>
      <c r="J237" s="3190"/>
      <c r="K237" s="3190"/>
      <c r="L237" s="3190"/>
      <c r="M237" s="3190"/>
      <c r="N237" s="3190"/>
      <c r="O237" s="3190"/>
      <c r="P237" s="3190"/>
      <c r="Q237" s="3190"/>
      <c r="R237" s="3190"/>
      <c r="S237" s="3190"/>
      <c r="T237" s="3190"/>
      <c r="U237" s="3190"/>
    </row>
    <row r="238" spans="1:21" s="960" customFormat="1" ht="14.25" customHeight="1">
      <c r="A238" s="3155" t="s">
        <v>1155</v>
      </c>
      <c r="B238" s="3155" t="s">
        <v>2917</v>
      </c>
      <c r="C238" s="3155">
        <v>6920</v>
      </c>
      <c r="D238" s="3155">
        <v>6890</v>
      </c>
      <c r="E238" s="3155">
        <v>8640</v>
      </c>
      <c r="F238" s="3161">
        <v>1310</v>
      </c>
      <c r="G238" s="3161">
        <v>4230</v>
      </c>
      <c r="I238" s="971"/>
      <c r="J238" s="3190"/>
      <c r="K238" s="3190"/>
      <c r="L238" s="3190"/>
      <c r="M238" s="3190"/>
      <c r="N238" s="3190"/>
      <c r="O238" s="3190"/>
      <c r="P238" s="3190"/>
      <c r="Q238" s="3190"/>
      <c r="R238" s="3190"/>
      <c r="S238" s="3190"/>
      <c r="T238" s="3190"/>
      <c r="U238" s="3190"/>
    </row>
    <row r="239" spans="1:21" s="960" customFormat="1" ht="14.25" customHeight="1">
      <c r="A239" s="3155" t="s">
        <v>1155</v>
      </c>
      <c r="B239" s="3155" t="s">
        <v>2918</v>
      </c>
      <c r="C239" s="3155">
        <v>6780</v>
      </c>
      <c r="D239" s="3155">
        <v>6750</v>
      </c>
      <c r="E239" s="3155">
        <v>8440</v>
      </c>
      <c r="F239" s="3161">
        <v>1160</v>
      </c>
      <c r="G239" s="3161">
        <v>4140</v>
      </c>
      <c r="I239" s="971"/>
      <c r="J239" s="3190"/>
      <c r="K239" s="3190"/>
      <c r="L239" s="3190"/>
      <c r="M239" s="3190"/>
      <c r="N239" s="3190"/>
      <c r="O239" s="3190"/>
      <c r="P239" s="3190"/>
      <c r="Q239" s="3190"/>
      <c r="R239" s="3190"/>
      <c r="S239" s="3190"/>
      <c r="T239" s="3190"/>
      <c r="U239" s="3190"/>
    </row>
    <row r="240" spans="1:21" s="960" customFormat="1" ht="14.25" customHeight="1">
      <c r="A240" s="3155" t="s">
        <v>1155</v>
      </c>
      <c r="B240" s="3155" t="s">
        <v>2919</v>
      </c>
      <c r="C240" s="3155">
        <v>5420</v>
      </c>
      <c r="D240" s="3155">
        <v>5380</v>
      </c>
      <c r="E240" s="3155">
        <v>6640</v>
      </c>
      <c r="F240" s="3161">
        <v>1020</v>
      </c>
      <c r="G240" s="3161">
        <v>3300</v>
      </c>
      <c r="I240" s="971"/>
      <c r="J240" s="3190"/>
      <c r="K240" s="3190"/>
      <c r="L240" s="3190"/>
      <c r="M240" s="3190"/>
      <c r="N240" s="3190"/>
      <c r="O240" s="3190"/>
      <c r="P240" s="3190"/>
      <c r="Q240" s="3190"/>
      <c r="R240" s="3190"/>
      <c r="S240" s="3190"/>
      <c r="T240" s="3190"/>
      <c r="U240" s="3190"/>
    </row>
    <row r="241" spans="1:21" s="960" customFormat="1" ht="14.25" customHeight="1">
      <c r="A241" s="3155" t="s">
        <v>1155</v>
      </c>
      <c r="B241" s="3155" t="s">
        <v>2920</v>
      </c>
      <c r="C241" s="3155">
        <v>6660</v>
      </c>
      <c r="D241" s="3155">
        <v>6640</v>
      </c>
      <c r="E241" s="3155">
        <v>8340</v>
      </c>
      <c r="F241" s="3161">
        <v>1130</v>
      </c>
      <c r="G241" s="3161">
        <v>4080</v>
      </c>
      <c r="I241" s="971"/>
      <c r="J241" s="3190"/>
      <c r="K241" s="3190"/>
      <c r="L241" s="3190"/>
      <c r="M241" s="3190"/>
      <c r="N241" s="3190"/>
      <c r="O241" s="3190"/>
      <c r="P241" s="3190"/>
      <c r="Q241" s="3190"/>
      <c r="R241" s="3190"/>
      <c r="S241" s="3190"/>
      <c r="T241" s="3190"/>
      <c r="U241" s="3190"/>
    </row>
    <row r="242" spans="1:21" s="960" customFormat="1" ht="14.25" customHeight="1">
      <c r="A242" s="3155" t="s">
        <v>1155</v>
      </c>
      <c r="B242" s="3155" t="s">
        <v>1028</v>
      </c>
      <c r="C242" s="3155">
        <v>6580</v>
      </c>
      <c r="D242" s="3155">
        <v>6550</v>
      </c>
      <c r="E242" s="3155">
        <v>8090</v>
      </c>
      <c r="F242" s="3161">
        <v>1240</v>
      </c>
      <c r="G242" s="3161">
        <v>4020</v>
      </c>
      <c r="I242" s="971"/>
      <c r="J242" s="3190"/>
      <c r="K242" s="3190"/>
      <c r="L242" s="3190"/>
      <c r="M242" s="3190"/>
      <c r="N242" s="3190"/>
      <c r="O242" s="3190"/>
      <c r="P242" s="3190"/>
      <c r="Q242" s="3190"/>
      <c r="R242" s="3190"/>
      <c r="S242" s="3190"/>
      <c r="T242" s="3190"/>
      <c r="U242" s="3190"/>
    </row>
    <row r="243" spans="1:21" s="960" customFormat="1" ht="14.25" customHeight="1">
      <c r="A243" s="3155" t="s">
        <v>1155</v>
      </c>
      <c r="B243" s="3155" t="s">
        <v>1038</v>
      </c>
      <c r="C243" s="3155">
        <v>6000</v>
      </c>
      <c r="D243" s="3155">
        <v>5970</v>
      </c>
      <c r="E243" s="3155">
        <v>7370</v>
      </c>
      <c r="F243" s="3161">
        <v>1070</v>
      </c>
      <c r="G243" s="3161">
        <v>3670</v>
      </c>
      <c r="I243" s="971"/>
      <c r="J243" s="3190"/>
      <c r="K243" s="3190"/>
      <c r="L243" s="3190"/>
      <c r="M243" s="3190"/>
      <c r="N243" s="3190"/>
      <c r="O243" s="3190"/>
      <c r="P243" s="3190"/>
      <c r="Q243" s="3190"/>
      <c r="R243" s="3190"/>
      <c r="S243" s="3190"/>
      <c r="T243" s="3190"/>
      <c r="U243" s="3190"/>
    </row>
    <row r="244" spans="1:21" s="960" customFormat="1" ht="14.25" customHeight="1">
      <c r="A244" s="3155" t="s">
        <v>1155</v>
      </c>
      <c r="B244" s="3155" t="s">
        <v>2921</v>
      </c>
      <c r="C244" s="3155">
        <v>5840</v>
      </c>
      <c r="D244" s="3155">
        <v>5810</v>
      </c>
      <c r="E244" s="3155">
        <v>7240</v>
      </c>
      <c r="F244" s="3161">
        <v>1100</v>
      </c>
      <c r="G244" s="3168">
        <v>3560</v>
      </c>
      <c r="I244" s="971"/>
      <c r="J244" s="3190"/>
      <c r="K244" s="3190"/>
      <c r="L244" s="3190"/>
      <c r="M244" s="3190"/>
      <c r="N244" s="3190"/>
      <c r="O244" s="3190"/>
      <c r="P244" s="3190"/>
      <c r="Q244" s="3190"/>
      <c r="R244" s="3190"/>
      <c r="S244" s="3190"/>
      <c r="T244" s="3190"/>
      <c r="U244" s="3190"/>
    </row>
    <row r="245" spans="1:21" s="960" customFormat="1" ht="14.25" customHeight="1">
      <c r="A245" s="1216" t="s">
        <v>1155</v>
      </c>
      <c r="B245" s="1216" t="s">
        <v>1053</v>
      </c>
      <c r="C245" s="1216">
        <v>6040</v>
      </c>
      <c r="D245" s="1216">
        <v>6000</v>
      </c>
      <c r="E245" s="1216">
        <v>7420</v>
      </c>
      <c r="F245" s="3156">
        <v>1140</v>
      </c>
      <c r="G245" s="3156">
        <v>3690</v>
      </c>
      <c r="I245" s="971"/>
      <c r="J245" s="3190"/>
      <c r="K245" s="3190"/>
      <c r="L245" s="3190"/>
      <c r="M245" s="3190"/>
      <c r="N245" s="3190"/>
      <c r="O245" s="3190"/>
      <c r="P245" s="3190"/>
      <c r="Q245" s="3190"/>
      <c r="R245" s="3190"/>
      <c r="S245" s="3190"/>
      <c r="T245" s="3190"/>
      <c r="U245" s="3190"/>
    </row>
    <row r="246" spans="1:21" s="960" customFormat="1" ht="14.25" customHeight="1">
      <c r="A246" s="3155" t="s">
        <v>1155</v>
      </c>
      <c r="B246" s="3155" t="s">
        <v>1060</v>
      </c>
      <c r="C246" s="3155">
        <v>5890</v>
      </c>
      <c r="D246" s="3155">
        <v>5860</v>
      </c>
      <c r="E246" s="3155">
        <v>7300</v>
      </c>
      <c r="F246" s="3161">
        <v>1110</v>
      </c>
      <c r="G246" s="3161">
        <v>3590</v>
      </c>
      <c r="I246" s="971"/>
      <c r="J246" s="3190"/>
      <c r="K246" s="3190"/>
      <c r="L246" s="3190"/>
      <c r="M246" s="3190"/>
      <c r="N246" s="3190"/>
      <c r="O246" s="3190"/>
      <c r="P246" s="3190"/>
      <c r="Q246" s="3190"/>
      <c r="R246" s="3190"/>
      <c r="S246" s="3190"/>
      <c r="T246" s="3190"/>
      <c r="U246" s="3190"/>
    </row>
    <row r="247" spans="1:21" s="960" customFormat="1" ht="14.25" customHeight="1">
      <c r="A247" s="3155" t="s">
        <v>1155</v>
      </c>
      <c r="B247" s="3155" t="s">
        <v>2922</v>
      </c>
      <c r="C247" s="3155">
        <v>6480</v>
      </c>
      <c r="D247" s="3155">
        <v>6450</v>
      </c>
      <c r="E247" s="3155">
        <v>8010</v>
      </c>
      <c r="F247" s="3161">
        <v>1170</v>
      </c>
      <c r="G247" s="3161">
        <v>3960</v>
      </c>
      <c r="I247" s="971"/>
      <c r="J247" s="3190"/>
      <c r="K247" s="3190"/>
      <c r="L247" s="3190"/>
      <c r="M247" s="3190"/>
      <c r="N247" s="3190"/>
      <c r="O247" s="3190"/>
      <c r="P247" s="3190"/>
      <c r="Q247" s="3190"/>
      <c r="R247" s="3190"/>
      <c r="S247" s="3190"/>
      <c r="T247" s="3190"/>
      <c r="U247" s="3190"/>
    </row>
    <row r="248" spans="1:21" s="960" customFormat="1" ht="14.25" customHeight="1">
      <c r="A248" s="3155" t="s">
        <v>1155</v>
      </c>
      <c r="B248" s="3155" t="s">
        <v>1075</v>
      </c>
      <c r="C248" s="3155">
        <v>6860</v>
      </c>
      <c r="D248" s="3155">
        <v>6840</v>
      </c>
      <c r="E248" s="3155">
        <v>8520</v>
      </c>
      <c r="F248" s="3161">
        <v>1240</v>
      </c>
      <c r="G248" s="3161">
        <v>4200</v>
      </c>
      <c r="I248" s="971"/>
      <c r="J248" s="3190"/>
      <c r="K248" s="3190"/>
      <c r="L248" s="3190"/>
      <c r="M248" s="3190"/>
      <c r="N248" s="3190"/>
      <c r="O248" s="3190"/>
      <c r="P248" s="3190"/>
      <c r="Q248" s="3190"/>
      <c r="R248" s="3190"/>
      <c r="S248" s="3190"/>
      <c r="T248" s="3190"/>
      <c r="U248" s="3190"/>
    </row>
    <row r="249" spans="1:21" s="960" customFormat="1" ht="14.25" customHeight="1">
      <c r="A249" s="3155" t="s">
        <v>1155</v>
      </c>
      <c r="B249" s="3155" t="s">
        <v>2923</v>
      </c>
      <c r="C249" s="3155">
        <v>7180</v>
      </c>
      <c r="D249" s="3155">
        <v>7140</v>
      </c>
      <c r="E249" s="3155">
        <v>8900</v>
      </c>
      <c r="F249" s="3161">
        <v>1350</v>
      </c>
      <c r="G249" s="3161">
        <v>4380</v>
      </c>
      <c r="I249" s="971"/>
      <c r="J249" s="3190"/>
      <c r="K249" s="3190"/>
      <c r="L249" s="3190"/>
      <c r="M249" s="3190"/>
      <c r="N249" s="3190"/>
      <c r="O249" s="3190"/>
      <c r="P249" s="3190"/>
      <c r="Q249" s="3190"/>
      <c r="R249" s="3190"/>
      <c r="S249" s="3190"/>
      <c r="T249" s="3190"/>
      <c r="U249" s="3190"/>
    </row>
    <row r="250" spans="1:21" s="960" customFormat="1" ht="14.25" customHeight="1">
      <c r="A250" s="3155" t="s">
        <v>1155</v>
      </c>
      <c r="B250" s="3155" t="s">
        <v>1089</v>
      </c>
      <c r="C250" s="3155">
        <v>6880</v>
      </c>
      <c r="D250" s="3155">
        <v>6860</v>
      </c>
      <c r="E250" s="3155">
        <v>8550</v>
      </c>
      <c r="F250" s="3161">
        <v>1220</v>
      </c>
      <c r="G250" s="3161">
        <v>4210</v>
      </c>
      <c r="I250" s="971"/>
      <c r="J250" s="3190"/>
      <c r="K250" s="3190"/>
      <c r="L250" s="3190"/>
      <c r="M250" s="3190"/>
      <c r="N250" s="3190"/>
      <c r="O250" s="3190"/>
      <c r="P250" s="3190"/>
      <c r="Q250" s="3190"/>
      <c r="R250" s="3190"/>
      <c r="S250" s="3190"/>
      <c r="T250" s="3190"/>
      <c r="U250" s="3190"/>
    </row>
    <row r="251" spans="1:21" s="960" customFormat="1" ht="14.25" customHeight="1">
      <c r="A251" s="3155" t="s">
        <v>1155</v>
      </c>
      <c r="B251" s="3155" t="s">
        <v>1097</v>
      </c>
      <c r="C251" s="3155"/>
      <c r="D251" s="3155"/>
      <c r="E251" s="3155"/>
      <c r="F251" s="3161">
        <v>1100</v>
      </c>
      <c r="G251" s="3161"/>
      <c r="I251" s="971"/>
      <c r="J251" s="3190"/>
      <c r="K251" s="3190"/>
      <c r="L251" s="3190"/>
      <c r="M251" s="3190"/>
      <c r="N251" s="3190"/>
      <c r="O251" s="3190"/>
      <c r="P251" s="3190"/>
      <c r="Q251" s="3190"/>
      <c r="R251" s="3190"/>
      <c r="S251" s="3190"/>
      <c r="T251" s="3190"/>
      <c r="U251" s="3190"/>
    </row>
    <row r="252" spans="1:21" s="960" customFormat="1" ht="14.25" customHeight="1">
      <c r="A252" s="3155" t="s">
        <v>1155</v>
      </c>
      <c r="B252" s="3155" t="s">
        <v>2924</v>
      </c>
      <c r="C252" s="3155">
        <v>7240</v>
      </c>
      <c r="D252" s="3155">
        <v>7200</v>
      </c>
      <c r="E252" s="3155">
        <v>9040</v>
      </c>
      <c r="F252" s="3161">
        <v>1380</v>
      </c>
      <c r="G252" s="3161">
        <v>4420</v>
      </c>
      <c r="I252" s="971"/>
      <c r="J252" s="3190"/>
      <c r="K252" s="3190"/>
      <c r="L252" s="3190"/>
      <c r="M252" s="3190"/>
      <c r="N252" s="3190"/>
      <c r="O252" s="3190"/>
      <c r="P252" s="3190"/>
      <c r="Q252" s="3190"/>
      <c r="R252" s="3190"/>
      <c r="S252" s="3190"/>
      <c r="T252" s="3190"/>
      <c r="U252" s="3190"/>
    </row>
    <row r="253" spans="1:21" s="960" customFormat="1" ht="14.25" customHeight="1">
      <c r="A253" s="3155" t="s">
        <v>1155</v>
      </c>
      <c r="B253" s="3155" t="s">
        <v>1132</v>
      </c>
      <c r="C253" s="3155">
        <v>6670</v>
      </c>
      <c r="D253" s="3155">
        <v>6650</v>
      </c>
      <c r="E253" s="3155">
        <v>8350</v>
      </c>
      <c r="F253" s="3161">
        <v>1260</v>
      </c>
      <c r="G253" s="3161">
        <v>4080</v>
      </c>
      <c r="I253" s="971"/>
      <c r="J253" s="3190"/>
      <c r="K253" s="3190"/>
      <c r="L253" s="3190"/>
      <c r="M253" s="3190"/>
      <c r="N253" s="3190"/>
      <c r="O253" s="3190"/>
      <c r="P253" s="3190"/>
      <c r="Q253" s="3190"/>
      <c r="R253" s="3190"/>
      <c r="S253" s="3190"/>
      <c r="T253" s="3190"/>
      <c r="U253" s="3190"/>
    </row>
    <row r="254" spans="1:21" s="960" customFormat="1" ht="14.25" customHeight="1">
      <c r="A254" s="3155" t="s">
        <v>1155</v>
      </c>
      <c r="B254" s="3155" t="s">
        <v>1135</v>
      </c>
      <c r="C254" s="3164">
        <v>7630</v>
      </c>
      <c r="D254" s="3164">
        <v>7590</v>
      </c>
      <c r="E254" s="3164">
        <v>9380</v>
      </c>
      <c r="F254" s="3163">
        <v>1320</v>
      </c>
      <c r="G254" s="3161">
        <v>4660</v>
      </c>
      <c r="I254" s="971"/>
      <c r="J254" s="3190"/>
      <c r="K254" s="3190"/>
      <c r="L254" s="3190"/>
      <c r="M254" s="3190"/>
      <c r="N254" s="3190"/>
      <c r="O254" s="3190"/>
      <c r="P254" s="3190"/>
      <c r="Q254" s="3190"/>
      <c r="R254" s="3190"/>
      <c r="S254" s="3190"/>
      <c r="T254" s="3190"/>
      <c r="U254" s="3190"/>
    </row>
    <row r="255" spans="1:21" s="960" customFormat="1" ht="14.25" customHeight="1">
      <c r="A255" s="3155" t="s">
        <v>1155</v>
      </c>
      <c r="B255" s="3155" t="s">
        <v>1138</v>
      </c>
      <c r="C255" s="3164">
        <v>6940</v>
      </c>
      <c r="D255" s="3164">
        <v>6890</v>
      </c>
      <c r="E255" s="3164">
        <v>8650</v>
      </c>
      <c r="F255" s="3163">
        <v>1210</v>
      </c>
      <c r="G255" s="3161">
        <v>4230</v>
      </c>
      <c r="I255" s="971"/>
      <c r="J255" s="3190"/>
      <c r="K255" s="3190"/>
      <c r="L255" s="3190"/>
      <c r="M255" s="3190"/>
      <c r="N255" s="3190"/>
      <c r="O255" s="3190"/>
      <c r="P255" s="3190"/>
      <c r="Q255" s="3190"/>
      <c r="R255" s="3190"/>
      <c r="S255" s="3190"/>
      <c r="T255" s="3190"/>
      <c r="U255" s="3190"/>
    </row>
    <row r="256" spans="1:21" s="960" customFormat="1" ht="14.25" customHeight="1">
      <c r="A256" s="3155" t="s">
        <v>1155</v>
      </c>
      <c r="B256" s="3155" t="s">
        <v>2925</v>
      </c>
      <c r="C256" s="3155">
        <v>7520</v>
      </c>
      <c r="D256" s="3155">
        <v>7490</v>
      </c>
      <c r="E256" s="3155">
        <v>9240</v>
      </c>
      <c r="F256" s="3161">
        <v>1270</v>
      </c>
      <c r="G256" s="3161">
        <v>4590</v>
      </c>
      <c r="I256" s="971"/>
      <c r="J256" s="3190"/>
      <c r="K256" s="3190"/>
      <c r="L256" s="3190"/>
      <c r="M256" s="3190"/>
      <c r="N256" s="3190"/>
      <c r="O256" s="3190"/>
      <c r="P256" s="3190"/>
      <c r="Q256" s="3190"/>
      <c r="R256" s="3190"/>
      <c r="S256" s="3190"/>
      <c r="T256" s="3190"/>
      <c r="U256" s="3190"/>
    </row>
    <row r="257" spans="1:21" s="960" customFormat="1" ht="14.25" customHeight="1">
      <c r="A257" s="3155" t="s">
        <v>1155</v>
      </c>
      <c r="B257" s="3155" t="s">
        <v>1124</v>
      </c>
      <c r="C257" s="3155">
        <v>6280</v>
      </c>
      <c r="D257" s="3155">
        <v>6230</v>
      </c>
      <c r="E257" s="3155">
        <v>7740</v>
      </c>
      <c r="F257" s="3161">
        <v>1080</v>
      </c>
      <c r="G257" s="3161">
        <v>3830</v>
      </c>
      <c r="I257" s="971"/>
      <c r="J257" s="3190"/>
      <c r="K257" s="3190"/>
      <c r="L257" s="3190"/>
      <c r="M257" s="3190"/>
      <c r="N257" s="3190"/>
      <c r="O257" s="3190"/>
      <c r="P257" s="3190"/>
      <c r="Q257" s="3190"/>
      <c r="R257" s="3190"/>
      <c r="S257" s="3190"/>
      <c r="T257" s="3190"/>
      <c r="U257" s="3190"/>
    </row>
    <row r="258" spans="1:21" s="960" customFormat="1" ht="14.25" customHeight="1">
      <c r="A258" s="3155" t="s">
        <v>1155</v>
      </c>
      <c r="B258" s="3155" t="s">
        <v>2926</v>
      </c>
      <c r="C258" s="3155">
        <v>6190</v>
      </c>
      <c r="D258" s="3155">
        <v>6160</v>
      </c>
      <c r="E258" s="3155">
        <v>7680</v>
      </c>
      <c r="F258" s="3161">
        <v>1170</v>
      </c>
      <c r="G258" s="3161">
        <v>3780</v>
      </c>
      <c r="I258" s="971"/>
      <c r="J258" s="3190"/>
      <c r="K258" s="3190"/>
      <c r="L258" s="3190"/>
      <c r="M258" s="3190"/>
      <c r="N258" s="3190"/>
      <c r="O258" s="3190"/>
      <c r="P258" s="3190"/>
      <c r="Q258" s="3190"/>
      <c r="R258" s="3190"/>
      <c r="S258" s="3190"/>
      <c r="T258" s="3190"/>
      <c r="U258" s="3190"/>
    </row>
    <row r="259" spans="1:21" s="960" customFormat="1" ht="14.25" customHeight="1">
      <c r="A259" s="3155" t="s">
        <v>1155</v>
      </c>
      <c r="B259" s="3155" t="s">
        <v>2927</v>
      </c>
      <c r="C259" s="3155">
        <v>7610</v>
      </c>
      <c r="D259" s="3155">
        <v>7570</v>
      </c>
      <c r="E259" s="3155">
        <v>9350</v>
      </c>
      <c r="F259" s="3161">
        <v>1350</v>
      </c>
      <c r="G259" s="3161">
        <v>4650</v>
      </c>
      <c r="I259" s="971"/>
      <c r="J259" s="3190"/>
      <c r="K259" s="3190"/>
      <c r="L259" s="3190"/>
      <c r="M259" s="3190"/>
      <c r="N259" s="3190"/>
      <c r="O259" s="3190"/>
      <c r="P259" s="3190"/>
      <c r="Q259" s="3190"/>
      <c r="R259" s="3190"/>
      <c r="S259" s="3190"/>
      <c r="T259" s="3190"/>
      <c r="U259" s="3190"/>
    </row>
    <row r="260" spans="1:21" s="960" customFormat="1" ht="14.25" customHeight="1">
      <c r="A260" s="3155" t="s">
        <v>1155</v>
      </c>
      <c r="B260" s="3155" t="s">
        <v>2928</v>
      </c>
      <c r="C260" s="3155">
        <v>6920</v>
      </c>
      <c r="D260" s="3155">
        <v>6880</v>
      </c>
      <c r="E260" s="3155">
        <v>8380</v>
      </c>
      <c r="F260" s="3161">
        <v>1160</v>
      </c>
      <c r="G260" s="3161">
        <v>4220</v>
      </c>
      <c r="I260" s="971"/>
      <c r="J260" s="3190"/>
      <c r="K260" s="3190"/>
      <c r="L260" s="3190"/>
      <c r="M260" s="3190"/>
      <c r="N260" s="3190"/>
      <c r="O260" s="3190"/>
      <c r="P260" s="3190"/>
      <c r="Q260" s="3190"/>
      <c r="R260" s="3190"/>
      <c r="S260" s="3190"/>
      <c r="T260" s="3190"/>
      <c r="U260" s="3190"/>
    </row>
    <row r="261" spans="1:21" s="960" customFormat="1" ht="14.25" customHeight="1">
      <c r="A261" s="3155" t="s">
        <v>1155</v>
      </c>
      <c r="B261" s="3155" t="s">
        <v>2929</v>
      </c>
      <c r="C261" s="3155">
        <v>6850</v>
      </c>
      <c r="D261" s="3155">
        <v>6810</v>
      </c>
      <c r="E261" s="3155">
        <v>8290</v>
      </c>
      <c r="F261" s="3161">
        <v>1130</v>
      </c>
      <c r="G261" s="3161">
        <v>4180</v>
      </c>
      <c r="I261" s="971"/>
      <c r="J261" s="3190"/>
      <c r="K261" s="3190"/>
      <c r="L261" s="3190"/>
      <c r="M261" s="3190"/>
      <c r="N261" s="3190"/>
      <c r="O261" s="3190"/>
      <c r="P261" s="3190"/>
      <c r="Q261" s="3190"/>
      <c r="R261" s="3190"/>
      <c r="S261" s="3190"/>
      <c r="T261" s="3190"/>
      <c r="U261" s="3190"/>
    </row>
    <row r="262" spans="1:21" s="960" customFormat="1" ht="14.25" customHeight="1">
      <c r="A262" s="3155" t="s">
        <v>1155</v>
      </c>
      <c r="B262" s="3155" t="s">
        <v>2930</v>
      </c>
      <c r="C262" s="3155">
        <v>5860</v>
      </c>
      <c r="D262" s="3155">
        <v>5820</v>
      </c>
      <c r="E262" s="3155">
        <v>7640</v>
      </c>
      <c r="F262" s="3161">
        <v>1070</v>
      </c>
      <c r="G262" s="3163">
        <v>3570</v>
      </c>
      <c r="I262" s="971"/>
      <c r="J262" s="3190"/>
      <c r="K262" s="3190"/>
      <c r="L262" s="3190"/>
      <c r="M262" s="3190"/>
      <c r="N262" s="3190"/>
      <c r="O262" s="3190"/>
      <c r="P262" s="3190"/>
      <c r="Q262" s="3190"/>
      <c r="R262" s="3190"/>
      <c r="S262" s="3190"/>
      <c r="T262" s="3190"/>
      <c r="U262" s="3190"/>
    </row>
    <row r="263" spans="1:21" s="960" customFormat="1" ht="14.25" customHeight="1">
      <c r="A263" s="3155" t="s">
        <v>1155</v>
      </c>
      <c r="B263" s="3155" t="s">
        <v>2931</v>
      </c>
      <c r="C263" s="3155">
        <v>5870</v>
      </c>
      <c r="D263" s="3155">
        <v>5840</v>
      </c>
      <c r="E263" s="3155">
        <v>7270</v>
      </c>
      <c r="F263" s="3161">
        <v>1190</v>
      </c>
      <c r="G263" s="3161">
        <v>3580</v>
      </c>
      <c r="I263" s="971"/>
      <c r="J263" s="3190"/>
      <c r="K263" s="3190"/>
      <c r="L263" s="3190"/>
      <c r="M263" s="3190"/>
      <c r="N263" s="3190"/>
      <c r="O263" s="3190"/>
      <c r="P263" s="3190"/>
      <c r="Q263" s="3190"/>
      <c r="R263" s="3190"/>
      <c r="S263" s="3190"/>
      <c r="T263" s="3190"/>
      <c r="U263" s="3190"/>
    </row>
    <row r="264" spans="1:21" s="960" customFormat="1" ht="14.25" customHeight="1">
      <c r="A264" s="3155" t="s">
        <v>1155</v>
      </c>
      <c r="B264" s="3155" t="s">
        <v>1148</v>
      </c>
      <c r="C264" s="3155">
        <v>6190</v>
      </c>
      <c r="D264" s="3155">
        <v>6150</v>
      </c>
      <c r="E264" s="3155">
        <v>7660</v>
      </c>
      <c r="F264" s="3161">
        <v>1160</v>
      </c>
      <c r="G264" s="3161">
        <v>3770</v>
      </c>
      <c r="I264" s="971"/>
      <c r="J264" s="3190"/>
      <c r="K264" s="3190"/>
      <c r="L264" s="3190"/>
      <c r="M264" s="3190"/>
      <c r="N264" s="3190"/>
      <c r="O264" s="3190"/>
      <c r="P264" s="3190"/>
      <c r="Q264" s="3190"/>
      <c r="R264" s="3190"/>
      <c r="S264" s="3190"/>
      <c r="T264" s="3190"/>
      <c r="U264" s="3190"/>
    </row>
    <row r="265" spans="1:21" s="960" customFormat="1" ht="14.25" customHeight="1">
      <c r="A265" s="3155" t="s">
        <v>1155</v>
      </c>
      <c r="B265" s="3155" t="s">
        <v>2932</v>
      </c>
      <c r="C265" s="3155"/>
      <c r="D265" s="3155"/>
      <c r="E265" s="3155"/>
      <c r="F265" s="3161">
        <v>1500</v>
      </c>
      <c r="G265" s="3161"/>
      <c r="I265" s="971"/>
      <c r="J265" s="3190"/>
      <c r="K265" s="3190"/>
      <c r="L265" s="3190"/>
      <c r="M265" s="3190"/>
      <c r="N265" s="3190"/>
      <c r="O265" s="3190"/>
      <c r="P265" s="3190"/>
      <c r="Q265" s="3190"/>
      <c r="R265" s="3190"/>
      <c r="S265" s="3190"/>
      <c r="T265" s="3190"/>
      <c r="U265" s="3190"/>
    </row>
    <row r="266" spans="1:21" s="960" customFormat="1" ht="14.25" customHeight="1">
      <c r="A266" s="3155" t="s">
        <v>1155</v>
      </c>
      <c r="B266" s="3155" t="s">
        <v>2933</v>
      </c>
      <c r="C266" s="3155"/>
      <c r="D266" s="3155"/>
      <c r="E266" s="3155"/>
      <c r="F266" s="3161">
        <v>1500</v>
      </c>
      <c r="G266" s="3161"/>
      <c r="I266" s="971"/>
      <c r="J266" s="3190"/>
      <c r="K266" s="3190"/>
      <c r="L266" s="3190"/>
      <c r="M266" s="3190"/>
      <c r="N266" s="3190"/>
      <c r="O266" s="3190"/>
      <c r="P266" s="3190"/>
      <c r="Q266" s="3190"/>
      <c r="R266" s="3190"/>
      <c r="S266" s="3190"/>
      <c r="T266" s="3190"/>
      <c r="U266" s="3190"/>
    </row>
    <row r="267" spans="1:21" s="960" customFormat="1" ht="14.25" customHeight="1">
      <c r="A267" s="3155" t="s">
        <v>1155</v>
      </c>
      <c r="B267" s="3155" t="s">
        <v>2934</v>
      </c>
      <c r="C267" s="3155"/>
      <c r="D267" s="3155"/>
      <c r="E267" s="3155"/>
      <c r="F267" s="3161">
        <v>1500</v>
      </c>
      <c r="G267" s="3163"/>
      <c r="I267" s="971"/>
      <c r="J267" s="3190"/>
      <c r="K267" s="3190"/>
      <c r="L267" s="3190"/>
      <c r="M267" s="3190"/>
      <c r="N267" s="3190"/>
      <c r="O267" s="3190"/>
      <c r="P267" s="3190"/>
      <c r="Q267" s="3190"/>
      <c r="R267" s="3190"/>
      <c r="S267" s="3190"/>
      <c r="T267" s="3190"/>
      <c r="U267" s="3190"/>
    </row>
    <row r="268" spans="1:21" s="960" customFormat="1" ht="14.25" customHeight="1">
      <c r="A268" s="3155" t="s">
        <v>1155</v>
      </c>
      <c r="B268" s="3155" t="s">
        <v>2935</v>
      </c>
      <c r="C268" s="3155"/>
      <c r="D268" s="3155"/>
      <c r="E268" s="3155"/>
      <c r="F268" s="3161">
        <v>1290</v>
      </c>
      <c r="G268" s="3161"/>
      <c r="I268" s="971"/>
      <c r="J268" s="3190"/>
      <c r="K268" s="3190"/>
      <c r="L268" s="3190"/>
      <c r="M268" s="3190"/>
      <c r="N268" s="3190"/>
      <c r="O268" s="3190"/>
      <c r="P268" s="3190"/>
      <c r="Q268" s="3190"/>
      <c r="R268" s="3190"/>
      <c r="S268" s="3190"/>
      <c r="T268" s="3190"/>
      <c r="U268" s="3190"/>
    </row>
    <row r="269" spans="1:21" s="960" customFormat="1" ht="14.25" customHeight="1">
      <c r="A269" s="3155" t="s">
        <v>1155</v>
      </c>
      <c r="B269" s="3155" t="s">
        <v>2936</v>
      </c>
      <c r="C269" s="3155"/>
      <c r="D269" s="3155"/>
      <c r="E269" s="3155"/>
      <c r="F269" s="3161">
        <v>1150</v>
      </c>
      <c r="G269" s="3161"/>
      <c r="I269" s="971"/>
      <c r="J269" s="3190"/>
      <c r="K269" s="3190"/>
      <c r="L269" s="3190"/>
      <c r="M269" s="3190"/>
      <c r="N269" s="3190"/>
      <c r="O269" s="3190"/>
      <c r="P269" s="3190"/>
      <c r="Q269" s="3190"/>
      <c r="R269" s="3190"/>
      <c r="S269" s="3190"/>
      <c r="T269" s="3190"/>
      <c r="U269" s="3190"/>
    </row>
    <row r="270" spans="1:21" s="960" customFormat="1" ht="14.25" customHeight="1">
      <c r="A270" s="3155" t="s">
        <v>1155</v>
      </c>
      <c r="B270" s="3155" t="s">
        <v>2937</v>
      </c>
      <c r="C270" s="3155"/>
      <c r="D270" s="3155"/>
      <c r="E270" s="3155"/>
      <c r="F270" s="3161">
        <v>1380</v>
      </c>
      <c r="G270" s="3161"/>
      <c r="I270" s="971"/>
      <c r="J270" s="3190"/>
      <c r="K270" s="3190"/>
      <c r="L270" s="3190"/>
      <c r="M270" s="3190"/>
      <c r="N270" s="3190"/>
      <c r="O270" s="3190"/>
      <c r="P270" s="3190"/>
      <c r="Q270" s="3190"/>
      <c r="R270" s="3190"/>
      <c r="S270" s="3190"/>
      <c r="T270" s="3190"/>
      <c r="U270" s="3190"/>
    </row>
    <row r="271" spans="1:21" s="960" customFormat="1" ht="14.25" customHeight="1">
      <c r="A271" s="3155" t="s">
        <v>1155</v>
      </c>
      <c r="B271" s="3155" t="s">
        <v>2938</v>
      </c>
      <c r="C271" s="3155"/>
      <c r="D271" s="3155"/>
      <c r="E271" s="3155"/>
      <c r="F271" s="3161">
        <v>1460</v>
      </c>
      <c r="G271" s="3161"/>
      <c r="I271" s="971"/>
      <c r="J271" s="3190"/>
      <c r="K271" s="3190"/>
      <c r="L271" s="3190"/>
      <c r="M271" s="3190"/>
      <c r="N271" s="3190"/>
      <c r="O271" s="3190"/>
      <c r="P271" s="3190"/>
      <c r="Q271" s="3190"/>
      <c r="R271" s="3190"/>
      <c r="S271" s="3190"/>
      <c r="T271" s="3190"/>
      <c r="U271" s="3190"/>
    </row>
    <row r="272" spans="1:21" s="960" customFormat="1" ht="14.25" customHeight="1">
      <c r="A272" s="3155" t="s">
        <v>1155</v>
      </c>
      <c r="B272" s="3155" t="s">
        <v>2939</v>
      </c>
      <c r="C272" s="3164"/>
      <c r="D272" s="3164"/>
      <c r="E272" s="3164"/>
      <c r="F272" s="3163">
        <v>1460</v>
      </c>
      <c r="G272" s="3161"/>
      <c r="I272" s="971"/>
      <c r="J272" s="3190"/>
      <c r="K272" s="3190"/>
      <c r="L272" s="3190"/>
      <c r="M272" s="3190"/>
      <c r="N272" s="3190"/>
      <c r="O272" s="3190"/>
      <c r="P272" s="3190"/>
      <c r="Q272" s="3190"/>
      <c r="R272" s="3190"/>
      <c r="S272" s="3190"/>
      <c r="T272" s="3190"/>
      <c r="U272" s="3190"/>
    </row>
    <row r="273" spans="1:21" s="960" customFormat="1" ht="14.25" customHeight="1">
      <c r="A273" s="3155" t="s">
        <v>1155</v>
      </c>
      <c r="B273" s="3155" t="s">
        <v>2940</v>
      </c>
      <c r="C273" s="3155"/>
      <c r="D273" s="3155"/>
      <c r="E273" s="3155"/>
      <c r="F273" s="3161">
        <v>1490</v>
      </c>
      <c r="G273" s="3161"/>
      <c r="I273" s="971"/>
      <c r="J273" s="3190"/>
      <c r="K273" s="3190"/>
      <c r="L273" s="3190"/>
      <c r="M273" s="3190"/>
      <c r="N273" s="3190"/>
      <c r="O273" s="3190"/>
      <c r="P273" s="3190"/>
      <c r="Q273" s="3190"/>
      <c r="R273" s="3190"/>
      <c r="S273" s="3190"/>
      <c r="T273" s="3190"/>
      <c r="U273" s="3190"/>
    </row>
    <row r="274" spans="1:21" s="960" customFormat="1" ht="14.25" customHeight="1">
      <c r="A274" s="3155" t="s">
        <v>1155</v>
      </c>
      <c r="B274" s="3155" t="s">
        <v>2941</v>
      </c>
      <c r="C274" s="3155"/>
      <c r="D274" s="3155"/>
      <c r="E274" s="3155"/>
      <c r="F274" s="3161">
        <v>1490</v>
      </c>
      <c r="G274" s="3161"/>
      <c r="I274" s="971"/>
      <c r="J274" s="3190"/>
      <c r="K274" s="3190"/>
      <c r="L274" s="3190"/>
      <c r="M274" s="3190"/>
      <c r="N274" s="3190"/>
      <c r="O274" s="3190"/>
      <c r="P274" s="3190"/>
      <c r="Q274" s="3190"/>
      <c r="R274" s="3190"/>
      <c r="S274" s="3190"/>
      <c r="T274" s="3190"/>
      <c r="U274" s="3190"/>
    </row>
    <row r="275" spans="1:21" s="960" customFormat="1" ht="14.25" customHeight="1">
      <c r="A275" s="3155" t="s">
        <v>1155</v>
      </c>
      <c r="B275" s="3155" t="s">
        <v>2942</v>
      </c>
      <c r="C275" s="3155"/>
      <c r="D275" s="3155"/>
      <c r="E275" s="3155"/>
      <c r="F275" s="3161">
        <v>1220</v>
      </c>
      <c r="G275" s="3161"/>
      <c r="I275" s="971"/>
      <c r="J275" s="3190"/>
      <c r="K275" s="3190"/>
      <c r="L275" s="3190"/>
      <c r="M275" s="3190"/>
      <c r="N275" s="3190"/>
      <c r="O275" s="3190"/>
      <c r="P275" s="3190"/>
      <c r="Q275" s="3190"/>
      <c r="R275" s="3190"/>
      <c r="S275" s="3190"/>
      <c r="T275" s="3190"/>
      <c r="U275" s="3190"/>
    </row>
    <row r="276" spans="1:21" s="960" customFormat="1" ht="14.25" customHeight="1" thickBot="1">
      <c r="A276" s="3170" t="s">
        <v>1155</v>
      </c>
      <c r="B276" s="3158" t="s">
        <v>2943</v>
      </c>
      <c r="C276" s="3158"/>
      <c r="D276" s="3158"/>
      <c r="E276" s="3158"/>
      <c r="F276" s="3159">
        <v>1380</v>
      </c>
      <c r="G276" s="3171"/>
      <c r="I276" s="971"/>
      <c r="J276" s="3190"/>
      <c r="K276" s="3190"/>
      <c r="L276" s="3190"/>
      <c r="M276" s="3190"/>
      <c r="N276" s="3190"/>
      <c r="O276" s="3190"/>
      <c r="P276" s="3190"/>
      <c r="Q276" s="3190"/>
      <c r="R276" s="3190"/>
      <c r="S276" s="3190"/>
      <c r="T276" s="3190"/>
      <c r="U276" s="3190"/>
    </row>
    <row r="277" spans="1:21" s="960" customFormat="1" ht="14.25" customHeight="1">
      <c r="A277" s="3169" t="s">
        <v>1156</v>
      </c>
      <c r="B277" s="1216" t="s">
        <v>2944</v>
      </c>
      <c r="C277" s="1216">
        <v>5790</v>
      </c>
      <c r="D277" s="1216">
        <v>5740</v>
      </c>
      <c r="E277" s="1216">
        <v>6730</v>
      </c>
      <c r="F277" s="3156">
        <v>1110</v>
      </c>
      <c r="G277" s="3156">
        <v>3460</v>
      </c>
      <c r="I277" s="971"/>
      <c r="J277" s="3190"/>
      <c r="K277" s="3190"/>
      <c r="L277" s="3190"/>
      <c r="M277" s="3190"/>
      <c r="N277" s="3190"/>
      <c r="O277" s="3190"/>
      <c r="P277" s="3190"/>
      <c r="Q277" s="3190"/>
      <c r="R277" s="3190"/>
      <c r="S277" s="3190"/>
      <c r="T277" s="3190"/>
      <c r="U277" s="3190"/>
    </row>
    <row r="278" spans="1:21" s="960" customFormat="1" ht="14.25" customHeight="1">
      <c r="A278" s="3155" t="s">
        <v>1156</v>
      </c>
      <c r="B278" s="3155" t="s">
        <v>980</v>
      </c>
      <c r="C278" s="3155">
        <v>5740</v>
      </c>
      <c r="D278" s="3155">
        <v>5670</v>
      </c>
      <c r="E278" s="3155">
        <v>6680</v>
      </c>
      <c r="F278" s="3161">
        <v>1070</v>
      </c>
      <c r="G278" s="3161">
        <v>3420</v>
      </c>
      <c r="I278" s="971"/>
      <c r="J278" s="3190"/>
      <c r="K278" s="3190"/>
      <c r="L278" s="3190"/>
      <c r="M278" s="3190"/>
      <c r="N278" s="3190"/>
      <c r="O278" s="3190"/>
      <c r="P278" s="3190"/>
      <c r="Q278" s="3190"/>
      <c r="R278" s="3190"/>
      <c r="S278" s="3190"/>
      <c r="T278" s="3190"/>
      <c r="U278" s="3190"/>
    </row>
    <row r="279" spans="1:21" s="960" customFormat="1" ht="14.25" customHeight="1">
      <c r="A279" s="3155" t="s">
        <v>1156</v>
      </c>
      <c r="B279" s="3155" t="s">
        <v>2945</v>
      </c>
      <c r="C279" s="3155">
        <v>4760</v>
      </c>
      <c r="D279" s="3155">
        <v>4720</v>
      </c>
      <c r="E279" s="3155">
        <v>5540</v>
      </c>
      <c r="F279" s="3161">
        <v>810</v>
      </c>
      <c r="G279" s="3161">
        <v>2850</v>
      </c>
      <c r="I279" s="971"/>
      <c r="J279" s="3190"/>
      <c r="K279" s="3190"/>
      <c r="L279" s="3190"/>
      <c r="M279" s="3190"/>
      <c r="N279" s="3190"/>
      <c r="O279" s="3190"/>
      <c r="P279" s="3190"/>
      <c r="Q279" s="3190"/>
      <c r="R279" s="3190"/>
      <c r="S279" s="3190"/>
      <c r="T279" s="3190"/>
      <c r="U279" s="3190"/>
    </row>
    <row r="280" spans="1:21" s="960" customFormat="1" ht="14.25" customHeight="1">
      <c r="A280" s="3155" t="s">
        <v>1156</v>
      </c>
      <c r="B280" s="3155" t="s">
        <v>2946</v>
      </c>
      <c r="C280" s="3155">
        <v>4010</v>
      </c>
      <c r="D280" s="3155">
        <v>3950</v>
      </c>
      <c r="E280" s="3155">
        <v>4710</v>
      </c>
      <c r="F280" s="3161">
        <v>800</v>
      </c>
      <c r="G280" s="3161">
        <v>2390</v>
      </c>
      <c r="I280" s="971"/>
      <c r="J280" s="3190"/>
      <c r="K280" s="3190"/>
      <c r="L280" s="3190"/>
      <c r="M280" s="3190"/>
      <c r="N280" s="3190"/>
      <c r="O280" s="3190"/>
      <c r="P280" s="3190"/>
      <c r="Q280" s="3190"/>
      <c r="R280" s="3190"/>
      <c r="S280" s="3190"/>
      <c r="T280" s="3190"/>
      <c r="U280" s="3190"/>
    </row>
    <row r="281" spans="1:21" s="960" customFormat="1" ht="14.25" customHeight="1">
      <c r="A281" s="3155" t="s">
        <v>1156</v>
      </c>
      <c r="B281" s="3155" t="s">
        <v>2947</v>
      </c>
      <c r="C281" s="3155">
        <v>4480</v>
      </c>
      <c r="D281" s="3155">
        <v>4420</v>
      </c>
      <c r="E281" s="3155">
        <v>5230</v>
      </c>
      <c r="F281" s="3161">
        <v>870</v>
      </c>
      <c r="G281" s="3161">
        <v>2660</v>
      </c>
      <c r="I281" s="971"/>
      <c r="J281" s="3190"/>
      <c r="K281" s="3190"/>
      <c r="L281" s="3190"/>
      <c r="M281" s="3190"/>
      <c r="N281" s="3190"/>
      <c r="O281" s="3190"/>
      <c r="P281" s="3190"/>
      <c r="Q281" s="3190"/>
      <c r="R281" s="3190"/>
      <c r="S281" s="3190"/>
      <c r="T281" s="3190"/>
      <c r="U281" s="3190"/>
    </row>
    <row r="282" spans="1:21" s="960" customFormat="1" ht="14.25" customHeight="1">
      <c r="A282" s="3155" t="s">
        <v>1156</v>
      </c>
      <c r="B282" s="3155" t="s">
        <v>2948</v>
      </c>
      <c r="C282" s="3155">
        <v>5360</v>
      </c>
      <c r="D282" s="3155">
        <v>5300</v>
      </c>
      <c r="E282" s="3155">
        <v>6190</v>
      </c>
      <c r="F282" s="3161">
        <v>950</v>
      </c>
      <c r="G282" s="3161">
        <v>3190</v>
      </c>
      <c r="I282" s="971"/>
      <c r="J282" s="3190"/>
      <c r="K282" s="3190"/>
      <c r="L282" s="3190"/>
      <c r="M282" s="3190"/>
      <c r="N282" s="3190"/>
      <c r="O282" s="3190"/>
      <c r="P282" s="3190"/>
      <c r="Q282" s="3190"/>
      <c r="R282" s="3190"/>
      <c r="S282" s="3190"/>
      <c r="T282" s="3190"/>
      <c r="U282" s="3190"/>
    </row>
    <row r="283" spans="1:21" s="960" customFormat="1" ht="14.25" customHeight="1">
      <c r="A283" s="3155" t="s">
        <v>1156</v>
      </c>
      <c r="B283" s="3155" t="s">
        <v>1021</v>
      </c>
      <c r="C283" s="3155">
        <v>4950</v>
      </c>
      <c r="D283" s="3155">
        <v>4900</v>
      </c>
      <c r="E283" s="3155">
        <v>5720</v>
      </c>
      <c r="F283" s="3161">
        <v>920</v>
      </c>
      <c r="G283" s="3161">
        <v>2950</v>
      </c>
      <c r="I283" s="971"/>
      <c r="J283" s="3190"/>
      <c r="K283" s="3190"/>
      <c r="L283" s="3190"/>
      <c r="M283" s="3190"/>
      <c r="N283" s="3190"/>
      <c r="O283" s="3190"/>
      <c r="P283" s="3190"/>
      <c r="Q283" s="3190"/>
      <c r="R283" s="3190"/>
      <c r="S283" s="3190"/>
      <c r="T283" s="3190"/>
      <c r="U283" s="3190"/>
    </row>
    <row r="284" spans="1:21" s="960" customFormat="1" ht="14.25" customHeight="1">
      <c r="A284" s="3155" t="s">
        <v>1156</v>
      </c>
      <c r="B284" s="3155" t="s">
        <v>1029</v>
      </c>
      <c r="C284" s="3155">
        <v>5610</v>
      </c>
      <c r="D284" s="3155">
        <v>5560</v>
      </c>
      <c r="E284" s="3155">
        <v>6520</v>
      </c>
      <c r="F284" s="3161">
        <v>1030</v>
      </c>
      <c r="G284" s="3161">
        <v>3360</v>
      </c>
      <c r="I284" s="971"/>
      <c r="J284" s="3190"/>
      <c r="K284" s="3190"/>
      <c r="L284" s="3190"/>
      <c r="M284" s="3190"/>
      <c r="N284" s="3190"/>
      <c r="O284" s="3190"/>
      <c r="P284" s="3190"/>
      <c r="Q284" s="3190"/>
      <c r="R284" s="3190"/>
      <c r="S284" s="3190"/>
      <c r="T284" s="3190"/>
      <c r="U284" s="3190"/>
    </row>
    <row r="285" spans="1:21" s="960" customFormat="1" ht="14.25" customHeight="1">
      <c r="A285" s="3155" t="s">
        <v>1156</v>
      </c>
      <c r="B285" s="3155" t="s">
        <v>1039</v>
      </c>
      <c r="C285" s="3155">
        <v>5340</v>
      </c>
      <c r="D285" s="3155">
        <v>5290</v>
      </c>
      <c r="E285" s="3155">
        <v>6170</v>
      </c>
      <c r="F285" s="3161">
        <v>1080</v>
      </c>
      <c r="G285" s="3161">
        <v>3180</v>
      </c>
      <c r="I285" s="971"/>
      <c r="J285" s="3190"/>
      <c r="K285" s="3190"/>
      <c r="L285" s="3190"/>
      <c r="M285" s="3190"/>
      <c r="N285" s="3190"/>
      <c r="O285" s="3190"/>
      <c r="P285" s="3190"/>
      <c r="Q285" s="3190"/>
      <c r="R285" s="3190"/>
      <c r="S285" s="3190"/>
      <c r="T285" s="3190"/>
      <c r="U285" s="3190"/>
    </row>
    <row r="286" spans="1:21" s="960" customFormat="1" ht="14.25" customHeight="1">
      <c r="A286" s="3155" t="s">
        <v>1156</v>
      </c>
      <c r="B286" s="3155" t="s">
        <v>1046</v>
      </c>
      <c r="C286" s="3155">
        <v>4890</v>
      </c>
      <c r="D286" s="3155">
        <v>4840</v>
      </c>
      <c r="E286" s="3155">
        <v>5640</v>
      </c>
      <c r="F286" s="3161">
        <v>960</v>
      </c>
      <c r="G286" s="3161">
        <v>2910</v>
      </c>
      <c r="I286" s="971"/>
      <c r="J286" s="3190"/>
      <c r="K286" s="3190"/>
      <c r="L286" s="3190"/>
      <c r="M286" s="3190"/>
      <c r="N286" s="3190"/>
      <c r="O286" s="3190"/>
      <c r="P286" s="3190"/>
      <c r="Q286" s="3190"/>
      <c r="R286" s="3190"/>
      <c r="S286" s="3190"/>
      <c r="T286" s="3190"/>
      <c r="U286" s="3190"/>
    </row>
    <row r="287" spans="1:21" s="960" customFormat="1" ht="14.25" customHeight="1">
      <c r="A287" s="3155" t="s">
        <v>1156</v>
      </c>
      <c r="B287" s="3155" t="s">
        <v>2949</v>
      </c>
      <c r="C287" s="3155">
        <v>4960</v>
      </c>
      <c r="D287" s="3155">
        <v>4920</v>
      </c>
      <c r="E287" s="3155">
        <v>5730</v>
      </c>
      <c r="F287" s="3161">
        <v>930</v>
      </c>
      <c r="G287" s="3161">
        <v>2960</v>
      </c>
      <c r="I287" s="971"/>
      <c r="J287" s="3190"/>
      <c r="K287" s="3190"/>
      <c r="L287" s="3190"/>
      <c r="M287" s="3190"/>
      <c r="N287" s="3190"/>
      <c r="O287" s="3190"/>
      <c r="P287" s="3190"/>
      <c r="Q287" s="3190"/>
      <c r="R287" s="3190"/>
      <c r="S287" s="3190"/>
      <c r="T287" s="3190"/>
      <c r="U287" s="3190"/>
    </row>
    <row r="288" spans="1:21" s="960" customFormat="1" ht="14.25" customHeight="1">
      <c r="A288" s="3155" t="s">
        <v>1156</v>
      </c>
      <c r="B288" s="3155" t="s">
        <v>1067</v>
      </c>
      <c r="C288" s="3155">
        <v>4350</v>
      </c>
      <c r="D288" s="3155">
        <v>4300</v>
      </c>
      <c r="E288" s="3155">
        <v>4900</v>
      </c>
      <c r="F288" s="3161">
        <v>820</v>
      </c>
      <c r="G288" s="3161">
        <v>2590</v>
      </c>
      <c r="I288" s="971"/>
      <c r="J288" s="3190"/>
      <c r="K288" s="3190"/>
      <c r="L288" s="3190"/>
      <c r="M288" s="3190"/>
      <c r="N288" s="3190"/>
      <c r="O288" s="3190"/>
      <c r="P288" s="3190"/>
      <c r="Q288" s="3190"/>
      <c r="R288" s="3190"/>
      <c r="S288" s="3190"/>
      <c r="T288" s="3190"/>
      <c r="U288" s="3190"/>
    </row>
    <row r="289" spans="1:21" s="960" customFormat="1" ht="14.25" customHeight="1">
      <c r="A289" s="3155" t="s">
        <v>1156</v>
      </c>
      <c r="B289" s="3155" t="s">
        <v>2950</v>
      </c>
      <c r="C289" s="3155">
        <v>5230</v>
      </c>
      <c r="D289" s="3155">
        <v>5170</v>
      </c>
      <c r="E289" s="3155">
        <v>6060</v>
      </c>
      <c r="F289" s="3155">
        <v>900</v>
      </c>
      <c r="G289" s="3155">
        <v>3120</v>
      </c>
      <c r="H289" s="957"/>
      <c r="I289" s="971"/>
      <c r="J289" s="3190"/>
      <c r="K289" s="3190"/>
      <c r="L289" s="3190"/>
      <c r="M289" s="3190"/>
      <c r="N289" s="3190"/>
      <c r="O289" s="3190"/>
      <c r="P289" s="3190"/>
      <c r="Q289" s="3190"/>
      <c r="R289" s="3190"/>
      <c r="S289" s="3190"/>
      <c r="T289" s="3190"/>
      <c r="U289" s="3190"/>
    </row>
    <row r="290" spans="1:21" s="960" customFormat="1" ht="14.25" customHeight="1">
      <c r="A290" s="1216" t="s">
        <v>1156</v>
      </c>
      <c r="B290" s="1216" t="s">
        <v>1090</v>
      </c>
      <c r="C290" s="1216">
        <v>5550</v>
      </c>
      <c r="D290" s="1216">
        <v>5500</v>
      </c>
      <c r="E290" s="1216">
        <v>6440</v>
      </c>
      <c r="F290" s="3156">
        <v>960</v>
      </c>
      <c r="G290" s="3172">
        <v>3320</v>
      </c>
      <c r="I290" s="971"/>
      <c r="J290" s="3190"/>
      <c r="K290" s="3190"/>
      <c r="L290" s="3190"/>
      <c r="M290" s="3190"/>
      <c r="N290" s="3190"/>
      <c r="O290" s="3190"/>
      <c r="P290" s="3190"/>
      <c r="Q290" s="3190"/>
      <c r="R290" s="3190"/>
      <c r="S290" s="3190"/>
      <c r="T290" s="3190"/>
      <c r="U290" s="3190"/>
    </row>
    <row r="291" spans="1:21" s="960" customFormat="1" ht="14.25" customHeight="1">
      <c r="A291" s="3155" t="s">
        <v>1156</v>
      </c>
      <c r="B291" s="3155" t="s">
        <v>1098</v>
      </c>
      <c r="C291" s="3155">
        <v>5440</v>
      </c>
      <c r="D291" s="3155">
        <v>5400</v>
      </c>
      <c r="E291" s="3155">
        <v>6320</v>
      </c>
      <c r="F291" s="3161">
        <v>930</v>
      </c>
      <c r="G291" s="3163">
        <v>3250</v>
      </c>
      <c r="I291" s="971"/>
      <c r="J291" s="3190"/>
      <c r="K291" s="3190"/>
      <c r="L291" s="3190"/>
      <c r="M291" s="3190"/>
      <c r="N291" s="3190"/>
      <c r="O291" s="3190"/>
      <c r="P291" s="3190"/>
      <c r="Q291" s="3190"/>
      <c r="R291" s="3190"/>
      <c r="S291" s="3190"/>
      <c r="T291" s="3190"/>
      <c r="U291" s="3190"/>
    </row>
    <row r="292" spans="1:21" s="960" customFormat="1" ht="14.25" customHeight="1">
      <c r="A292" s="3155" t="s">
        <v>1156</v>
      </c>
      <c r="B292" s="3155" t="s">
        <v>1104</v>
      </c>
      <c r="C292" s="3155">
        <v>5400</v>
      </c>
      <c r="D292" s="3155">
        <v>5360</v>
      </c>
      <c r="E292" s="3155">
        <v>6270</v>
      </c>
      <c r="F292" s="3161">
        <v>1040</v>
      </c>
      <c r="G292" s="3161">
        <v>3230</v>
      </c>
      <c r="I292" s="971"/>
      <c r="J292" s="3190"/>
      <c r="K292" s="3190"/>
      <c r="L292" s="3190"/>
      <c r="M292" s="3190"/>
      <c r="N292" s="3190"/>
      <c r="O292" s="3190"/>
      <c r="P292" s="3190"/>
      <c r="Q292" s="3190"/>
      <c r="R292" s="3190"/>
      <c r="S292" s="3190"/>
      <c r="T292" s="3190"/>
      <c r="U292" s="3190"/>
    </row>
    <row r="293" spans="1:21" s="960" customFormat="1" ht="14.25" customHeight="1">
      <c r="A293" s="3155" t="s">
        <v>1156</v>
      </c>
      <c r="B293" s="3155" t="s">
        <v>2951</v>
      </c>
      <c r="C293" s="3155">
        <v>5320</v>
      </c>
      <c r="D293" s="3155">
        <v>5270</v>
      </c>
      <c r="E293" s="3155">
        <v>6160</v>
      </c>
      <c r="F293" s="3161">
        <v>990</v>
      </c>
      <c r="G293" s="3161">
        <v>3170</v>
      </c>
      <c r="I293" s="971"/>
      <c r="J293" s="3190"/>
      <c r="K293" s="3190"/>
      <c r="L293" s="3190"/>
      <c r="M293" s="3190"/>
      <c r="N293" s="3190"/>
      <c r="O293" s="3190"/>
      <c r="P293" s="3190"/>
      <c r="Q293" s="3190"/>
      <c r="R293" s="3190"/>
      <c r="S293" s="3190"/>
      <c r="T293" s="3190"/>
      <c r="U293" s="3190"/>
    </row>
    <row r="294" spans="1:21" s="960" customFormat="1" ht="14.25" customHeight="1">
      <c r="A294" s="3155" t="s">
        <v>1156</v>
      </c>
      <c r="B294" s="3155" t="s">
        <v>2952</v>
      </c>
      <c r="C294" s="3155">
        <v>5260</v>
      </c>
      <c r="D294" s="3155">
        <v>5210</v>
      </c>
      <c r="E294" s="3155">
        <v>6100</v>
      </c>
      <c r="F294" s="3161">
        <v>950</v>
      </c>
      <c r="G294" s="3161">
        <v>3150</v>
      </c>
      <c r="I294" s="971"/>
      <c r="J294" s="3190"/>
      <c r="K294" s="3190"/>
      <c r="L294" s="3190"/>
      <c r="M294" s="3190"/>
      <c r="N294" s="3190"/>
      <c r="O294" s="3190"/>
      <c r="P294" s="3190"/>
      <c r="Q294" s="3190"/>
      <c r="R294" s="3190"/>
      <c r="S294" s="3190"/>
      <c r="T294" s="3190"/>
      <c r="U294" s="3190"/>
    </row>
    <row r="295" spans="1:21" s="960" customFormat="1" ht="14.25" customHeight="1">
      <c r="A295" s="3155" t="s">
        <v>1156</v>
      </c>
      <c r="B295" s="3155" t="s">
        <v>1139</v>
      </c>
      <c r="C295" s="3155">
        <v>5610</v>
      </c>
      <c r="D295" s="3155">
        <v>5570</v>
      </c>
      <c r="E295" s="3155">
        <v>6530</v>
      </c>
      <c r="F295" s="3161">
        <v>960</v>
      </c>
      <c r="G295" s="3161">
        <v>3360</v>
      </c>
      <c r="I295" s="971"/>
      <c r="J295" s="3190"/>
      <c r="K295" s="3190"/>
      <c r="L295" s="3190"/>
      <c r="M295" s="3190"/>
      <c r="N295" s="3190"/>
      <c r="O295" s="3190"/>
      <c r="P295" s="3190"/>
      <c r="Q295" s="3190"/>
      <c r="R295" s="3190"/>
      <c r="S295" s="3190"/>
      <c r="T295" s="3190"/>
      <c r="U295" s="3190"/>
    </row>
    <row r="296" spans="1:21" s="960" customFormat="1" ht="14.25" customHeight="1">
      <c r="A296" s="3155" t="s">
        <v>1156</v>
      </c>
      <c r="B296" s="3155" t="s">
        <v>1142</v>
      </c>
      <c r="C296" s="3155">
        <v>5540</v>
      </c>
      <c r="D296" s="3155">
        <v>5490</v>
      </c>
      <c r="E296" s="3155">
        <v>6430</v>
      </c>
      <c r="F296" s="3161">
        <v>980</v>
      </c>
      <c r="G296" s="3161">
        <v>3310</v>
      </c>
      <c r="I296" s="971"/>
      <c r="J296" s="3190"/>
      <c r="K296" s="3190"/>
      <c r="L296" s="3190"/>
      <c r="M296" s="3190"/>
      <c r="N296" s="3190"/>
      <c r="O296" s="3190"/>
      <c r="P296" s="3190"/>
      <c r="Q296" s="3190"/>
      <c r="R296" s="3190"/>
      <c r="S296" s="3190"/>
      <c r="T296" s="3190"/>
      <c r="U296" s="3190"/>
    </row>
    <row r="297" spans="1:21" s="960" customFormat="1" ht="14.25" customHeight="1">
      <c r="A297" s="3155" t="s">
        <v>1156</v>
      </c>
      <c r="B297" s="3155" t="s">
        <v>1144</v>
      </c>
      <c r="C297" s="3155">
        <v>5480</v>
      </c>
      <c r="D297" s="3155">
        <v>5420</v>
      </c>
      <c r="E297" s="3155">
        <v>6370</v>
      </c>
      <c r="F297" s="3161">
        <v>990</v>
      </c>
      <c r="G297" s="3161">
        <v>3270</v>
      </c>
      <c r="I297" s="971"/>
      <c r="J297" s="3190"/>
      <c r="K297" s="3190"/>
      <c r="L297" s="3190"/>
      <c r="M297" s="3190"/>
      <c r="N297" s="3190"/>
      <c r="O297" s="3190"/>
      <c r="P297" s="3190"/>
      <c r="Q297" s="3190"/>
      <c r="R297" s="3190"/>
      <c r="S297" s="3190"/>
      <c r="T297" s="3190"/>
      <c r="U297" s="3190"/>
    </row>
    <row r="298" spans="1:21" s="960" customFormat="1" ht="14.25" customHeight="1">
      <c r="A298" s="3155" t="s">
        <v>1156</v>
      </c>
      <c r="B298" s="3155" t="s">
        <v>1147</v>
      </c>
      <c r="C298" s="3155">
        <v>5090</v>
      </c>
      <c r="D298" s="3155">
        <v>5050</v>
      </c>
      <c r="E298" s="3155">
        <v>5910</v>
      </c>
      <c r="F298" s="3161">
        <v>900</v>
      </c>
      <c r="G298" s="3161">
        <v>3040</v>
      </c>
      <c r="I298" s="971"/>
      <c r="J298" s="3190"/>
      <c r="K298" s="3190"/>
      <c r="L298" s="3190"/>
      <c r="M298" s="3190"/>
      <c r="N298" s="3190"/>
      <c r="O298" s="3190"/>
      <c r="P298" s="3190"/>
      <c r="Q298" s="3190"/>
      <c r="R298" s="3190"/>
      <c r="S298" s="3190"/>
      <c r="T298" s="3190"/>
      <c r="U298" s="3190"/>
    </row>
    <row r="299" spans="1:21" s="960" customFormat="1" ht="14.25" customHeight="1">
      <c r="A299" s="3155" t="s">
        <v>1156</v>
      </c>
      <c r="B299" s="3155" t="s">
        <v>2953</v>
      </c>
      <c r="C299" s="3155">
        <v>5430</v>
      </c>
      <c r="D299" s="3155">
        <v>5380</v>
      </c>
      <c r="E299" s="3155">
        <v>6280</v>
      </c>
      <c r="F299" s="3161">
        <v>1000</v>
      </c>
      <c r="G299" s="3163">
        <v>3240</v>
      </c>
      <c r="I299" s="971"/>
      <c r="J299" s="3190"/>
      <c r="K299" s="3190"/>
      <c r="L299" s="3190"/>
      <c r="M299" s="3190"/>
      <c r="N299" s="3190"/>
      <c r="O299" s="3190"/>
      <c r="P299" s="3190"/>
      <c r="Q299" s="3190"/>
      <c r="R299" s="3190"/>
      <c r="S299" s="3190"/>
      <c r="T299" s="3190"/>
      <c r="U299" s="3190"/>
    </row>
    <row r="300" spans="1:21" s="960" customFormat="1" ht="14.25" customHeight="1">
      <c r="A300" s="3155" t="s">
        <v>1156</v>
      </c>
      <c r="B300" s="3155" t="s">
        <v>1119</v>
      </c>
      <c r="C300" s="3155">
        <v>4740</v>
      </c>
      <c r="D300" s="3155">
        <v>4680</v>
      </c>
      <c r="E300" s="3155">
        <v>5450</v>
      </c>
      <c r="F300" s="3161">
        <v>900</v>
      </c>
      <c r="G300" s="3161">
        <v>2830</v>
      </c>
      <c r="I300" s="971"/>
      <c r="J300" s="3190"/>
      <c r="K300" s="3190"/>
      <c r="L300" s="3190"/>
      <c r="M300" s="3190"/>
      <c r="N300" s="3190"/>
      <c r="O300" s="3190"/>
      <c r="P300" s="3190"/>
      <c r="Q300" s="3190"/>
      <c r="R300" s="3190"/>
      <c r="S300" s="3190"/>
      <c r="T300" s="3190"/>
      <c r="U300" s="3190"/>
    </row>
    <row r="301" spans="1:21" s="960" customFormat="1" ht="14.25" customHeight="1">
      <c r="A301" s="3155" t="s">
        <v>1156</v>
      </c>
      <c r="B301" s="3155" t="s">
        <v>1125</v>
      </c>
      <c r="C301" s="3155">
        <v>4870</v>
      </c>
      <c r="D301" s="3155">
        <v>4810</v>
      </c>
      <c r="E301" s="3155">
        <v>5560</v>
      </c>
      <c r="F301" s="3161">
        <v>990</v>
      </c>
      <c r="G301" s="3163">
        <v>2910</v>
      </c>
      <c r="I301" s="971"/>
      <c r="J301" s="3190"/>
      <c r="K301" s="3190"/>
      <c r="L301" s="3190"/>
      <c r="M301" s="3190"/>
      <c r="N301" s="3190"/>
      <c r="O301" s="3190"/>
      <c r="P301" s="3190"/>
      <c r="Q301" s="3190"/>
      <c r="R301" s="3190"/>
      <c r="S301" s="3190"/>
      <c r="T301" s="3190"/>
      <c r="U301" s="3190"/>
    </row>
    <row r="302" spans="1:21" s="960" customFormat="1" ht="14.25" customHeight="1">
      <c r="A302" s="3155" t="s">
        <v>1156</v>
      </c>
      <c r="B302" s="3155" t="s">
        <v>2954</v>
      </c>
      <c r="C302" s="3155">
        <v>5520</v>
      </c>
      <c r="D302" s="3155">
        <v>5470</v>
      </c>
      <c r="E302" s="3155">
        <v>6410</v>
      </c>
      <c r="F302" s="3161">
        <v>950</v>
      </c>
      <c r="G302" s="3161">
        <v>3300</v>
      </c>
      <c r="I302" s="971"/>
      <c r="J302" s="3190"/>
      <c r="K302" s="3190"/>
      <c r="L302" s="3190"/>
      <c r="M302" s="3190"/>
      <c r="N302" s="3190"/>
      <c r="O302" s="3190"/>
      <c r="P302" s="3190"/>
      <c r="Q302" s="3190"/>
      <c r="R302" s="3190"/>
      <c r="S302" s="3190"/>
      <c r="T302" s="3190"/>
      <c r="U302" s="3190"/>
    </row>
    <row r="303" spans="1:21" s="960" customFormat="1" ht="14.25" customHeight="1">
      <c r="A303" s="3155" t="s">
        <v>1156</v>
      </c>
      <c r="B303" s="3155" t="s">
        <v>2955</v>
      </c>
      <c r="C303" s="3155">
        <v>5630</v>
      </c>
      <c r="D303" s="3155">
        <v>5590</v>
      </c>
      <c r="E303" s="3155">
        <v>6550</v>
      </c>
      <c r="F303" s="3161">
        <v>1010</v>
      </c>
      <c r="G303" s="3161">
        <v>3370</v>
      </c>
      <c r="I303" s="971"/>
      <c r="J303" s="3190"/>
      <c r="K303" s="3190"/>
      <c r="L303" s="3190"/>
      <c r="M303" s="3190"/>
      <c r="N303" s="3190"/>
      <c r="O303" s="3190"/>
      <c r="P303" s="3190"/>
      <c r="Q303" s="3190"/>
      <c r="R303" s="3190"/>
      <c r="S303" s="3190"/>
      <c r="T303" s="3190"/>
      <c r="U303" s="3190"/>
    </row>
    <row r="304" spans="1:21" s="960" customFormat="1" ht="14.25" customHeight="1">
      <c r="A304" s="3155" t="s">
        <v>1156</v>
      </c>
      <c r="B304" s="3155" t="s">
        <v>2956</v>
      </c>
      <c r="C304" s="3155">
        <v>5680</v>
      </c>
      <c r="D304" s="3155">
        <v>5620</v>
      </c>
      <c r="E304" s="3155">
        <v>6620</v>
      </c>
      <c r="F304" s="3161">
        <v>1050</v>
      </c>
      <c r="G304" s="3163">
        <v>3390</v>
      </c>
      <c r="I304" s="971"/>
      <c r="J304" s="3190"/>
      <c r="K304" s="3190"/>
      <c r="L304" s="3190"/>
      <c r="M304" s="3190"/>
      <c r="N304" s="3190"/>
      <c r="O304" s="3190"/>
      <c r="P304" s="3190"/>
      <c r="Q304" s="3190"/>
      <c r="R304" s="3190"/>
      <c r="S304" s="3190"/>
      <c r="T304" s="3190"/>
      <c r="U304" s="3190"/>
    </row>
    <row r="305" spans="1:21" s="960" customFormat="1" ht="14.25" customHeight="1">
      <c r="A305" s="3155" t="s">
        <v>1156</v>
      </c>
      <c r="B305" s="3155" t="s">
        <v>2957</v>
      </c>
      <c r="C305" s="3155">
        <v>5590</v>
      </c>
      <c r="D305" s="3155">
        <v>5530</v>
      </c>
      <c r="E305" s="3155">
        <v>6460</v>
      </c>
      <c r="F305" s="3161">
        <v>900</v>
      </c>
      <c r="G305" s="3161">
        <v>3340</v>
      </c>
      <c r="I305" s="971"/>
      <c r="J305" s="3190"/>
      <c r="K305" s="3190"/>
      <c r="L305" s="3190"/>
      <c r="M305" s="3190"/>
      <c r="N305" s="3190"/>
      <c r="O305" s="3190"/>
      <c r="P305" s="3190"/>
      <c r="Q305" s="3190"/>
      <c r="R305" s="3190"/>
      <c r="S305" s="3190"/>
      <c r="T305" s="3190"/>
      <c r="U305" s="3190"/>
    </row>
    <row r="306" spans="1:21" s="960" customFormat="1" ht="14.25" customHeight="1">
      <c r="A306" s="3155" t="s">
        <v>1156</v>
      </c>
      <c r="B306" s="3155" t="s">
        <v>2958</v>
      </c>
      <c r="C306" s="3155">
        <v>5560</v>
      </c>
      <c r="D306" s="3155">
        <v>5510</v>
      </c>
      <c r="E306" s="3155">
        <v>6440</v>
      </c>
      <c r="F306" s="3161">
        <v>900</v>
      </c>
      <c r="G306" s="3163">
        <v>3320</v>
      </c>
      <c r="I306" s="971"/>
      <c r="J306" s="3190"/>
      <c r="K306" s="3190"/>
      <c r="L306" s="3190"/>
      <c r="M306" s="3190"/>
      <c r="N306" s="3190"/>
      <c r="O306" s="3190"/>
      <c r="P306" s="3190"/>
      <c r="Q306" s="3190"/>
      <c r="R306" s="3190"/>
      <c r="S306" s="3190"/>
      <c r="T306" s="3190"/>
      <c r="U306" s="3190"/>
    </row>
    <row r="307" spans="1:21" s="960" customFormat="1" ht="14.25" customHeight="1">
      <c r="A307" s="3155" t="s">
        <v>1156</v>
      </c>
      <c r="B307" s="3155" t="s">
        <v>2959</v>
      </c>
      <c r="C307" s="3155">
        <v>5650</v>
      </c>
      <c r="D307" s="3155">
        <v>5600</v>
      </c>
      <c r="E307" s="3155">
        <v>6590</v>
      </c>
      <c r="F307" s="3161">
        <v>930</v>
      </c>
      <c r="G307" s="3161">
        <v>3380</v>
      </c>
      <c r="I307" s="971"/>
      <c r="J307" s="3190"/>
      <c r="K307" s="3190"/>
      <c r="L307" s="3190"/>
      <c r="M307" s="3190"/>
      <c r="N307" s="3190"/>
      <c r="O307" s="3190"/>
      <c r="P307" s="3190"/>
      <c r="Q307" s="3190"/>
      <c r="R307" s="3190"/>
      <c r="S307" s="3190"/>
      <c r="T307" s="3190"/>
      <c r="U307" s="3190"/>
    </row>
    <row r="308" spans="1:21" s="960" customFormat="1" ht="14.25" customHeight="1">
      <c r="A308" s="3155" t="s">
        <v>1156</v>
      </c>
      <c r="B308" s="3155" t="s">
        <v>2960</v>
      </c>
      <c r="C308" s="3155">
        <v>5620</v>
      </c>
      <c r="D308" s="3155">
        <v>5580</v>
      </c>
      <c r="E308" s="3155">
        <v>6540</v>
      </c>
      <c r="F308" s="3161">
        <v>910</v>
      </c>
      <c r="G308" s="3161">
        <v>3370</v>
      </c>
      <c r="I308" s="971"/>
      <c r="J308" s="3190"/>
      <c r="K308" s="3190"/>
      <c r="L308" s="3190"/>
      <c r="M308" s="3190"/>
      <c r="N308" s="3190"/>
      <c r="O308" s="3190"/>
      <c r="P308" s="3190"/>
      <c r="Q308" s="3190"/>
      <c r="R308" s="3190"/>
      <c r="S308" s="3190"/>
      <c r="T308" s="3190"/>
      <c r="U308" s="3190"/>
    </row>
    <row r="309" spans="1:21" s="960" customFormat="1" ht="14.25" customHeight="1">
      <c r="A309" s="3155" t="s">
        <v>1156</v>
      </c>
      <c r="B309" s="3155" t="s">
        <v>2961</v>
      </c>
      <c r="C309" s="3155">
        <v>5060</v>
      </c>
      <c r="D309" s="3155">
        <v>5020</v>
      </c>
      <c r="E309" s="3155">
        <v>6370</v>
      </c>
      <c r="F309" s="3161">
        <v>800</v>
      </c>
      <c r="G309" s="3163">
        <v>3020</v>
      </c>
      <c r="I309" s="971"/>
      <c r="J309" s="3190"/>
      <c r="K309" s="3190"/>
      <c r="L309" s="3190"/>
      <c r="M309" s="3190"/>
      <c r="N309" s="3190"/>
      <c r="O309" s="3190"/>
      <c r="P309" s="3190"/>
      <c r="Q309" s="3190"/>
      <c r="R309" s="3190"/>
      <c r="S309" s="3190"/>
      <c r="T309" s="3190"/>
      <c r="U309" s="3190"/>
    </row>
    <row r="310" spans="1:21" s="960" customFormat="1" ht="14.25" customHeight="1">
      <c r="A310" s="3155" t="s">
        <v>1156</v>
      </c>
      <c r="B310" s="3155" t="s">
        <v>2962</v>
      </c>
      <c r="C310" s="3155">
        <v>5150</v>
      </c>
      <c r="D310" s="3155">
        <v>5110</v>
      </c>
      <c r="E310" s="3155">
        <v>6500</v>
      </c>
      <c r="F310" s="3161">
        <v>880</v>
      </c>
      <c r="G310" s="3161">
        <v>3080</v>
      </c>
      <c r="I310" s="971"/>
      <c r="J310" s="3190"/>
      <c r="K310" s="3190"/>
      <c r="L310" s="3190"/>
      <c r="M310" s="3190"/>
      <c r="N310" s="3190"/>
      <c r="O310" s="3190"/>
      <c r="P310" s="3190"/>
      <c r="Q310" s="3190"/>
      <c r="R310" s="3190"/>
      <c r="S310" s="3190"/>
      <c r="T310" s="3190"/>
      <c r="U310" s="3190"/>
    </row>
    <row r="311" spans="1:21" s="960" customFormat="1" ht="14.25" customHeight="1">
      <c r="A311" s="3155" t="s">
        <v>1156</v>
      </c>
      <c r="B311" s="3155" t="s">
        <v>2963</v>
      </c>
      <c r="C311" s="3155">
        <v>4750</v>
      </c>
      <c r="D311" s="3155">
        <v>4710</v>
      </c>
      <c r="E311" s="3155">
        <v>5510</v>
      </c>
      <c r="F311" s="3161">
        <v>880</v>
      </c>
      <c r="G311" s="3161">
        <v>2840</v>
      </c>
      <c r="I311" s="971"/>
      <c r="J311" s="3190"/>
      <c r="K311" s="3190"/>
      <c r="L311" s="3190"/>
      <c r="M311" s="3190"/>
      <c r="N311" s="3190"/>
      <c r="O311" s="3190"/>
      <c r="P311" s="3190"/>
      <c r="Q311" s="3190"/>
      <c r="R311" s="3190"/>
      <c r="S311" s="3190"/>
      <c r="T311" s="3190"/>
      <c r="U311" s="3190"/>
    </row>
    <row r="312" spans="1:21" s="960" customFormat="1" ht="14.25" customHeight="1">
      <c r="A312" s="3155" t="s">
        <v>1156</v>
      </c>
      <c r="B312" s="3155" t="s">
        <v>2964</v>
      </c>
      <c r="C312" s="3155">
        <v>4690</v>
      </c>
      <c r="D312" s="3155">
        <v>4640</v>
      </c>
      <c r="E312" s="3155">
        <v>5420</v>
      </c>
      <c r="F312" s="3161">
        <v>800</v>
      </c>
      <c r="G312" s="3161">
        <v>2800</v>
      </c>
      <c r="I312" s="971"/>
      <c r="J312" s="3190"/>
      <c r="K312" s="3190"/>
      <c r="L312" s="3190"/>
      <c r="M312" s="3190"/>
      <c r="N312" s="3190"/>
      <c r="O312" s="3190"/>
      <c r="P312" s="3190"/>
      <c r="Q312" s="3190"/>
      <c r="R312" s="3190"/>
      <c r="S312" s="3190"/>
      <c r="T312" s="3190"/>
      <c r="U312" s="3190"/>
    </row>
    <row r="313" spans="1:21" s="960" customFormat="1" ht="14.25" customHeight="1">
      <c r="A313" s="3155" t="s">
        <v>1156</v>
      </c>
      <c r="B313" s="3155" t="s">
        <v>2965</v>
      </c>
      <c r="C313" s="3155">
        <v>4810</v>
      </c>
      <c r="D313" s="3155">
        <v>4760</v>
      </c>
      <c r="E313" s="3155">
        <v>5550</v>
      </c>
      <c r="F313" s="3161">
        <v>920</v>
      </c>
      <c r="G313" s="3161">
        <v>2870</v>
      </c>
      <c r="I313" s="971"/>
      <c r="J313" s="3190"/>
      <c r="K313" s="3190"/>
      <c r="L313" s="3190"/>
      <c r="M313" s="3190"/>
      <c r="N313" s="3190"/>
      <c r="O313" s="3190"/>
      <c r="P313" s="3190"/>
      <c r="Q313" s="3190"/>
      <c r="R313" s="3190"/>
      <c r="S313" s="3190"/>
      <c r="T313" s="3190"/>
      <c r="U313" s="3190"/>
    </row>
    <row r="314" spans="1:21" s="960" customFormat="1" ht="14.25" customHeight="1">
      <c r="A314" s="3155" t="s">
        <v>1156</v>
      </c>
      <c r="B314" s="3155" t="s">
        <v>2966</v>
      </c>
      <c r="C314" s="3155"/>
      <c r="D314" s="3155"/>
      <c r="E314" s="3155"/>
      <c r="F314" s="3161">
        <v>1020</v>
      </c>
      <c r="G314" s="3161"/>
      <c r="I314" s="971"/>
      <c r="J314" s="3190"/>
      <c r="K314" s="3190"/>
      <c r="L314" s="3190"/>
      <c r="M314" s="3190"/>
      <c r="N314" s="3190"/>
      <c r="O314" s="3190"/>
      <c r="P314" s="3190"/>
      <c r="Q314" s="3190"/>
      <c r="R314" s="3190"/>
      <c r="S314" s="3190"/>
      <c r="T314" s="3190"/>
      <c r="U314" s="3190"/>
    </row>
    <row r="315" spans="1:21" s="960" customFormat="1" ht="14.25" customHeight="1">
      <c r="A315" s="3155" t="s">
        <v>1156</v>
      </c>
      <c r="B315" s="3155" t="s">
        <v>2967</v>
      </c>
      <c r="C315" s="3155"/>
      <c r="D315" s="3155"/>
      <c r="E315" s="3155"/>
      <c r="F315" s="3161">
        <v>1050</v>
      </c>
      <c r="G315" s="3161"/>
      <c r="I315" s="971"/>
      <c r="J315" s="3190"/>
      <c r="K315" s="3190"/>
      <c r="L315" s="3190"/>
      <c r="M315" s="3190"/>
      <c r="N315" s="3190"/>
      <c r="O315" s="3190"/>
      <c r="P315" s="3190"/>
      <c r="Q315" s="3190"/>
      <c r="R315" s="3190"/>
      <c r="S315" s="3190"/>
      <c r="T315" s="3190"/>
      <c r="U315" s="3190"/>
    </row>
    <row r="316" spans="1:21" s="960" customFormat="1" ht="14.25" customHeight="1">
      <c r="A316" s="3155" t="s">
        <v>1156</v>
      </c>
      <c r="B316" s="3155" t="s">
        <v>2968</v>
      </c>
      <c r="C316" s="3155"/>
      <c r="D316" s="3155"/>
      <c r="E316" s="3155"/>
      <c r="F316" s="3161">
        <v>900</v>
      </c>
      <c r="G316" s="3168"/>
      <c r="I316" s="971"/>
      <c r="J316" s="3190"/>
      <c r="K316" s="3190"/>
      <c r="L316" s="3190"/>
      <c r="M316" s="3190"/>
      <c r="N316" s="3190"/>
      <c r="O316" s="3190"/>
      <c r="P316" s="3190"/>
      <c r="Q316" s="3190"/>
      <c r="R316" s="3190"/>
      <c r="S316" s="3190"/>
      <c r="T316" s="3190"/>
      <c r="U316" s="3190"/>
    </row>
    <row r="317" spans="1:21" s="960" customFormat="1" ht="14.25" customHeight="1">
      <c r="A317" s="1216" t="s">
        <v>1156</v>
      </c>
      <c r="B317" s="1216" t="s">
        <v>2969</v>
      </c>
      <c r="C317" s="1216"/>
      <c r="D317" s="1216"/>
      <c r="E317" s="1216"/>
      <c r="F317" s="3156">
        <v>920</v>
      </c>
      <c r="G317" s="3156"/>
      <c r="I317" s="957"/>
      <c r="J317" s="3190"/>
      <c r="K317" s="3190"/>
      <c r="L317" s="3190"/>
      <c r="M317" s="3190"/>
      <c r="N317" s="3190"/>
      <c r="O317" s="3190"/>
      <c r="P317" s="3190"/>
      <c r="Q317" s="3190"/>
      <c r="R317" s="3190"/>
      <c r="S317" s="3190"/>
      <c r="T317" s="3190"/>
      <c r="U317" s="3190"/>
    </row>
    <row r="318" spans="1:21" s="960" customFormat="1" ht="14.25" customHeight="1">
      <c r="A318" s="3155" t="s">
        <v>1156</v>
      </c>
      <c r="B318" s="3155" t="s">
        <v>2970</v>
      </c>
      <c r="C318" s="3155"/>
      <c r="D318" s="3155"/>
      <c r="E318" s="3155"/>
      <c r="F318" s="3161">
        <v>1080</v>
      </c>
      <c r="G318" s="3163"/>
      <c r="I318" s="957"/>
      <c r="J318" s="3190"/>
      <c r="K318" s="3190"/>
      <c r="L318" s="3190"/>
      <c r="M318" s="3190"/>
      <c r="N318" s="3190"/>
      <c r="O318" s="3190"/>
      <c r="P318" s="3190"/>
      <c r="Q318" s="3190"/>
      <c r="R318" s="3190"/>
      <c r="S318" s="3190"/>
      <c r="T318" s="3190"/>
      <c r="U318" s="3190"/>
    </row>
    <row r="319" spans="1:21" s="960" customFormat="1" ht="14.25" customHeight="1">
      <c r="A319" s="3155" t="s">
        <v>1156</v>
      </c>
      <c r="B319" s="3155" t="s">
        <v>2971</v>
      </c>
      <c r="C319" s="3155"/>
      <c r="D319" s="3155"/>
      <c r="E319" s="3155"/>
      <c r="F319" s="3161">
        <v>1020</v>
      </c>
      <c r="G319" s="3161"/>
      <c r="I319" s="957"/>
      <c r="J319" s="3190"/>
      <c r="K319" s="3190"/>
      <c r="L319" s="3190"/>
      <c r="M319" s="3190"/>
      <c r="N319" s="3190"/>
      <c r="O319" s="3190"/>
      <c r="P319" s="3190"/>
      <c r="Q319" s="3190"/>
      <c r="R319" s="3190"/>
      <c r="S319" s="3190"/>
      <c r="T319" s="3190"/>
      <c r="U319" s="3190"/>
    </row>
    <row r="320" spans="1:21" s="960" customFormat="1" ht="14.25" customHeight="1">
      <c r="A320" s="3155" t="s">
        <v>1156</v>
      </c>
      <c r="B320" s="3155" t="s">
        <v>2972</v>
      </c>
      <c r="C320" s="3155"/>
      <c r="D320" s="3155"/>
      <c r="E320" s="3155"/>
      <c r="F320" s="3161">
        <v>1050</v>
      </c>
      <c r="G320" s="3163"/>
      <c r="I320" s="957"/>
      <c r="J320" s="3190"/>
      <c r="K320" s="3190"/>
      <c r="L320" s="3190"/>
      <c r="M320" s="3190"/>
      <c r="N320" s="3190"/>
      <c r="O320" s="3190"/>
      <c r="P320" s="3190"/>
      <c r="Q320" s="3190"/>
      <c r="R320" s="3190"/>
      <c r="S320" s="3190"/>
      <c r="T320" s="3190"/>
      <c r="U320" s="3190"/>
    </row>
    <row r="321" spans="1:21" s="960" customFormat="1" ht="14.25" customHeight="1">
      <c r="A321" s="3155" t="s">
        <v>1156</v>
      </c>
      <c r="B321" s="3155" t="s">
        <v>2973</v>
      </c>
      <c r="C321" s="3155"/>
      <c r="D321" s="3155"/>
      <c r="E321" s="3155"/>
      <c r="F321" s="3161">
        <v>960</v>
      </c>
      <c r="G321" s="3163"/>
      <c r="I321" s="957"/>
      <c r="J321" s="3190"/>
      <c r="K321" s="3190"/>
      <c r="L321" s="3190"/>
      <c r="M321" s="3190"/>
      <c r="N321" s="3190"/>
      <c r="O321" s="3190"/>
      <c r="P321" s="3190"/>
      <c r="Q321" s="3190"/>
      <c r="R321" s="3190"/>
      <c r="S321" s="3190"/>
      <c r="T321" s="3190"/>
      <c r="U321" s="3190"/>
    </row>
    <row r="322" spans="1:21" s="960" customFormat="1" ht="14.25" customHeight="1">
      <c r="A322" s="3155" t="s">
        <v>1156</v>
      </c>
      <c r="B322" s="3155" t="s">
        <v>2974</v>
      </c>
      <c r="C322" s="3155"/>
      <c r="D322" s="3155"/>
      <c r="E322" s="3155"/>
      <c r="F322" s="3161">
        <v>960</v>
      </c>
      <c r="G322" s="3161"/>
      <c r="I322" s="957"/>
      <c r="J322" s="3190"/>
      <c r="K322" s="3190"/>
      <c r="L322" s="3190"/>
      <c r="M322" s="3190"/>
      <c r="N322" s="3190"/>
      <c r="O322" s="3190"/>
      <c r="P322" s="3190"/>
      <c r="Q322" s="3190"/>
      <c r="R322" s="3190"/>
      <c r="S322" s="3190"/>
      <c r="T322" s="3190"/>
      <c r="U322" s="3190"/>
    </row>
    <row r="323" spans="1:21" s="960" customFormat="1" ht="14.25" customHeight="1">
      <c r="A323" s="3155" t="s">
        <v>1156</v>
      </c>
      <c r="B323" s="3155" t="s">
        <v>2975</v>
      </c>
      <c r="C323" s="3155"/>
      <c r="D323" s="3155"/>
      <c r="E323" s="3155"/>
      <c r="F323" s="3161">
        <v>880</v>
      </c>
      <c r="G323" s="3163"/>
      <c r="I323" s="957"/>
      <c r="J323" s="3190"/>
      <c r="K323" s="3190"/>
      <c r="L323" s="3190"/>
      <c r="M323" s="3190"/>
      <c r="N323" s="3190"/>
      <c r="O323" s="3190"/>
      <c r="P323" s="3190"/>
      <c r="Q323" s="3190"/>
      <c r="R323" s="3190"/>
      <c r="S323" s="3190"/>
      <c r="T323" s="3190"/>
      <c r="U323" s="3190"/>
    </row>
    <row r="324" spans="1:21" s="960" customFormat="1" ht="14.25" customHeight="1">
      <c r="A324" s="3155" t="s">
        <v>1156</v>
      </c>
      <c r="B324" s="3155" t="s">
        <v>2976</v>
      </c>
      <c r="C324" s="3155"/>
      <c r="D324" s="3155"/>
      <c r="E324" s="3155"/>
      <c r="F324" s="3161">
        <v>930</v>
      </c>
      <c r="G324" s="3163"/>
      <c r="I324" s="957"/>
      <c r="J324" s="3190"/>
      <c r="K324" s="3190"/>
      <c r="L324" s="3190"/>
      <c r="M324" s="3190"/>
      <c r="N324" s="3190"/>
      <c r="O324" s="3190"/>
      <c r="P324" s="3190"/>
      <c r="Q324" s="3190"/>
      <c r="R324" s="3190"/>
      <c r="S324" s="3190"/>
      <c r="T324" s="3190"/>
      <c r="U324" s="3190"/>
    </row>
    <row r="325" spans="1:21" s="960" customFormat="1" ht="14.25" customHeight="1">
      <c r="A325" s="3155" t="s">
        <v>1156</v>
      </c>
      <c r="B325" s="3155" t="s">
        <v>2977</v>
      </c>
      <c r="C325" s="3155"/>
      <c r="D325" s="3155"/>
      <c r="E325" s="3155"/>
      <c r="F325" s="3161">
        <v>900</v>
      </c>
      <c r="G325" s="3161"/>
      <c r="I325" s="957"/>
      <c r="J325" s="3190"/>
      <c r="K325" s="3190"/>
      <c r="L325" s="3190"/>
      <c r="M325" s="3190"/>
      <c r="N325" s="3190"/>
      <c r="O325" s="3190"/>
      <c r="P325" s="3190"/>
      <c r="Q325" s="3190"/>
      <c r="R325" s="3190"/>
      <c r="S325" s="3190"/>
      <c r="T325" s="3190"/>
      <c r="U325" s="3190"/>
    </row>
    <row r="326" spans="1:21" s="960" customFormat="1" ht="14.25" customHeight="1" thickBot="1">
      <c r="A326" s="3170" t="s">
        <v>1156</v>
      </c>
      <c r="B326" s="3158" t="s">
        <v>2978</v>
      </c>
      <c r="C326" s="3158"/>
      <c r="D326" s="3158"/>
      <c r="E326" s="3158"/>
      <c r="F326" s="3159">
        <v>790</v>
      </c>
      <c r="G326" s="3174"/>
      <c r="I326" s="957"/>
      <c r="J326" s="3190"/>
      <c r="K326" s="3190"/>
      <c r="L326" s="3190"/>
      <c r="M326" s="3190"/>
      <c r="N326" s="3190"/>
      <c r="O326" s="3190"/>
      <c r="P326" s="3190"/>
      <c r="Q326" s="3190"/>
      <c r="R326" s="3190"/>
      <c r="S326" s="3190"/>
      <c r="T326" s="3190"/>
      <c r="U326" s="3190"/>
    </row>
    <row r="327" spans="1:21" s="960" customFormat="1" ht="14.25" customHeight="1">
      <c r="A327" s="3169" t="s">
        <v>1157</v>
      </c>
      <c r="B327" s="2405" t="s">
        <v>2979</v>
      </c>
      <c r="C327" s="2405">
        <v>3750</v>
      </c>
      <c r="D327" s="2405">
        <v>3710</v>
      </c>
      <c r="E327" s="2405">
        <v>4080</v>
      </c>
      <c r="F327" s="3177">
        <v>860</v>
      </c>
      <c r="G327" s="3177">
        <v>2210</v>
      </c>
      <c r="I327" s="957"/>
      <c r="J327" s="3190"/>
      <c r="K327" s="3190"/>
      <c r="L327" s="3190"/>
      <c r="M327" s="3190"/>
      <c r="N327" s="3190"/>
      <c r="O327" s="3190"/>
      <c r="P327" s="3190"/>
      <c r="Q327" s="3190"/>
      <c r="R327" s="3190"/>
      <c r="S327" s="3190"/>
      <c r="T327" s="3190"/>
      <c r="U327" s="3190"/>
    </row>
    <row r="328" spans="1:21" s="960" customFormat="1" ht="14.25" customHeight="1">
      <c r="A328" s="3155" t="s">
        <v>1157</v>
      </c>
      <c r="B328" s="3155" t="s">
        <v>981</v>
      </c>
      <c r="C328" s="3155">
        <v>3330</v>
      </c>
      <c r="D328" s="3155">
        <v>3290</v>
      </c>
      <c r="E328" s="3155">
        <v>3610</v>
      </c>
      <c r="F328" s="3155">
        <v>850</v>
      </c>
      <c r="G328" s="3155">
        <v>1960</v>
      </c>
      <c r="H328" s="957"/>
      <c r="I328" s="957"/>
      <c r="J328" s="3190"/>
      <c r="K328" s="3190"/>
      <c r="L328" s="3190"/>
      <c r="M328" s="3190"/>
      <c r="N328" s="3190"/>
      <c r="O328" s="3190"/>
      <c r="P328" s="3190"/>
      <c r="Q328" s="3190"/>
      <c r="R328" s="3190"/>
      <c r="S328" s="3190"/>
      <c r="T328" s="3190"/>
      <c r="U328" s="3190"/>
    </row>
    <row r="329" spans="1:21" s="960" customFormat="1" ht="14.25" customHeight="1">
      <c r="A329" s="3155" t="s">
        <v>1157</v>
      </c>
      <c r="B329" s="3155" t="s">
        <v>2980</v>
      </c>
      <c r="C329" s="3155">
        <v>2730</v>
      </c>
      <c r="D329" s="3155">
        <v>2690</v>
      </c>
      <c r="E329" s="3155">
        <v>3100</v>
      </c>
      <c r="F329" s="3155">
        <v>660</v>
      </c>
      <c r="G329" s="3155">
        <v>1610</v>
      </c>
      <c r="H329" s="957"/>
      <c r="I329" s="957"/>
      <c r="J329" s="3190"/>
      <c r="K329" s="3190"/>
      <c r="L329" s="3190"/>
      <c r="M329" s="3190"/>
      <c r="N329" s="3190"/>
      <c r="O329" s="3190"/>
      <c r="P329" s="3190"/>
      <c r="Q329" s="3190"/>
      <c r="R329" s="3190"/>
      <c r="S329" s="3190"/>
      <c r="T329" s="3190"/>
      <c r="U329" s="3190"/>
    </row>
    <row r="330" spans="1:21" s="960" customFormat="1" ht="14.25" customHeight="1">
      <c r="A330" s="3155" t="s">
        <v>1157</v>
      </c>
      <c r="B330" s="3155" t="s">
        <v>2981</v>
      </c>
      <c r="C330" s="3155">
        <v>3270</v>
      </c>
      <c r="D330" s="3155">
        <v>3240</v>
      </c>
      <c r="E330" s="3155">
        <v>3560</v>
      </c>
      <c r="F330" s="3155">
        <v>680</v>
      </c>
      <c r="G330" s="3164">
        <v>1940</v>
      </c>
      <c r="H330" s="957"/>
      <c r="I330" s="957"/>
      <c r="J330" s="3190"/>
      <c r="K330" s="3190"/>
      <c r="L330" s="3190"/>
      <c r="M330" s="3190"/>
      <c r="N330" s="3190"/>
      <c r="O330" s="3190"/>
      <c r="P330" s="3190"/>
      <c r="Q330" s="3190"/>
      <c r="R330" s="3190"/>
      <c r="S330" s="3190"/>
      <c r="T330" s="3190"/>
      <c r="U330" s="3190"/>
    </row>
    <row r="331" spans="1:21" s="960" customFormat="1" ht="14.25" customHeight="1">
      <c r="A331" s="3155" t="s">
        <v>1157</v>
      </c>
      <c r="B331" s="3155" t="s">
        <v>1008</v>
      </c>
      <c r="C331" s="3155">
        <v>3770</v>
      </c>
      <c r="D331" s="3155">
        <v>3740</v>
      </c>
      <c r="E331" s="3155">
        <v>4110</v>
      </c>
      <c r="F331" s="3155">
        <v>730</v>
      </c>
      <c r="G331" s="3155">
        <v>2230</v>
      </c>
      <c r="H331" s="957"/>
      <c r="I331" s="957"/>
      <c r="J331" s="3190"/>
      <c r="K331" s="3190"/>
      <c r="L331" s="3190"/>
      <c r="M331" s="3190"/>
      <c r="N331" s="3190"/>
      <c r="O331" s="3190"/>
      <c r="P331" s="3190"/>
      <c r="Q331" s="3190"/>
      <c r="R331" s="3190"/>
      <c r="S331" s="3190"/>
      <c r="T331" s="3190"/>
      <c r="U331" s="3190"/>
    </row>
    <row r="332" spans="1:21" s="960" customFormat="1" ht="14.25" customHeight="1">
      <c r="A332" s="3155" t="s">
        <v>1157</v>
      </c>
      <c r="B332" s="3155" t="s">
        <v>2982</v>
      </c>
      <c r="C332" s="3155">
        <v>3520</v>
      </c>
      <c r="D332" s="3155">
        <v>3480</v>
      </c>
      <c r="E332" s="3155">
        <v>3830</v>
      </c>
      <c r="F332" s="3155">
        <v>720</v>
      </c>
      <c r="G332" s="3155">
        <v>2090</v>
      </c>
      <c r="H332" s="957"/>
      <c r="I332" s="957"/>
      <c r="J332" s="3190"/>
      <c r="K332" s="3190"/>
      <c r="L332" s="3190"/>
      <c r="M332" s="3190"/>
      <c r="N332" s="3190"/>
      <c r="O332" s="3190"/>
      <c r="P332" s="3190"/>
      <c r="Q332" s="3190"/>
      <c r="R332" s="3190"/>
      <c r="S332" s="3190"/>
      <c r="T332" s="3190"/>
      <c r="U332" s="3190"/>
    </row>
    <row r="333" spans="1:21" s="960" customFormat="1" ht="14.25" customHeight="1">
      <c r="A333" s="3155" t="s">
        <v>1157</v>
      </c>
      <c r="B333" s="3155" t="s">
        <v>2983</v>
      </c>
      <c r="C333" s="3155">
        <v>3840</v>
      </c>
      <c r="D333" s="3155">
        <v>3800</v>
      </c>
      <c r="E333" s="3155">
        <v>4200</v>
      </c>
      <c r="F333" s="3155">
        <v>760</v>
      </c>
      <c r="G333" s="3155">
        <v>2270</v>
      </c>
      <c r="H333" s="957"/>
      <c r="I333" s="957"/>
      <c r="J333" s="3190"/>
      <c r="K333" s="3190"/>
      <c r="L333" s="3190"/>
      <c r="M333" s="3190"/>
      <c r="N333" s="3190"/>
      <c r="O333" s="3190"/>
      <c r="P333" s="3190"/>
      <c r="Q333" s="3190"/>
      <c r="R333" s="3190"/>
      <c r="S333" s="3190"/>
      <c r="T333" s="3190"/>
      <c r="U333" s="3190"/>
    </row>
    <row r="334" spans="1:21" s="960" customFormat="1" ht="14.25" customHeight="1">
      <c r="A334" s="3155" t="s">
        <v>1157</v>
      </c>
      <c r="B334" s="3155" t="s">
        <v>1030</v>
      </c>
      <c r="C334" s="3155">
        <v>3960</v>
      </c>
      <c r="D334" s="3155">
        <v>3910</v>
      </c>
      <c r="E334" s="3155">
        <v>4340</v>
      </c>
      <c r="F334" s="3155">
        <v>780</v>
      </c>
      <c r="G334" s="3155">
        <v>2340</v>
      </c>
      <c r="H334" s="957"/>
      <c r="I334" s="957"/>
      <c r="J334" s="3190"/>
      <c r="K334" s="3190"/>
      <c r="L334" s="3190"/>
      <c r="M334" s="3190"/>
      <c r="N334" s="3190"/>
      <c r="O334" s="3190"/>
      <c r="P334" s="3190"/>
      <c r="Q334" s="3190"/>
      <c r="R334" s="3190"/>
      <c r="S334" s="3190"/>
      <c r="T334" s="3190"/>
      <c r="U334" s="3190"/>
    </row>
    <row r="335" spans="1:21" s="960" customFormat="1" ht="14.25" customHeight="1">
      <c r="A335" s="3155" t="s">
        <v>1157</v>
      </c>
      <c r="B335" s="3155" t="s">
        <v>1040</v>
      </c>
      <c r="C335" s="3155">
        <v>3710</v>
      </c>
      <c r="D335" s="3155">
        <v>3670</v>
      </c>
      <c r="E335" s="3155">
        <v>4030</v>
      </c>
      <c r="F335" s="3155">
        <v>750</v>
      </c>
      <c r="G335" s="3164">
        <v>2200</v>
      </c>
      <c r="H335" s="957"/>
      <c r="I335" s="957"/>
      <c r="J335" s="3190"/>
      <c r="K335" s="3190"/>
      <c r="L335" s="3190"/>
      <c r="M335" s="3190"/>
      <c r="N335" s="3190"/>
      <c r="O335" s="3190"/>
      <c r="P335" s="3190"/>
      <c r="Q335" s="3190"/>
      <c r="R335" s="3190"/>
      <c r="S335" s="3190"/>
      <c r="T335" s="3190"/>
      <c r="U335" s="3190"/>
    </row>
    <row r="336" spans="1:21" s="960" customFormat="1" ht="14.25" customHeight="1">
      <c r="A336" s="3155" t="s">
        <v>1157</v>
      </c>
      <c r="B336" s="3155" t="s">
        <v>2984</v>
      </c>
      <c r="C336" s="3155">
        <v>3570</v>
      </c>
      <c r="D336" s="3155">
        <v>3530</v>
      </c>
      <c r="E336" s="3155">
        <v>3880</v>
      </c>
      <c r="F336" s="3155">
        <v>770</v>
      </c>
      <c r="G336" s="3155">
        <v>2110</v>
      </c>
      <c r="H336" s="957"/>
      <c r="I336" s="957"/>
      <c r="J336" s="3190"/>
      <c r="K336" s="3190"/>
      <c r="L336" s="3190"/>
      <c r="M336" s="3190"/>
      <c r="N336" s="3190"/>
      <c r="O336" s="3190"/>
      <c r="P336" s="3190"/>
      <c r="Q336" s="3190"/>
      <c r="R336" s="3190"/>
      <c r="S336" s="3190"/>
      <c r="T336" s="3190"/>
      <c r="U336" s="3190"/>
    </row>
    <row r="337" spans="1:21" s="960" customFormat="1" ht="14.25" customHeight="1">
      <c r="A337" s="3155" t="s">
        <v>1157</v>
      </c>
      <c r="B337" s="3155" t="s">
        <v>2985</v>
      </c>
      <c r="C337" s="3155">
        <v>3780</v>
      </c>
      <c r="D337" s="3155">
        <v>3750</v>
      </c>
      <c r="E337" s="3155">
        <v>4130</v>
      </c>
      <c r="F337" s="3155">
        <v>750</v>
      </c>
      <c r="G337" s="3155">
        <v>2240</v>
      </c>
      <c r="H337" s="957"/>
      <c r="I337" s="957"/>
      <c r="J337" s="3190"/>
      <c r="K337" s="3190"/>
      <c r="L337" s="3190"/>
      <c r="M337" s="3190"/>
      <c r="N337" s="3190"/>
      <c r="O337" s="3190"/>
      <c r="P337" s="3190"/>
      <c r="Q337" s="3190"/>
      <c r="R337" s="3190"/>
      <c r="S337" s="3190"/>
      <c r="T337" s="3190"/>
      <c r="U337" s="3190"/>
    </row>
    <row r="338" spans="1:21" s="960" customFormat="1" ht="14.25" customHeight="1">
      <c r="A338" s="3155" t="s">
        <v>1157</v>
      </c>
      <c r="B338" s="3155" t="s">
        <v>1068</v>
      </c>
      <c r="C338" s="3155">
        <v>3600</v>
      </c>
      <c r="D338" s="3155">
        <v>3570</v>
      </c>
      <c r="E338" s="3155">
        <v>3920</v>
      </c>
      <c r="F338" s="3155">
        <v>790</v>
      </c>
      <c r="G338" s="3164">
        <v>2140</v>
      </c>
      <c r="H338" s="957"/>
      <c r="I338" s="957"/>
      <c r="J338" s="3190"/>
      <c r="K338" s="3190"/>
      <c r="L338" s="3190"/>
      <c r="M338" s="3190"/>
      <c r="N338" s="3190"/>
      <c r="O338" s="3190"/>
      <c r="P338" s="3190"/>
      <c r="Q338" s="3190"/>
      <c r="R338" s="3190"/>
      <c r="S338" s="3190"/>
      <c r="T338" s="3190"/>
      <c r="U338" s="3190"/>
    </row>
    <row r="339" spans="1:21" s="960" customFormat="1" ht="14.25" customHeight="1">
      <c r="A339" s="3155" t="s">
        <v>1157</v>
      </c>
      <c r="B339" s="3155" t="s">
        <v>1076</v>
      </c>
      <c r="C339" s="3155">
        <v>3540</v>
      </c>
      <c r="D339" s="3155">
        <v>3500</v>
      </c>
      <c r="E339" s="3155">
        <v>3850</v>
      </c>
      <c r="F339" s="3155">
        <v>780</v>
      </c>
      <c r="G339" s="3164">
        <v>2100</v>
      </c>
      <c r="H339" s="957"/>
      <c r="I339" s="957"/>
      <c r="J339" s="3190"/>
      <c r="K339" s="3190"/>
      <c r="L339" s="3190"/>
      <c r="M339" s="3190"/>
      <c r="N339" s="3190"/>
      <c r="O339" s="3190"/>
      <c r="P339" s="3190"/>
      <c r="Q339" s="3190"/>
      <c r="R339" s="3190"/>
      <c r="S339" s="3190"/>
      <c r="T339" s="3190"/>
      <c r="U339" s="3190"/>
    </row>
    <row r="340" spans="1:21" s="960" customFormat="1" ht="14.25" customHeight="1">
      <c r="A340" s="3155" t="s">
        <v>1157</v>
      </c>
      <c r="B340" s="3155" t="s">
        <v>2986</v>
      </c>
      <c r="C340" s="3155">
        <v>3850</v>
      </c>
      <c r="D340" s="3155">
        <v>3810</v>
      </c>
      <c r="E340" s="3155">
        <v>4210</v>
      </c>
      <c r="F340" s="3155">
        <v>750</v>
      </c>
      <c r="G340" s="3164">
        <v>2280</v>
      </c>
      <c r="H340" s="957"/>
      <c r="I340" s="957"/>
      <c r="J340" s="3190"/>
      <c r="K340" s="3190"/>
      <c r="L340" s="3190"/>
      <c r="M340" s="3190"/>
      <c r="N340" s="3190"/>
      <c r="O340" s="3190"/>
      <c r="P340" s="3190"/>
      <c r="Q340" s="3190"/>
      <c r="R340" s="3190"/>
      <c r="S340" s="3190"/>
      <c r="T340" s="3190"/>
      <c r="U340" s="3190"/>
    </row>
    <row r="341" spans="1:21" s="960" customFormat="1" ht="14.25" customHeight="1">
      <c r="A341" s="3155" t="s">
        <v>1157</v>
      </c>
      <c r="B341" s="3155" t="s">
        <v>1054</v>
      </c>
      <c r="C341" s="3155">
        <v>3780</v>
      </c>
      <c r="D341" s="3155">
        <v>3750</v>
      </c>
      <c r="E341" s="3155">
        <v>4140</v>
      </c>
      <c r="F341" s="3155">
        <v>720</v>
      </c>
      <c r="G341" s="3155">
        <v>2240</v>
      </c>
      <c r="H341" s="957"/>
      <c r="I341" s="957"/>
      <c r="J341" s="3190"/>
      <c r="K341" s="3190"/>
      <c r="L341" s="3190"/>
      <c r="M341" s="3190"/>
      <c r="N341" s="3190"/>
      <c r="O341" s="3190"/>
      <c r="P341" s="3190"/>
      <c r="Q341" s="3190"/>
      <c r="R341" s="3190"/>
      <c r="S341" s="3190"/>
      <c r="T341" s="3190"/>
      <c r="U341" s="3190"/>
    </row>
    <row r="342" spans="1:21" s="960" customFormat="1" ht="14.25" customHeight="1">
      <c r="A342" s="3155" t="s">
        <v>1157</v>
      </c>
      <c r="B342" s="3155" t="s">
        <v>2987</v>
      </c>
      <c r="C342" s="3155">
        <v>3670</v>
      </c>
      <c r="D342" s="3155">
        <v>3620</v>
      </c>
      <c r="E342" s="3155">
        <v>3990</v>
      </c>
      <c r="F342" s="3155">
        <v>760</v>
      </c>
      <c r="G342" s="3155">
        <v>2170</v>
      </c>
      <c r="H342" s="957"/>
      <c r="I342" s="957"/>
      <c r="J342" s="3190"/>
      <c r="K342" s="3190"/>
      <c r="L342" s="3190"/>
      <c r="M342" s="3190"/>
      <c r="N342" s="3190"/>
      <c r="O342" s="3190"/>
      <c r="P342" s="3190"/>
      <c r="Q342" s="3190"/>
      <c r="R342" s="3190"/>
      <c r="S342" s="3190"/>
      <c r="T342" s="3190"/>
      <c r="U342" s="3190"/>
    </row>
    <row r="343" spans="1:21" s="960" customFormat="1" ht="14.25" customHeight="1">
      <c r="A343" s="3155" t="s">
        <v>1157</v>
      </c>
      <c r="B343" s="3155" t="s">
        <v>1105</v>
      </c>
      <c r="C343" s="3155">
        <v>3760</v>
      </c>
      <c r="D343" s="3155">
        <v>3720</v>
      </c>
      <c r="E343" s="3155">
        <v>4090</v>
      </c>
      <c r="F343" s="3155">
        <v>780</v>
      </c>
      <c r="G343" s="3155">
        <v>2220</v>
      </c>
      <c r="H343" s="957"/>
      <c r="I343" s="957"/>
      <c r="J343" s="3190"/>
      <c r="K343" s="3190"/>
      <c r="L343" s="3190"/>
      <c r="M343" s="3190"/>
      <c r="N343" s="3190"/>
      <c r="O343" s="3190"/>
      <c r="P343" s="3190"/>
      <c r="Q343" s="3190"/>
      <c r="R343" s="3190"/>
      <c r="S343" s="3190"/>
      <c r="T343" s="3190"/>
      <c r="U343" s="3190"/>
    </row>
    <row r="344" spans="1:21" s="960" customFormat="1" ht="14.25" customHeight="1">
      <c r="A344" s="3155" t="s">
        <v>1157</v>
      </c>
      <c r="B344" s="3155" t="s">
        <v>1113</v>
      </c>
      <c r="C344" s="3155">
        <v>3680</v>
      </c>
      <c r="D344" s="3155">
        <v>3640</v>
      </c>
      <c r="E344" s="3155">
        <v>4010</v>
      </c>
      <c r="F344" s="3155">
        <v>750</v>
      </c>
      <c r="G344" s="3155">
        <v>2180</v>
      </c>
      <c r="H344" s="957"/>
      <c r="I344" s="957"/>
      <c r="J344" s="3190"/>
      <c r="K344" s="3190"/>
      <c r="L344" s="3190"/>
      <c r="M344" s="3190"/>
      <c r="N344" s="3190"/>
      <c r="O344" s="3190"/>
      <c r="P344" s="3190"/>
      <c r="Q344" s="3190"/>
      <c r="R344" s="3190"/>
      <c r="S344" s="3190"/>
      <c r="T344" s="3190"/>
      <c r="U344" s="3190"/>
    </row>
    <row r="345" spans="1:21">
      <c r="A345" s="3164" t="s">
        <v>1157</v>
      </c>
      <c r="B345" s="3164" t="s">
        <v>2988</v>
      </c>
      <c r="C345" s="3164">
        <v>3190</v>
      </c>
      <c r="D345" s="3164">
        <v>3140</v>
      </c>
      <c r="E345" s="3164">
        <v>3450</v>
      </c>
      <c r="F345" s="3164">
        <v>720</v>
      </c>
      <c r="G345" s="3164">
        <v>1880</v>
      </c>
      <c r="H345" s="957"/>
    </row>
    <row r="346" spans="1:21">
      <c r="A346" s="3164" t="s">
        <v>1157</v>
      </c>
      <c r="B346" s="3164" t="s">
        <v>2989</v>
      </c>
      <c r="C346" s="3164">
        <v>3630</v>
      </c>
      <c r="D346" s="3164">
        <v>3590</v>
      </c>
      <c r="E346" s="3164">
        <v>3940</v>
      </c>
      <c r="F346" s="3164">
        <v>730</v>
      </c>
      <c r="G346" s="3164">
        <v>2150</v>
      </c>
      <c r="H346" s="957"/>
    </row>
    <row r="347" spans="1:21">
      <c r="A347" s="3164" t="s">
        <v>1157</v>
      </c>
      <c r="B347" s="3164" t="s">
        <v>1091</v>
      </c>
      <c r="C347" s="3164">
        <v>3860</v>
      </c>
      <c r="D347" s="3164">
        <v>3820</v>
      </c>
      <c r="E347" s="3164">
        <v>4220</v>
      </c>
      <c r="F347" s="3164">
        <v>750</v>
      </c>
      <c r="G347" s="3164">
        <v>2280</v>
      </c>
      <c r="H347" s="957"/>
    </row>
    <row r="348" spans="1:21">
      <c r="A348" s="3164" t="s">
        <v>1157</v>
      </c>
      <c r="B348" s="3164" t="s">
        <v>2990</v>
      </c>
      <c r="C348" s="3164">
        <v>4000</v>
      </c>
      <c r="D348" s="3164">
        <v>3950</v>
      </c>
      <c r="E348" s="3164">
        <v>4430</v>
      </c>
      <c r="F348" s="3164">
        <v>760</v>
      </c>
      <c r="G348" s="3164">
        <v>2360</v>
      </c>
      <c r="H348" s="957"/>
    </row>
    <row r="349" spans="1:21">
      <c r="A349" s="3164" t="s">
        <v>1157</v>
      </c>
      <c r="B349" s="3164" t="s">
        <v>2991</v>
      </c>
      <c r="C349" s="3164">
        <v>3820</v>
      </c>
      <c r="D349" s="3164">
        <v>3780</v>
      </c>
      <c r="E349" s="3164">
        <v>4170</v>
      </c>
      <c r="F349" s="3164">
        <v>710</v>
      </c>
      <c r="G349" s="3164">
        <v>2260</v>
      </c>
      <c r="H349" s="957"/>
    </row>
    <row r="350" spans="1:21">
      <c r="A350" s="3164" t="s">
        <v>1157</v>
      </c>
      <c r="B350" s="3164" t="s">
        <v>2992</v>
      </c>
      <c r="C350" s="3164">
        <v>3760</v>
      </c>
      <c r="D350" s="3164">
        <v>3730</v>
      </c>
      <c r="E350" s="3164">
        <v>4100</v>
      </c>
      <c r="F350" s="3164">
        <v>800</v>
      </c>
      <c r="G350" s="3164">
        <v>2230</v>
      </c>
      <c r="H350" s="957"/>
    </row>
    <row r="351" spans="1:21">
      <c r="A351" s="3164" t="s">
        <v>1157</v>
      </c>
      <c r="B351" s="3164" t="s">
        <v>2993</v>
      </c>
      <c r="C351" s="3164">
        <v>3610</v>
      </c>
      <c r="D351" s="3164">
        <v>3580</v>
      </c>
      <c r="E351" s="3164">
        <v>3930</v>
      </c>
      <c r="F351" s="3164">
        <v>700</v>
      </c>
      <c r="G351" s="3164">
        <v>2140</v>
      </c>
      <c r="H351" s="957"/>
    </row>
    <row r="352" spans="1:21">
      <c r="A352" s="3164" t="s">
        <v>1157</v>
      </c>
      <c r="B352" s="3164" t="s">
        <v>2994</v>
      </c>
      <c r="C352" s="3164">
        <v>3670</v>
      </c>
      <c r="D352" s="3164">
        <v>3630</v>
      </c>
      <c r="E352" s="3164">
        <v>4000</v>
      </c>
      <c r="F352" s="3164">
        <v>750</v>
      </c>
      <c r="G352" s="3164">
        <v>2180</v>
      </c>
      <c r="H352" s="957"/>
    </row>
    <row r="353" spans="1:8">
      <c r="A353" s="3164" t="s">
        <v>1157</v>
      </c>
      <c r="B353" s="3164" t="s">
        <v>2995</v>
      </c>
      <c r="C353" s="3164">
        <v>3190</v>
      </c>
      <c r="D353" s="3164">
        <v>3150</v>
      </c>
      <c r="E353" s="3164">
        <v>3640</v>
      </c>
      <c r="F353" s="3164">
        <v>630</v>
      </c>
      <c r="G353" s="3164">
        <v>1890</v>
      </c>
      <c r="H353" s="957"/>
    </row>
    <row r="354" spans="1:8">
      <c r="A354" s="3164" t="s">
        <v>1157</v>
      </c>
      <c r="B354" s="3164" t="s">
        <v>1129</v>
      </c>
      <c r="C354" s="3164">
        <v>3450</v>
      </c>
      <c r="D354" s="3164">
        <v>3420</v>
      </c>
      <c r="E354" s="3164">
        <v>3960</v>
      </c>
      <c r="F354" s="3164">
        <v>660</v>
      </c>
      <c r="G354" s="3164">
        <v>2050</v>
      </c>
      <c r="H354" s="957"/>
    </row>
    <row r="355" spans="1:8">
      <c r="A355" s="3164" t="s">
        <v>1157</v>
      </c>
      <c r="B355" s="3164" t="s">
        <v>2996</v>
      </c>
      <c r="C355" s="3164">
        <v>3650</v>
      </c>
      <c r="D355" s="3164">
        <v>3610</v>
      </c>
      <c r="E355" s="3164">
        <v>4200</v>
      </c>
      <c r="F355" s="3164">
        <v>640</v>
      </c>
      <c r="G355" s="3164">
        <v>2160</v>
      </c>
      <c r="H355" s="957"/>
    </row>
    <row r="356" spans="1:8">
      <c r="A356" s="3164" t="s">
        <v>1157</v>
      </c>
      <c r="B356" s="3164" t="s">
        <v>2997</v>
      </c>
      <c r="C356" s="3164">
        <v>3260</v>
      </c>
      <c r="D356" s="3164">
        <v>3230</v>
      </c>
      <c r="E356" s="3164">
        <v>3740</v>
      </c>
      <c r="F356" s="3164">
        <v>600</v>
      </c>
      <c r="G356" s="3164">
        <v>1930</v>
      </c>
      <c r="H356" s="957"/>
    </row>
    <row r="357" spans="1:8" ht="14.25" thickBot="1">
      <c r="A357" s="3179" t="s">
        <v>1157</v>
      </c>
      <c r="B357" s="3179" t="s">
        <v>2998</v>
      </c>
      <c r="C357" s="3179">
        <v>3690</v>
      </c>
      <c r="D357" s="3179">
        <v>3650</v>
      </c>
      <c r="E357" s="3179">
        <v>4020</v>
      </c>
      <c r="F357" s="3179">
        <v>700</v>
      </c>
      <c r="G357" s="3179">
        <v>2190</v>
      </c>
      <c r="H357" s="957"/>
    </row>
    <row r="358" spans="1:8">
      <c r="A358" s="3180" t="s">
        <v>2756</v>
      </c>
      <c r="B358" s="3181" t="s">
        <v>2999</v>
      </c>
      <c r="C358" s="3181">
        <v>2080</v>
      </c>
      <c r="D358" s="3181">
        <v>2040</v>
      </c>
      <c r="E358" s="3181">
        <v>2010</v>
      </c>
      <c r="F358" s="3181">
        <v>530</v>
      </c>
      <c r="G358" s="3182">
        <v>1230</v>
      </c>
      <c r="H358" s="957"/>
    </row>
    <row r="359" spans="1:8">
      <c r="A359" s="3183" t="s">
        <v>2756</v>
      </c>
      <c r="B359" s="3164" t="s">
        <v>3000</v>
      </c>
      <c r="C359" s="3164">
        <v>1850</v>
      </c>
      <c r="D359" s="3164">
        <v>1820</v>
      </c>
      <c r="E359" s="3164">
        <v>1780</v>
      </c>
      <c r="F359" s="3164">
        <v>520</v>
      </c>
      <c r="G359" s="3176">
        <v>1100</v>
      </c>
      <c r="H359" s="957"/>
    </row>
    <row r="360" spans="1:8">
      <c r="A360" s="3183" t="s">
        <v>2756</v>
      </c>
      <c r="B360" s="3164" t="s">
        <v>3001</v>
      </c>
      <c r="C360" s="3164">
        <v>2020</v>
      </c>
      <c r="D360" s="3164">
        <v>1990</v>
      </c>
      <c r="E360" s="3164">
        <v>1950</v>
      </c>
      <c r="F360" s="3164">
        <v>500</v>
      </c>
      <c r="G360" s="3176">
        <v>1200</v>
      </c>
      <c r="H360" s="957"/>
    </row>
    <row r="361" spans="1:8">
      <c r="A361" s="3183" t="s">
        <v>2756</v>
      </c>
      <c r="B361" s="3164" t="s">
        <v>999</v>
      </c>
      <c r="C361" s="3164">
        <v>2260</v>
      </c>
      <c r="D361" s="3164">
        <v>2220</v>
      </c>
      <c r="E361" s="3164">
        <v>2180</v>
      </c>
      <c r="F361" s="3164">
        <v>580</v>
      </c>
      <c r="G361" s="3176">
        <v>1340</v>
      </c>
      <c r="H361" s="957"/>
    </row>
    <row r="362" spans="1:8">
      <c r="A362" s="3183" t="s">
        <v>2756</v>
      </c>
      <c r="B362" s="3164" t="s">
        <v>3002</v>
      </c>
      <c r="C362" s="3164">
        <v>2650</v>
      </c>
      <c r="D362" s="3164">
        <v>2610</v>
      </c>
      <c r="E362" s="3164">
        <v>2570</v>
      </c>
      <c r="F362" s="3164">
        <v>630</v>
      </c>
      <c r="G362" s="3176">
        <v>1570</v>
      </c>
      <c r="H362" s="957"/>
    </row>
    <row r="363" spans="1:8">
      <c r="A363" s="3183" t="s">
        <v>2756</v>
      </c>
      <c r="B363" s="3164" t="s">
        <v>3003</v>
      </c>
      <c r="C363" s="3164">
        <v>2390</v>
      </c>
      <c r="D363" s="3164">
        <v>2360</v>
      </c>
      <c r="E363" s="3164">
        <v>2320</v>
      </c>
      <c r="F363" s="3164">
        <v>600</v>
      </c>
      <c r="G363" s="3176">
        <v>1420</v>
      </c>
      <c r="H363" s="957"/>
    </row>
    <row r="364" spans="1:8">
      <c r="A364" s="3183" t="s">
        <v>2756</v>
      </c>
      <c r="B364" s="3164" t="s">
        <v>3004</v>
      </c>
      <c r="C364" s="3164">
        <v>2050</v>
      </c>
      <c r="D364" s="3164">
        <v>2030</v>
      </c>
      <c r="E364" s="3164">
        <v>1990</v>
      </c>
      <c r="F364" s="3164">
        <v>550</v>
      </c>
      <c r="G364" s="3176">
        <v>1220</v>
      </c>
      <c r="H364" s="957"/>
    </row>
    <row r="365" spans="1:8">
      <c r="A365" s="3183" t="s">
        <v>2756</v>
      </c>
      <c r="B365" s="3164" t="s">
        <v>1047</v>
      </c>
      <c r="C365" s="3164">
        <v>2140</v>
      </c>
      <c r="D365" s="3164">
        <v>2100</v>
      </c>
      <c r="E365" s="3164">
        <v>2060</v>
      </c>
      <c r="F365" s="3164">
        <v>540</v>
      </c>
      <c r="G365" s="3176">
        <v>1270</v>
      </c>
      <c r="H365" s="957"/>
    </row>
    <row r="366" spans="1:8">
      <c r="A366" s="3183" t="s">
        <v>2756</v>
      </c>
      <c r="B366" s="3164" t="s">
        <v>3005</v>
      </c>
      <c r="C366" s="3164">
        <v>2410</v>
      </c>
      <c r="D366" s="3164">
        <v>2370</v>
      </c>
      <c r="E366" s="3164">
        <v>2330</v>
      </c>
      <c r="F366" s="3164">
        <v>570</v>
      </c>
      <c r="G366" s="3176">
        <v>1440</v>
      </c>
      <c r="H366" s="957"/>
    </row>
    <row r="367" spans="1:8">
      <c r="A367" s="3183" t="s">
        <v>2756</v>
      </c>
      <c r="B367" s="3164" t="s">
        <v>3006</v>
      </c>
      <c r="C367" s="3164">
        <v>2300</v>
      </c>
      <c r="D367" s="3164">
        <v>2260</v>
      </c>
      <c r="E367" s="3164">
        <v>2220</v>
      </c>
      <c r="F367" s="3164">
        <v>560</v>
      </c>
      <c r="G367" s="3176">
        <v>1370</v>
      </c>
      <c r="H367" s="957"/>
    </row>
    <row r="368" spans="1:8">
      <c r="A368" s="3183" t="s">
        <v>2756</v>
      </c>
      <c r="B368" s="3164" t="s">
        <v>3007</v>
      </c>
      <c r="C368" s="3164">
        <v>2430</v>
      </c>
      <c r="D368" s="3164">
        <v>2390</v>
      </c>
      <c r="E368" s="3164">
        <v>2350</v>
      </c>
      <c r="F368" s="3164">
        <v>570</v>
      </c>
      <c r="G368" s="3176">
        <v>1450</v>
      </c>
      <c r="H368" s="957"/>
    </row>
    <row r="369" spans="1:8">
      <c r="A369" s="3183" t="s">
        <v>2756</v>
      </c>
      <c r="B369" s="3164" t="s">
        <v>1061</v>
      </c>
      <c r="C369" s="3164">
        <v>2320</v>
      </c>
      <c r="D369" s="3164">
        <v>2290</v>
      </c>
      <c r="E369" s="3164">
        <v>2250</v>
      </c>
      <c r="F369" s="3164">
        <v>550</v>
      </c>
      <c r="G369" s="3176">
        <v>1380</v>
      </c>
      <c r="H369" s="957"/>
    </row>
    <row r="370" spans="1:8">
      <c r="A370" s="3183" t="s">
        <v>2756</v>
      </c>
      <c r="B370" s="3164" t="s">
        <v>1069</v>
      </c>
      <c r="C370" s="3164">
        <v>2190</v>
      </c>
      <c r="D370" s="3164">
        <v>2170</v>
      </c>
      <c r="E370" s="3164">
        <v>2130</v>
      </c>
      <c r="F370" s="3164">
        <v>530</v>
      </c>
      <c r="G370" s="3176">
        <v>1310</v>
      </c>
      <c r="H370" s="957"/>
    </row>
    <row r="371" spans="1:8">
      <c r="A371" s="3183" t="s">
        <v>2756</v>
      </c>
      <c r="B371" s="3164" t="s">
        <v>1077</v>
      </c>
      <c r="C371" s="3164">
        <v>2460</v>
      </c>
      <c r="D371" s="3164">
        <v>2420</v>
      </c>
      <c r="E371" s="3164">
        <v>2370</v>
      </c>
      <c r="F371" s="3164">
        <v>560</v>
      </c>
      <c r="G371" s="3176">
        <v>1470</v>
      </c>
      <c r="H371" s="957"/>
    </row>
    <row r="372" spans="1:8">
      <c r="A372" s="3183" t="s">
        <v>2756</v>
      </c>
      <c r="B372" s="3164" t="s">
        <v>3008</v>
      </c>
      <c r="C372" s="3164">
        <v>2250</v>
      </c>
      <c r="D372" s="3164">
        <v>2210</v>
      </c>
      <c r="E372" s="3164">
        <v>2180</v>
      </c>
      <c r="F372" s="3164">
        <v>550</v>
      </c>
      <c r="G372" s="3176">
        <v>1340</v>
      </c>
      <c r="H372" s="957"/>
    </row>
    <row r="373" spans="1:8">
      <c r="A373" s="3183" t="s">
        <v>2756</v>
      </c>
      <c r="B373" s="3164" t="s">
        <v>1106</v>
      </c>
      <c r="C373" s="3164">
        <v>2210</v>
      </c>
      <c r="D373" s="3164">
        <v>2190</v>
      </c>
      <c r="E373" s="3164">
        <v>2150</v>
      </c>
      <c r="F373" s="3164">
        <v>530</v>
      </c>
      <c r="G373" s="3176">
        <v>1320</v>
      </c>
      <c r="H373" s="957"/>
    </row>
    <row r="374" spans="1:8">
      <c r="A374" s="3183" t="s">
        <v>2756</v>
      </c>
      <c r="B374" s="3164" t="s">
        <v>1114</v>
      </c>
      <c r="C374" s="3164">
        <v>2320</v>
      </c>
      <c r="D374" s="3164">
        <v>2280</v>
      </c>
      <c r="E374" s="3164">
        <v>2230</v>
      </c>
      <c r="F374" s="3164">
        <v>580</v>
      </c>
      <c r="G374" s="3176">
        <v>1380</v>
      </c>
      <c r="H374" s="957"/>
    </row>
    <row r="375" spans="1:8">
      <c r="A375" s="3183" t="s">
        <v>2756</v>
      </c>
      <c r="B375" s="3164" t="s">
        <v>3009</v>
      </c>
      <c r="C375" s="3164">
        <v>2090</v>
      </c>
      <c r="D375" s="3164">
        <v>2050</v>
      </c>
      <c r="E375" s="3164">
        <v>2020</v>
      </c>
      <c r="F375" s="3164">
        <v>520</v>
      </c>
      <c r="G375" s="3176">
        <v>1240</v>
      </c>
      <c r="H375" s="957"/>
    </row>
    <row r="376" spans="1:8">
      <c r="A376" s="3183" t="s">
        <v>2756</v>
      </c>
      <c r="B376" s="3164" t="s">
        <v>1126</v>
      </c>
      <c r="C376" s="3164">
        <v>2010</v>
      </c>
      <c r="D376" s="3164">
        <v>1980</v>
      </c>
      <c r="E376" s="3164">
        <v>1940</v>
      </c>
      <c r="F376" s="3164">
        <v>540</v>
      </c>
      <c r="G376" s="3176">
        <v>1190</v>
      </c>
      <c r="H376" s="957"/>
    </row>
    <row r="377" spans="1:8" ht="14.25" thickBot="1">
      <c r="A377" s="3185" t="s">
        <v>2756</v>
      </c>
      <c r="B377" s="3179" t="s">
        <v>3010</v>
      </c>
      <c r="C377" s="3179">
        <v>1930</v>
      </c>
      <c r="D377" s="3179">
        <v>1890</v>
      </c>
      <c r="E377" s="3179">
        <v>1860</v>
      </c>
      <c r="F377" s="3179">
        <v>530</v>
      </c>
      <c r="G377" s="3186">
        <v>1150</v>
      </c>
      <c r="H377" s="957"/>
    </row>
    <row r="378" spans="1:8">
      <c r="A378" s="3180" t="s">
        <v>2757</v>
      </c>
      <c r="B378" s="3181" t="s">
        <v>3011</v>
      </c>
      <c r="C378" s="3181">
        <v>1520</v>
      </c>
      <c r="D378" s="3181">
        <v>1490</v>
      </c>
      <c r="E378" s="3181">
        <v>1460</v>
      </c>
      <c r="F378" s="3181">
        <v>460</v>
      </c>
      <c r="G378" s="3182">
        <v>940</v>
      </c>
      <c r="H378" s="957"/>
    </row>
    <row r="379" spans="1:8">
      <c r="A379" s="3183" t="s">
        <v>2757</v>
      </c>
      <c r="B379" s="3164" t="s">
        <v>3012</v>
      </c>
      <c r="C379" s="3164">
        <v>1500</v>
      </c>
      <c r="D379" s="3164">
        <v>1470</v>
      </c>
      <c r="E379" s="3164">
        <v>1430</v>
      </c>
      <c r="F379" s="3164">
        <v>460</v>
      </c>
      <c r="G379" s="3176">
        <v>920</v>
      </c>
      <c r="H379" s="957"/>
    </row>
    <row r="380" spans="1:8">
      <c r="A380" s="3183" t="s">
        <v>2757</v>
      </c>
      <c r="B380" s="3164" t="s">
        <v>3013</v>
      </c>
      <c r="C380" s="3164">
        <v>1620</v>
      </c>
      <c r="D380" s="3164">
        <v>1590</v>
      </c>
      <c r="E380" s="3164">
        <v>1560</v>
      </c>
      <c r="F380" s="3164">
        <v>480</v>
      </c>
      <c r="G380" s="3176">
        <v>1000</v>
      </c>
      <c r="H380" s="957"/>
    </row>
    <row r="381" spans="1:8">
      <c r="A381" s="3183" t="s">
        <v>2757</v>
      </c>
      <c r="B381" s="3164" t="s">
        <v>3014</v>
      </c>
      <c r="C381" s="3164">
        <v>1460</v>
      </c>
      <c r="D381" s="3164">
        <v>1430</v>
      </c>
      <c r="E381" s="3164">
        <v>1390</v>
      </c>
      <c r="F381" s="3164">
        <v>450</v>
      </c>
      <c r="G381" s="3176">
        <v>900</v>
      </c>
      <c r="H381" s="957"/>
    </row>
    <row r="382" spans="1:8">
      <c r="A382" s="3183" t="s">
        <v>2757</v>
      </c>
      <c r="B382" s="3164" t="s">
        <v>3015</v>
      </c>
      <c r="C382" s="3164">
        <v>1310</v>
      </c>
      <c r="D382" s="3164">
        <v>1280</v>
      </c>
      <c r="E382" s="3164">
        <v>1250</v>
      </c>
      <c r="F382" s="3164">
        <v>440</v>
      </c>
      <c r="G382" s="3176">
        <v>800</v>
      </c>
      <c r="H382" s="957"/>
    </row>
    <row r="383" spans="1:8">
      <c r="A383" s="3183" t="s">
        <v>2757</v>
      </c>
      <c r="B383" s="3164" t="s">
        <v>3016</v>
      </c>
      <c r="C383" s="3164">
        <v>1260</v>
      </c>
      <c r="D383" s="3164">
        <v>1230</v>
      </c>
      <c r="E383" s="3164">
        <v>1200</v>
      </c>
      <c r="F383" s="3164">
        <v>420</v>
      </c>
      <c r="G383" s="3176">
        <v>770</v>
      </c>
      <c r="H383" s="957"/>
    </row>
    <row r="384" spans="1:8" ht="14.25" thickBot="1">
      <c r="A384" s="3184" t="s">
        <v>2757</v>
      </c>
      <c r="B384" s="3178" t="s">
        <v>3017</v>
      </c>
      <c r="C384" s="3178">
        <v>1170</v>
      </c>
      <c r="D384" s="3178">
        <v>1140</v>
      </c>
      <c r="E384" s="3178">
        <v>1120</v>
      </c>
      <c r="F384" s="3178">
        <v>400</v>
      </c>
      <c r="G384" s="3174">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17"/>
  <sheetViews>
    <sheetView workbookViewId="0">
      <selection sqref="A1:XFD1048576"/>
    </sheetView>
  </sheetViews>
  <sheetFormatPr defaultRowHeight="13.5"/>
  <sheetData>
    <row r="1" spans="1:6">
      <c r="A1" s="3712" t="s">
        <v>3180</v>
      </c>
      <c r="B1" s="3712"/>
      <c r="C1" s="3712"/>
      <c r="D1" s="3712"/>
      <c r="E1" s="3712"/>
      <c r="F1" s="3713"/>
    </row>
    <row r="2" spans="1:6">
      <c r="A2" s="3229" t="s">
        <v>3181</v>
      </c>
      <c r="B2" s="1490"/>
      <c r="C2" s="1490"/>
      <c r="D2" s="1490"/>
      <c r="E2" s="1490"/>
      <c r="F2" s="1490"/>
    </row>
    <row r="3" spans="1:6">
      <c r="A3" s="3229" t="s">
        <v>3182</v>
      </c>
      <c r="B3" s="1490"/>
      <c r="C3" s="1490"/>
      <c r="D3" s="1490"/>
      <c r="E3" s="1490"/>
      <c r="F3" s="3230" t="s">
        <v>3183</v>
      </c>
    </row>
    <row r="4" spans="1:6">
      <c r="A4" s="3231" t="s">
        <v>3178</v>
      </c>
      <c r="B4" s="3231" t="s">
        <v>2732</v>
      </c>
      <c r="C4" s="3231" t="s">
        <v>1212</v>
      </c>
      <c r="D4" s="3231" t="s">
        <v>3179</v>
      </c>
      <c r="E4" s="3231" t="s">
        <v>905</v>
      </c>
      <c r="F4" s="3231" t="s">
        <v>3184</v>
      </c>
    </row>
    <row r="5" spans="1:6">
      <c r="A5" s="3232" t="s">
        <v>2755</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2756</v>
      </c>
      <c r="B16" s="3234">
        <v>2230</v>
      </c>
      <c r="C16" s="3234">
        <v>2200</v>
      </c>
      <c r="D16" s="3234">
        <v>2180</v>
      </c>
      <c r="E16" s="3234">
        <v>570</v>
      </c>
      <c r="F16" s="3234">
        <v>1330</v>
      </c>
    </row>
    <row r="17" spans="1:6">
      <c r="A17" s="3232" t="s">
        <v>2757</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2" t="s">
        <v>2769</v>
      </c>
      <c r="B1" s="920"/>
      <c r="C1" s="920"/>
      <c r="D1" s="920"/>
      <c r="E1" s="920"/>
      <c r="F1" s="920"/>
      <c r="G1" s="920"/>
      <c r="H1" s="920"/>
      <c r="I1" s="920"/>
      <c r="J1" s="920"/>
      <c r="K1" s="920"/>
      <c r="L1" s="920"/>
      <c r="M1" s="920"/>
      <c r="N1" s="920"/>
    </row>
    <row r="2" spans="1:14">
      <c r="A2" s="922" t="s">
        <v>1548</v>
      </c>
      <c r="B2" s="923" t="s">
        <v>990</v>
      </c>
      <c r="C2" s="923" t="s">
        <v>1031</v>
      </c>
      <c r="D2" s="923" t="s">
        <v>1145</v>
      </c>
      <c r="E2" s="923" t="s">
        <v>853</v>
      </c>
      <c r="F2" s="923" t="s">
        <v>1152</v>
      </c>
      <c r="G2" s="923" t="s">
        <v>1153</v>
      </c>
      <c r="H2" s="924" t="s">
        <v>1154</v>
      </c>
      <c r="I2" s="924" t="s">
        <v>1155</v>
      </c>
      <c r="J2" s="925" t="s">
        <v>1156</v>
      </c>
      <c r="K2" s="925" t="s">
        <v>1157</v>
      </c>
      <c r="L2" s="925" t="s">
        <v>2756</v>
      </c>
      <c r="M2" s="925" t="s">
        <v>2757</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2" t="s">
        <v>2770</v>
      </c>
      <c r="B93" s="931"/>
      <c r="C93" s="931"/>
      <c r="D93" s="931"/>
      <c r="E93" s="931"/>
      <c r="F93" s="931"/>
      <c r="G93" s="931"/>
      <c r="H93" s="931"/>
      <c r="I93" s="931"/>
      <c r="J93" s="931"/>
      <c r="K93" s="931"/>
      <c r="L93" s="931"/>
      <c r="M93" s="931"/>
    </row>
    <row r="94" spans="1:14">
      <c r="A94" s="938" t="s">
        <v>1548</v>
      </c>
      <c r="B94" s="931" t="s">
        <v>990</v>
      </c>
      <c r="C94" s="931" t="s">
        <v>1031</v>
      </c>
      <c r="D94" s="931" t="s">
        <v>1145</v>
      </c>
      <c r="E94" s="931" t="s">
        <v>853</v>
      </c>
      <c r="F94" s="931" t="s">
        <v>1152</v>
      </c>
      <c r="G94" s="931" t="s">
        <v>1153</v>
      </c>
      <c r="H94" s="931" t="s">
        <v>1154</v>
      </c>
      <c r="I94" s="931" t="s">
        <v>1155</v>
      </c>
      <c r="J94" s="931" t="s">
        <v>1156</v>
      </c>
      <c r="K94" s="931" t="s">
        <v>1157</v>
      </c>
      <c r="L94" s="931" t="s">
        <v>2756</v>
      </c>
      <c r="M94" s="931" t="s">
        <v>2757</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2" t="s">
        <v>2771</v>
      </c>
      <c r="B185" s="931"/>
      <c r="C185" s="931"/>
      <c r="D185" s="931"/>
      <c r="E185" s="931"/>
      <c r="F185" s="931"/>
      <c r="G185" s="931"/>
      <c r="H185" s="931"/>
      <c r="I185" s="931"/>
      <c r="J185" s="931"/>
      <c r="K185" s="931"/>
      <c r="L185" s="931"/>
      <c r="M185" s="931"/>
    </row>
    <row r="186" spans="1:13">
      <c r="A186" s="922" t="s">
        <v>1548</v>
      </c>
      <c r="B186" s="931" t="s">
        <v>990</v>
      </c>
      <c r="C186" s="931" t="s">
        <v>1031</v>
      </c>
      <c r="D186" s="931" t="s">
        <v>1145</v>
      </c>
      <c r="E186" s="931" t="s">
        <v>853</v>
      </c>
      <c r="F186" s="931" t="s">
        <v>1152</v>
      </c>
      <c r="G186" s="931" t="s">
        <v>1153</v>
      </c>
      <c r="H186" s="931" t="s">
        <v>1154</v>
      </c>
      <c r="I186" s="931" t="s">
        <v>1155</v>
      </c>
      <c r="J186" s="931" t="s">
        <v>1156</v>
      </c>
      <c r="K186" s="931" t="s">
        <v>1157</v>
      </c>
      <c r="L186" s="931" t="s">
        <v>2756</v>
      </c>
      <c r="M186" s="931" t="s">
        <v>2757</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2" t="s">
        <v>2772</v>
      </c>
      <c r="B277" s="931"/>
      <c r="C277" s="931"/>
      <c r="D277" s="931"/>
      <c r="E277" s="931"/>
      <c r="F277" s="931"/>
      <c r="G277" s="931"/>
      <c r="H277" s="931"/>
      <c r="I277" s="931"/>
      <c r="J277" s="931"/>
      <c r="K277" s="931"/>
      <c r="L277" s="931"/>
      <c r="M277" s="931"/>
    </row>
    <row r="278" spans="1:13">
      <c r="A278" s="922" t="s">
        <v>1548</v>
      </c>
      <c r="B278" s="931" t="s">
        <v>990</v>
      </c>
      <c r="C278" s="931" t="s">
        <v>1031</v>
      </c>
      <c r="D278" s="931" t="s">
        <v>1145</v>
      </c>
      <c r="E278" s="931" t="s">
        <v>853</v>
      </c>
      <c r="F278" s="931" t="s">
        <v>1152</v>
      </c>
      <c r="G278" s="931" t="s">
        <v>1153</v>
      </c>
      <c r="H278" s="931" t="s">
        <v>1154</v>
      </c>
      <c r="I278" s="931" t="s">
        <v>1155</v>
      </c>
      <c r="J278" s="931" t="s">
        <v>1156</v>
      </c>
      <c r="K278" s="931" t="s">
        <v>1157</v>
      </c>
      <c r="L278" s="931" t="s">
        <v>2756</v>
      </c>
      <c r="M278" s="931" t="s">
        <v>2757</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2" t="s">
        <v>2773</v>
      </c>
      <c r="B369" s="931"/>
      <c r="C369" s="931"/>
      <c r="D369" s="931"/>
      <c r="E369" s="931"/>
      <c r="F369" s="931"/>
      <c r="G369" s="931"/>
      <c r="H369" s="931"/>
      <c r="I369" s="931"/>
      <c r="J369" s="931"/>
      <c r="K369" s="931"/>
      <c r="L369" s="931"/>
      <c r="M369" s="931"/>
    </row>
    <row r="370" spans="1:14">
      <c r="A370" s="922" t="s">
        <v>1548</v>
      </c>
      <c r="B370" s="931" t="s">
        <v>990</v>
      </c>
      <c r="C370" s="931" t="s">
        <v>1031</v>
      </c>
      <c r="D370" s="931" t="s">
        <v>1145</v>
      </c>
      <c r="E370" s="931" t="s">
        <v>853</v>
      </c>
      <c r="F370" s="931" t="s">
        <v>1152</v>
      </c>
      <c r="G370" s="931" t="s">
        <v>1153</v>
      </c>
      <c r="H370" s="931" t="s">
        <v>1154</v>
      </c>
      <c r="I370" s="931" t="s">
        <v>1155</v>
      </c>
      <c r="J370" s="931" t="s">
        <v>1156</v>
      </c>
      <c r="K370" s="931" t="s">
        <v>1157</v>
      </c>
      <c r="L370" s="931" t="s">
        <v>2756</v>
      </c>
      <c r="M370" s="931" t="s">
        <v>2757</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714" t="s">
        <v>3018</v>
      </c>
      <c r="B1" s="3714"/>
    </row>
    <row r="2" spans="1:7" ht="14.25" thickBot="1">
      <c r="A2" s="3195"/>
      <c r="B2" s="3195"/>
    </row>
    <row r="3" spans="1:7" ht="14.25" thickBot="1">
      <c r="A3" s="3195"/>
      <c r="B3" s="3195"/>
      <c r="C3" s="3196" t="s">
        <v>3019</v>
      </c>
      <c r="D3" s="3196" t="s">
        <v>3020</v>
      </c>
      <c r="E3" s="3196" t="s">
        <v>3021</v>
      </c>
      <c r="F3" s="3196" t="s">
        <v>3022</v>
      </c>
      <c r="G3" s="3196" t="s">
        <v>3023</v>
      </c>
    </row>
    <row r="4" spans="1:7" ht="14.25" thickBot="1">
      <c r="A4" s="3197" t="s">
        <v>3024</v>
      </c>
      <c r="B4" s="3198" t="s">
        <v>3025</v>
      </c>
      <c r="C4" s="3196"/>
      <c r="D4" s="3196"/>
      <c r="E4" s="3196"/>
      <c r="F4" s="3196"/>
      <c r="G4" s="3196"/>
    </row>
    <row r="5" spans="1:7">
      <c r="A5" s="3199" t="s">
        <v>3026</v>
      </c>
      <c r="B5" s="3200" t="s">
        <v>3027</v>
      </c>
      <c r="C5" s="3201">
        <v>9.8000000000000004E-2</v>
      </c>
      <c r="D5" s="3201">
        <v>8.6999999999999994E-2</v>
      </c>
      <c r="E5" s="3201">
        <v>8.6999999999999994E-2</v>
      </c>
      <c r="F5" s="3201">
        <v>9.8000000000000004E-2</v>
      </c>
      <c r="G5" s="3202">
        <v>9.5000000000000001E-2</v>
      </c>
    </row>
    <row r="6" spans="1:7">
      <c r="A6" s="3203" t="s">
        <v>990</v>
      </c>
      <c r="B6" s="3204" t="s">
        <v>3028</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3029</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3030</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2816</v>
      </c>
      <c r="C29" s="3213"/>
      <c r="D29" s="3209">
        <v>5.1999999999999998E-2</v>
      </c>
      <c r="E29" s="3209">
        <v>7.0000000000000007E-2</v>
      </c>
      <c r="F29" s="3213"/>
      <c r="G29" s="3211">
        <v>7.0999999999999994E-2</v>
      </c>
    </row>
    <row r="30" spans="1:7">
      <c r="A30" s="3214" t="s">
        <v>1145</v>
      </c>
      <c r="B30" s="3200" t="s">
        <v>3031</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3032</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2818</v>
      </c>
      <c r="C50" s="3205">
        <v>9.8000000000000004E-2</v>
      </c>
      <c r="D50" s="3205">
        <v>7.2999999999999995E-2</v>
      </c>
      <c r="E50" s="3205">
        <v>7.0999999999999994E-2</v>
      </c>
      <c r="F50" s="3216"/>
      <c r="G50" s="3206">
        <v>7.2999999999999995E-2</v>
      </c>
    </row>
    <row r="51" spans="1:7">
      <c r="A51" s="3215" t="s">
        <v>1145</v>
      </c>
      <c r="B51" s="3204" t="s">
        <v>2819</v>
      </c>
      <c r="C51" s="3205">
        <v>9.9000000000000005E-2</v>
      </c>
      <c r="D51" s="3205">
        <v>8.5000000000000006E-2</v>
      </c>
      <c r="E51" s="3205">
        <v>6.3E-2</v>
      </c>
      <c r="F51" s="3216"/>
      <c r="G51" s="3206">
        <v>9.6000000000000002E-2</v>
      </c>
    </row>
    <row r="52" spans="1:7">
      <c r="A52" s="3215" t="s">
        <v>1145</v>
      </c>
      <c r="B52" s="3204" t="s">
        <v>2820</v>
      </c>
      <c r="C52" s="3205">
        <v>7.3999999999999996E-2</v>
      </c>
      <c r="D52" s="3205">
        <v>9.6000000000000002E-2</v>
      </c>
      <c r="E52" s="3205">
        <v>0.05</v>
      </c>
      <c r="F52" s="3216"/>
      <c r="G52" s="3206">
        <v>9.8000000000000004E-2</v>
      </c>
    </row>
    <row r="53" spans="1:7">
      <c r="A53" s="3215" t="s">
        <v>1145</v>
      </c>
      <c r="B53" s="3204" t="s">
        <v>2821</v>
      </c>
      <c r="C53" s="3205">
        <v>8.5999999999999993E-2</v>
      </c>
      <c r="D53" s="3216"/>
      <c r="E53" s="3205">
        <v>9.1999999999999998E-2</v>
      </c>
      <c r="F53" s="3216"/>
      <c r="G53" s="3217"/>
    </row>
    <row r="54" spans="1:7" ht="14.25" thickBot="1">
      <c r="A54" s="3218" t="s">
        <v>1145</v>
      </c>
      <c r="B54" s="3208" t="s">
        <v>2822</v>
      </c>
      <c r="C54" s="3209">
        <v>9.6000000000000002E-2</v>
      </c>
      <c r="D54" s="3210"/>
      <c r="E54" s="3219"/>
      <c r="F54" s="3210"/>
      <c r="G54" s="3220"/>
    </row>
    <row r="55" spans="1:7">
      <c r="A55" s="3214" t="s">
        <v>853</v>
      </c>
      <c r="B55" s="3200" t="s">
        <v>3033</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2824</v>
      </c>
      <c r="C78" s="3205">
        <v>0.1</v>
      </c>
      <c r="D78" s="3205">
        <v>8.5000000000000006E-2</v>
      </c>
      <c r="E78" s="3205">
        <v>9.6000000000000002E-2</v>
      </c>
      <c r="F78" s="3216"/>
      <c r="G78" s="3206">
        <v>9.6000000000000002E-2</v>
      </c>
    </row>
    <row r="79" spans="1:7">
      <c r="A79" s="3215" t="s">
        <v>853</v>
      </c>
      <c r="B79" s="3204" t="s">
        <v>2825</v>
      </c>
      <c r="C79" s="3205">
        <v>0.05</v>
      </c>
      <c r="D79" s="3205">
        <v>9.6000000000000002E-2</v>
      </c>
      <c r="E79" s="3205">
        <v>9.5000000000000001E-2</v>
      </c>
      <c r="F79" s="3216"/>
      <c r="G79" s="3206">
        <v>9.8000000000000004E-2</v>
      </c>
    </row>
    <row r="80" spans="1:7">
      <c r="A80" s="3215" t="s">
        <v>853</v>
      </c>
      <c r="B80" s="3204" t="s">
        <v>2826</v>
      </c>
      <c r="C80" s="3205">
        <v>8.5999999999999993E-2</v>
      </c>
      <c r="D80" s="3221"/>
      <c r="E80" s="3205">
        <v>0.1</v>
      </c>
      <c r="F80" s="3216"/>
      <c r="G80" s="3217"/>
    </row>
    <row r="81" spans="1:7">
      <c r="A81" s="3215" t="s">
        <v>853</v>
      </c>
      <c r="B81" s="3204" t="s">
        <v>2827</v>
      </c>
      <c r="C81" s="3205">
        <v>9.6000000000000002E-2</v>
      </c>
      <c r="D81" s="3216"/>
      <c r="E81" s="3205">
        <v>9.8000000000000004E-2</v>
      </c>
      <c r="F81" s="3216"/>
      <c r="G81" s="3217"/>
    </row>
    <row r="82" spans="1:7">
      <c r="A82" s="3215" t="s">
        <v>853</v>
      </c>
      <c r="B82" s="3204" t="s">
        <v>2828</v>
      </c>
      <c r="C82" s="3221"/>
      <c r="D82" s="3216"/>
      <c r="E82" s="3205">
        <v>7.6999999999999999E-2</v>
      </c>
      <c r="F82" s="3216"/>
      <c r="G82" s="3217"/>
    </row>
    <row r="83" spans="1:7">
      <c r="A83" s="3215" t="s">
        <v>853</v>
      </c>
      <c r="B83" s="3204" t="s">
        <v>3034</v>
      </c>
      <c r="C83" s="3216"/>
      <c r="D83" s="3216"/>
      <c r="E83" s="3216"/>
      <c r="F83" s="3205">
        <v>0.1</v>
      </c>
      <c r="G83" s="3222"/>
    </row>
    <row r="84" spans="1:7">
      <c r="A84" s="3215" t="s">
        <v>853</v>
      </c>
      <c r="B84" s="3204" t="s">
        <v>3035</v>
      </c>
      <c r="C84" s="3216"/>
      <c r="D84" s="3216"/>
      <c r="E84" s="3216"/>
      <c r="F84" s="3205">
        <v>0.1</v>
      </c>
      <c r="G84" s="3222"/>
    </row>
    <row r="85" spans="1:7">
      <c r="A85" s="3215" t="s">
        <v>853</v>
      </c>
      <c r="B85" s="3204" t="s">
        <v>3036</v>
      </c>
      <c r="C85" s="3216"/>
      <c r="D85" s="3216"/>
      <c r="E85" s="3216"/>
      <c r="F85" s="3205">
        <v>0.1</v>
      </c>
      <c r="G85" s="3222"/>
    </row>
    <row r="86" spans="1:7" ht="14.25" thickBot="1">
      <c r="A86" s="3218" t="s">
        <v>853</v>
      </c>
      <c r="B86" s="3208" t="s">
        <v>3037</v>
      </c>
      <c r="C86" s="3209">
        <v>9.8000000000000004E-2</v>
      </c>
      <c r="D86" s="3209">
        <v>9.8000000000000004E-2</v>
      </c>
      <c r="E86" s="3209">
        <v>9.6000000000000002E-2</v>
      </c>
      <c r="F86" s="3219"/>
      <c r="G86" s="3211">
        <v>0.1</v>
      </c>
    </row>
    <row r="87" spans="1:7">
      <c r="A87" s="3214" t="s">
        <v>1152</v>
      </c>
      <c r="B87" s="3200" t="s">
        <v>3038</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2834</v>
      </c>
      <c r="C113" s="3205">
        <v>0.1</v>
      </c>
      <c r="D113" s="3205">
        <v>0.1</v>
      </c>
      <c r="E113" s="3216"/>
      <c r="F113" s="3216"/>
      <c r="G113" s="3206">
        <v>0.1</v>
      </c>
    </row>
    <row r="114" spans="1:7">
      <c r="A114" s="3215" t="s">
        <v>1152</v>
      </c>
      <c r="B114" s="3204" t="s">
        <v>2835</v>
      </c>
      <c r="C114" s="3205">
        <v>9.7000000000000003E-2</v>
      </c>
      <c r="D114" s="3205">
        <v>9.7000000000000003E-2</v>
      </c>
      <c r="E114" s="3216"/>
      <c r="F114" s="3216"/>
      <c r="G114" s="3206">
        <v>9.9000000000000005E-2</v>
      </c>
    </row>
    <row r="115" spans="1:7">
      <c r="A115" s="3215" t="s">
        <v>1152</v>
      </c>
      <c r="B115" s="3204" t="s">
        <v>2836</v>
      </c>
      <c r="C115" s="3205">
        <v>0.1</v>
      </c>
      <c r="D115" s="3205">
        <v>0.1</v>
      </c>
      <c r="E115" s="3216"/>
      <c r="F115" s="3216"/>
      <c r="G115" s="3206">
        <v>0.1</v>
      </c>
    </row>
    <row r="116" spans="1:7">
      <c r="A116" s="3215" t="s">
        <v>1152</v>
      </c>
      <c r="B116" s="3204" t="s">
        <v>2837</v>
      </c>
      <c r="C116" s="3205">
        <v>0.1</v>
      </c>
      <c r="D116" s="3205">
        <v>0.1</v>
      </c>
      <c r="E116" s="3216"/>
      <c r="F116" s="3216"/>
      <c r="G116" s="3206">
        <v>0.1</v>
      </c>
    </row>
    <row r="117" spans="1:7">
      <c r="A117" s="3215" t="s">
        <v>1152</v>
      </c>
      <c r="B117" s="3204" t="s">
        <v>2838</v>
      </c>
      <c r="C117" s="3205">
        <v>9.7000000000000003E-2</v>
      </c>
      <c r="D117" s="3205">
        <v>9.7000000000000003E-2</v>
      </c>
      <c r="E117" s="3216"/>
      <c r="F117" s="3216"/>
      <c r="G117" s="3206">
        <v>9.7000000000000003E-2</v>
      </c>
    </row>
    <row r="118" spans="1:7">
      <c r="A118" s="3215" t="s">
        <v>1152</v>
      </c>
      <c r="B118" s="3204" t="s">
        <v>2839</v>
      </c>
      <c r="C118" s="3205">
        <v>0.1</v>
      </c>
      <c r="D118" s="3205">
        <v>0.1</v>
      </c>
      <c r="E118" s="3216"/>
      <c r="F118" s="3216"/>
      <c r="G118" s="3206">
        <v>0.1</v>
      </c>
    </row>
    <row r="119" spans="1:7">
      <c r="A119" s="3215" t="s">
        <v>1152</v>
      </c>
      <c r="B119" s="3204" t="s">
        <v>2840</v>
      </c>
      <c r="C119" s="3205">
        <v>5.0999999999999997E-2</v>
      </c>
      <c r="D119" s="3205">
        <v>5.1999999999999998E-2</v>
      </c>
      <c r="E119" s="3216"/>
      <c r="F119" s="3221"/>
      <c r="G119" s="3206">
        <v>0.06</v>
      </c>
    </row>
    <row r="120" spans="1:7">
      <c r="A120" s="3215" t="s">
        <v>1152</v>
      </c>
      <c r="B120" s="3204" t="s">
        <v>3039</v>
      </c>
      <c r="C120" s="3216"/>
      <c r="D120" s="3216"/>
      <c r="E120" s="3216"/>
      <c r="F120" s="3205">
        <v>0.1</v>
      </c>
      <c r="G120" s="3222"/>
    </row>
    <row r="121" spans="1:7">
      <c r="A121" s="3215" t="s">
        <v>1152</v>
      </c>
      <c r="B121" s="3204" t="s">
        <v>3040</v>
      </c>
      <c r="C121" s="3216"/>
      <c r="D121" s="3216"/>
      <c r="E121" s="3216"/>
      <c r="F121" s="3205">
        <v>0.1</v>
      </c>
      <c r="G121" s="3222"/>
    </row>
    <row r="122" spans="1:7">
      <c r="A122" s="3215" t="s">
        <v>1152</v>
      </c>
      <c r="B122" s="3204" t="s">
        <v>3041</v>
      </c>
      <c r="C122" s="3205">
        <v>0.1</v>
      </c>
      <c r="D122" s="3205">
        <v>0.1</v>
      </c>
      <c r="E122" s="3205">
        <v>9.8000000000000004E-2</v>
      </c>
      <c r="F122" s="3205">
        <v>0.1</v>
      </c>
      <c r="G122" s="3206">
        <v>0.1</v>
      </c>
    </row>
    <row r="123" spans="1:7">
      <c r="A123" s="3215" t="s">
        <v>1152</v>
      </c>
      <c r="B123" s="3204" t="s">
        <v>2844</v>
      </c>
      <c r="C123" s="3205">
        <v>0.1</v>
      </c>
      <c r="D123" s="3205">
        <v>0.1</v>
      </c>
      <c r="E123" s="3205">
        <v>9.8000000000000004E-2</v>
      </c>
      <c r="F123" s="3205">
        <v>0.1</v>
      </c>
      <c r="G123" s="3206">
        <v>0.1</v>
      </c>
    </row>
    <row r="124" spans="1:7">
      <c r="A124" s="3215" t="s">
        <v>1152</v>
      </c>
      <c r="B124" s="3204" t="s">
        <v>2845</v>
      </c>
      <c r="C124" s="3205">
        <v>0.1</v>
      </c>
      <c r="D124" s="3205">
        <v>0.1</v>
      </c>
      <c r="E124" s="3205">
        <v>9.8000000000000004E-2</v>
      </c>
      <c r="F124" s="3221"/>
      <c r="G124" s="3206">
        <v>0.1</v>
      </c>
    </row>
    <row r="125" spans="1:7">
      <c r="A125" s="3215" t="s">
        <v>1152</v>
      </c>
      <c r="B125" s="3204" t="s">
        <v>2846</v>
      </c>
      <c r="C125" s="3205">
        <v>9.8000000000000004E-2</v>
      </c>
      <c r="D125" s="3205">
        <v>9.8000000000000004E-2</v>
      </c>
      <c r="E125" s="3205">
        <v>9.6000000000000002E-2</v>
      </c>
      <c r="F125" s="3221"/>
      <c r="G125" s="3206">
        <v>0.1</v>
      </c>
    </row>
    <row r="126" spans="1:7" ht="14.25" thickBot="1">
      <c r="A126" s="3218" t="s">
        <v>1152</v>
      </c>
      <c r="B126" s="3208" t="s">
        <v>3042</v>
      </c>
      <c r="C126" s="3209">
        <v>0.1</v>
      </c>
      <c r="D126" s="3209">
        <v>0.1</v>
      </c>
      <c r="E126" s="3209">
        <v>9.8000000000000004E-2</v>
      </c>
      <c r="F126" s="3209">
        <v>0.1</v>
      </c>
      <c r="G126" s="3211">
        <v>0.1</v>
      </c>
    </row>
    <row r="127" spans="1:7">
      <c r="A127" s="3214" t="s">
        <v>1153</v>
      </c>
      <c r="B127" s="3200" t="s">
        <v>3043</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3044</v>
      </c>
      <c r="C148" s="3205">
        <v>0.13</v>
      </c>
      <c r="D148" s="3205">
        <v>0.13</v>
      </c>
      <c r="E148" s="3205">
        <v>0.13</v>
      </c>
      <c r="F148" s="3216"/>
      <c r="G148" s="3206">
        <v>0.13</v>
      </c>
    </row>
    <row r="149" spans="1:7">
      <c r="A149" s="3215" t="s">
        <v>1153</v>
      </c>
      <c r="B149" s="3204" t="s">
        <v>3045</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2851</v>
      </c>
      <c r="C153" s="3205">
        <v>0.13</v>
      </c>
      <c r="D153" s="3205">
        <v>0.13</v>
      </c>
      <c r="E153" s="3205">
        <v>0.13</v>
      </c>
      <c r="F153" s="3205">
        <v>0.13</v>
      </c>
      <c r="G153" s="3206">
        <v>0.13</v>
      </c>
    </row>
    <row r="154" spans="1:7">
      <c r="A154" s="3215" t="s">
        <v>1153</v>
      </c>
      <c r="B154" s="3204" t="s">
        <v>3046</v>
      </c>
      <c r="C154" s="3205">
        <v>0.121</v>
      </c>
      <c r="D154" s="3205">
        <v>0.121</v>
      </c>
      <c r="E154" s="3205">
        <v>0.105</v>
      </c>
      <c r="F154" s="3205">
        <v>0.121</v>
      </c>
      <c r="G154" s="3206">
        <v>0.123</v>
      </c>
    </row>
    <row r="155" spans="1:7">
      <c r="A155" s="3215" t="s">
        <v>1153</v>
      </c>
      <c r="B155" s="3204" t="s">
        <v>2853</v>
      </c>
      <c r="C155" s="3205">
        <v>0.1</v>
      </c>
      <c r="D155" s="3205">
        <v>0.1</v>
      </c>
      <c r="E155" s="3205">
        <v>0.1</v>
      </c>
      <c r="F155" s="3205">
        <v>0.1</v>
      </c>
      <c r="G155" s="3206">
        <v>0.1</v>
      </c>
    </row>
    <row r="156" spans="1:7">
      <c r="A156" s="3215" t="s">
        <v>1153</v>
      </c>
      <c r="B156" s="3204" t="s">
        <v>3047</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3048</v>
      </c>
      <c r="C160" s="3205">
        <v>0.13</v>
      </c>
      <c r="D160" s="3205">
        <v>0.13</v>
      </c>
      <c r="E160" s="3205">
        <v>0.124</v>
      </c>
      <c r="F160" s="3205">
        <v>0.126</v>
      </c>
      <c r="G160" s="3206">
        <v>0.13</v>
      </c>
    </row>
    <row r="161" spans="1:7">
      <c r="A161" s="3215" t="s">
        <v>1153</v>
      </c>
      <c r="B161" s="3204" t="s">
        <v>2856</v>
      </c>
      <c r="C161" s="3205">
        <v>0.13</v>
      </c>
      <c r="D161" s="3205">
        <v>0.13</v>
      </c>
      <c r="E161" s="3205">
        <v>0.124</v>
      </c>
      <c r="F161" s="3205">
        <v>0.127</v>
      </c>
      <c r="G161" s="3206">
        <v>0.13</v>
      </c>
    </row>
    <row r="162" spans="1:7">
      <c r="A162" s="3215" t="s">
        <v>1153</v>
      </c>
      <c r="B162" s="3204" t="s">
        <v>2857</v>
      </c>
      <c r="C162" s="3205">
        <v>0.1</v>
      </c>
      <c r="D162" s="3205">
        <v>0.1</v>
      </c>
      <c r="E162" s="3205">
        <v>0.1</v>
      </c>
      <c r="F162" s="3205">
        <v>0.121</v>
      </c>
      <c r="G162" s="3206">
        <v>0.105</v>
      </c>
    </row>
    <row r="163" spans="1:7">
      <c r="A163" s="3215" t="s">
        <v>1153</v>
      </c>
      <c r="B163" s="3204" t="s">
        <v>2858</v>
      </c>
      <c r="C163" s="3205">
        <v>0.1</v>
      </c>
      <c r="D163" s="3205">
        <v>0.1</v>
      </c>
      <c r="E163" s="3205">
        <v>0.1</v>
      </c>
      <c r="F163" s="3205">
        <v>0.1</v>
      </c>
      <c r="G163" s="3206">
        <v>0.1</v>
      </c>
    </row>
    <row r="164" spans="1:7">
      <c r="A164" s="3215" t="s">
        <v>1153</v>
      </c>
      <c r="B164" s="3204" t="s">
        <v>2859</v>
      </c>
      <c r="C164" s="3221"/>
      <c r="D164" s="3221"/>
      <c r="E164" s="3221"/>
      <c r="F164" s="3205">
        <v>0.1</v>
      </c>
      <c r="G164" s="3217"/>
    </row>
    <row r="165" spans="1:7">
      <c r="A165" s="3215" t="s">
        <v>1153</v>
      </c>
      <c r="B165" s="3204" t="s">
        <v>3049</v>
      </c>
      <c r="C165" s="3205">
        <v>0.126</v>
      </c>
      <c r="D165" s="3205">
        <v>0.126</v>
      </c>
      <c r="E165" s="3205">
        <v>0.11899999999999999</v>
      </c>
      <c r="F165" s="3205">
        <v>0.13</v>
      </c>
      <c r="G165" s="3206">
        <v>0.128</v>
      </c>
    </row>
    <row r="166" spans="1:7">
      <c r="A166" s="3215" t="s">
        <v>1153</v>
      </c>
      <c r="B166" s="3204" t="s">
        <v>2861</v>
      </c>
      <c r="C166" s="3205">
        <v>0.129</v>
      </c>
      <c r="D166" s="3205">
        <v>0.129</v>
      </c>
      <c r="E166" s="3205">
        <v>0.123</v>
      </c>
      <c r="F166" s="3205">
        <v>0.128</v>
      </c>
      <c r="G166" s="3206">
        <v>0.13</v>
      </c>
    </row>
    <row r="167" spans="1:7">
      <c r="A167" s="3215" t="s">
        <v>1153</v>
      </c>
      <c r="B167" s="3204" t="s">
        <v>2862</v>
      </c>
      <c r="C167" s="3205">
        <v>0.125</v>
      </c>
      <c r="D167" s="3205">
        <v>0.125</v>
      </c>
      <c r="E167" s="3205">
        <v>0.11700000000000001</v>
      </c>
      <c r="F167" s="3205">
        <v>0.13</v>
      </c>
      <c r="G167" s="3206">
        <v>0.126</v>
      </c>
    </row>
    <row r="168" spans="1:7">
      <c r="A168" s="3215" t="s">
        <v>1153</v>
      </c>
      <c r="B168" s="3204" t="s">
        <v>2863</v>
      </c>
      <c r="C168" s="3205">
        <v>0.128</v>
      </c>
      <c r="D168" s="3205">
        <v>0.128</v>
      </c>
      <c r="E168" s="3205">
        <v>0.123</v>
      </c>
      <c r="F168" s="3216"/>
      <c r="G168" s="3206">
        <v>0.13</v>
      </c>
    </row>
    <row r="169" spans="1:7">
      <c r="A169" s="3215" t="s">
        <v>1153</v>
      </c>
      <c r="B169" s="3204" t="s">
        <v>3050</v>
      </c>
      <c r="C169" s="3221"/>
      <c r="D169" s="3221"/>
      <c r="E169" s="3221"/>
      <c r="F169" s="3205">
        <v>0.05</v>
      </c>
      <c r="G169" s="3217"/>
    </row>
    <row r="170" spans="1:7">
      <c r="A170" s="3215" t="s">
        <v>1153</v>
      </c>
      <c r="B170" s="3204" t="s">
        <v>3051</v>
      </c>
      <c r="C170" s="3221"/>
      <c r="D170" s="3221"/>
      <c r="E170" s="3221"/>
      <c r="F170" s="3205">
        <v>0.05</v>
      </c>
      <c r="G170" s="3217"/>
    </row>
    <row r="171" spans="1:7">
      <c r="A171" s="3215" t="s">
        <v>1153</v>
      </c>
      <c r="B171" s="3204" t="s">
        <v>3052</v>
      </c>
      <c r="C171" s="3221"/>
      <c r="D171" s="3221"/>
      <c r="E171" s="3221"/>
      <c r="F171" s="3205">
        <v>0.05</v>
      </c>
      <c r="G171" s="3222"/>
    </row>
    <row r="172" spans="1:7">
      <c r="A172" s="3215" t="s">
        <v>1153</v>
      </c>
      <c r="B172" s="3204" t="s">
        <v>3053</v>
      </c>
      <c r="C172" s="3221"/>
      <c r="D172" s="3221"/>
      <c r="E172" s="3221"/>
      <c r="F172" s="3205">
        <v>0.05</v>
      </c>
      <c r="G172" s="3222"/>
    </row>
    <row r="173" spans="1:7">
      <c r="A173" s="3215" t="s">
        <v>1153</v>
      </c>
      <c r="B173" s="3204" t="s">
        <v>3054</v>
      </c>
      <c r="C173" s="3221"/>
      <c r="D173" s="3221"/>
      <c r="E173" s="3221"/>
      <c r="F173" s="3205">
        <v>0.05</v>
      </c>
      <c r="G173" s="3217"/>
    </row>
    <row r="174" spans="1:7">
      <c r="A174" s="3215" t="s">
        <v>1153</v>
      </c>
      <c r="B174" s="3204" t="s">
        <v>3055</v>
      </c>
      <c r="C174" s="3221"/>
      <c r="D174" s="3221"/>
      <c r="E174" s="3221"/>
      <c r="F174" s="3205">
        <v>0.05</v>
      </c>
      <c r="G174" s="3217"/>
    </row>
    <row r="175" spans="1:7">
      <c r="A175" s="3215" t="s">
        <v>1153</v>
      </c>
      <c r="B175" s="3204" t="s">
        <v>3056</v>
      </c>
      <c r="C175" s="3221"/>
      <c r="D175" s="3221"/>
      <c r="E175" s="3221"/>
      <c r="F175" s="3205">
        <v>0.05</v>
      </c>
      <c r="G175" s="3217"/>
    </row>
    <row r="176" spans="1:7">
      <c r="A176" s="3215" t="s">
        <v>1153</v>
      </c>
      <c r="B176" s="3204" t="s">
        <v>3057</v>
      </c>
      <c r="C176" s="3221"/>
      <c r="D176" s="3221"/>
      <c r="E176" s="3221"/>
      <c r="F176" s="3205">
        <v>0.05</v>
      </c>
      <c r="G176" s="3217"/>
    </row>
    <row r="177" spans="1:7">
      <c r="A177" s="3215" t="s">
        <v>1153</v>
      </c>
      <c r="B177" s="3204" t="s">
        <v>3058</v>
      </c>
      <c r="C177" s="3216"/>
      <c r="D177" s="3216"/>
      <c r="E177" s="3216"/>
      <c r="F177" s="3205">
        <v>0.05</v>
      </c>
      <c r="G177" s="3222"/>
    </row>
    <row r="178" spans="1:7">
      <c r="A178" s="3215" t="s">
        <v>1153</v>
      </c>
      <c r="B178" s="3204" t="s">
        <v>3059</v>
      </c>
      <c r="C178" s="3216"/>
      <c r="D178" s="3216"/>
      <c r="E178" s="3216"/>
      <c r="F178" s="3205">
        <v>0.05</v>
      </c>
      <c r="G178" s="3222"/>
    </row>
    <row r="179" spans="1:7">
      <c r="A179" s="3215" t="s">
        <v>1153</v>
      </c>
      <c r="B179" s="3204" t="s">
        <v>3060</v>
      </c>
      <c r="C179" s="3216"/>
      <c r="D179" s="3216"/>
      <c r="E179" s="3216"/>
      <c r="F179" s="3205">
        <v>0.05</v>
      </c>
      <c r="G179" s="3222"/>
    </row>
    <row r="180" spans="1:7">
      <c r="A180" s="3215" t="s">
        <v>1153</v>
      </c>
      <c r="B180" s="3204" t="s">
        <v>3061</v>
      </c>
      <c r="C180" s="3216"/>
      <c r="D180" s="3216"/>
      <c r="E180" s="3216"/>
      <c r="F180" s="3205">
        <v>0.05</v>
      </c>
      <c r="G180" s="3222"/>
    </row>
    <row r="181" spans="1:7">
      <c r="A181" s="3215" t="s">
        <v>1153</v>
      </c>
      <c r="B181" s="3204" t="s">
        <v>3062</v>
      </c>
      <c r="C181" s="3216"/>
      <c r="D181" s="3216"/>
      <c r="E181" s="3216"/>
      <c r="F181" s="3205">
        <v>0.05</v>
      </c>
      <c r="G181" s="3222"/>
    </row>
    <row r="182" spans="1:7">
      <c r="A182" s="3215" t="s">
        <v>1153</v>
      </c>
      <c r="B182" s="3204" t="s">
        <v>3063</v>
      </c>
      <c r="C182" s="3216"/>
      <c r="D182" s="3216"/>
      <c r="E182" s="3216"/>
      <c r="F182" s="3205">
        <v>0.05</v>
      </c>
      <c r="G182" s="3222"/>
    </row>
    <row r="183" spans="1:7">
      <c r="A183" s="3215" t="s">
        <v>1153</v>
      </c>
      <c r="B183" s="3204" t="s">
        <v>3064</v>
      </c>
      <c r="C183" s="3216"/>
      <c r="D183" s="3216"/>
      <c r="E183" s="3216"/>
      <c r="F183" s="3205">
        <v>0.05</v>
      </c>
      <c r="G183" s="3222"/>
    </row>
    <row r="184" spans="1:7">
      <c r="A184" s="3215" t="s">
        <v>1153</v>
      </c>
      <c r="B184" s="3204" t="s">
        <v>3065</v>
      </c>
      <c r="C184" s="3216"/>
      <c r="D184" s="3216"/>
      <c r="E184" s="3216"/>
      <c r="F184" s="3205">
        <v>0.05</v>
      </c>
      <c r="G184" s="3222"/>
    </row>
    <row r="185" spans="1:7">
      <c r="A185" s="3215" t="s">
        <v>1153</v>
      </c>
      <c r="B185" s="3204" t="s">
        <v>3066</v>
      </c>
      <c r="C185" s="3216"/>
      <c r="D185" s="3216"/>
      <c r="E185" s="3216"/>
      <c r="F185" s="3205">
        <v>0.05</v>
      </c>
      <c r="G185" s="3222"/>
    </row>
    <row r="186" spans="1:7">
      <c r="A186" s="3215" t="s">
        <v>1153</v>
      </c>
      <c r="B186" s="3204" t="s">
        <v>3067</v>
      </c>
      <c r="C186" s="3216"/>
      <c r="D186" s="3216"/>
      <c r="E186" s="3216"/>
      <c r="F186" s="3205">
        <v>0.05</v>
      </c>
      <c r="G186" s="3222"/>
    </row>
    <row r="187" spans="1:7">
      <c r="A187" s="3215" t="s">
        <v>1153</v>
      </c>
      <c r="B187" s="3204" t="s">
        <v>3068</v>
      </c>
      <c r="C187" s="3216"/>
      <c r="D187" s="3216"/>
      <c r="E187" s="3216"/>
      <c r="F187" s="3205">
        <v>0.05</v>
      </c>
      <c r="G187" s="3222"/>
    </row>
    <row r="188" spans="1:7">
      <c r="A188" s="3215" t="s">
        <v>1153</v>
      </c>
      <c r="B188" s="3204" t="s">
        <v>3069</v>
      </c>
      <c r="C188" s="3216"/>
      <c r="D188" s="3216"/>
      <c r="E188" s="3216"/>
      <c r="F188" s="3205">
        <v>0.05</v>
      </c>
      <c r="G188" s="3222"/>
    </row>
    <row r="189" spans="1:7" ht="14.25" thickBot="1">
      <c r="A189" s="3218" t="s">
        <v>1153</v>
      </c>
      <c r="B189" s="3208" t="s">
        <v>3070</v>
      </c>
      <c r="C189" s="3210"/>
      <c r="D189" s="3210"/>
      <c r="E189" s="3210"/>
      <c r="F189" s="3209">
        <v>0.05</v>
      </c>
      <c r="G189" s="3223"/>
    </row>
    <row r="190" spans="1:7">
      <c r="A190" s="3214" t="s">
        <v>1154</v>
      </c>
      <c r="B190" s="3200" t="s">
        <v>3071</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3072</v>
      </c>
      <c r="C199" s="3205">
        <v>0.13</v>
      </c>
      <c r="D199" s="3205">
        <v>0.13</v>
      </c>
      <c r="E199" s="3205">
        <v>0.13</v>
      </c>
      <c r="F199" s="3205">
        <v>0.13</v>
      </c>
      <c r="G199" s="3206">
        <v>0.13</v>
      </c>
    </row>
    <row r="200" spans="1:7">
      <c r="A200" s="3215" t="s">
        <v>1154</v>
      </c>
      <c r="B200" s="3204" t="s">
        <v>2887</v>
      </c>
      <c r="C200" s="3221"/>
      <c r="D200" s="3221"/>
      <c r="E200" s="3221"/>
      <c r="F200" s="3205">
        <v>0.13</v>
      </c>
      <c r="G200" s="3217"/>
    </row>
    <row r="201" spans="1:7">
      <c r="A201" s="3215" t="s">
        <v>1154</v>
      </c>
      <c r="B201" s="3204" t="s">
        <v>3073</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3074</v>
      </c>
      <c r="C203" s="3205">
        <v>0.129</v>
      </c>
      <c r="D203" s="3205">
        <v>0.129</v>
      </c>
      <c r="E203" s="3205">
        <v>0.13</v>
      </c>
      <c r="F203" s="3205">
        <v>0.13</v>
      </c>
      <c r="G203" s="3206">
        <v>0.13</v>
      </c>
    </row>
    <row r="204" spans="1:7">
      <c r="A204" s="3215" t="s">
        <v>1154</v>
      </c>
      <c r="B204" s="3204" t="s">
        <v>2890</v>
      </c>
      <c r="C204" s="3205">
        <v>0.129</v>
      </c>
      <c r="D204" s="3205">
        <v>0.129</v>
      </c>
      <c r="E204" s="3205">
        <v>0.123</v>
      </c>
      <c r="F204" s="3205">
        <v>0.13</v>
      </c>
      <c r="G204" s="3206">
        <v>0.13</v>
      </c>
    </row>
    <row r="205" spans="1:7">
      <c r="A205" s="3215" t="s">
        <v>1154</v>
      </c>
      <c r="B205" s="3204" t="s">
        <v>2891</v>
      </c>
      <c r="C205" s="3205">
        <v>0.13</v>
      </c>
      <c r="D205" s="3205">
        <v>0.13</v>
      </c>
      <c r="E205" s="3205">
        <v>0.13</v>
      </c>
      <c r="F205" s="3205">
        <v>0.13</v>
      </c>
      <c r="G205" s="3206">
        <v>0.13</v>
      </c>
    </row>
    <row r="206" spans="1:7">
      <c r="A206" s="3215" t="s">
        <v>1154</v>
      </c>
      <c r="B206" s="3204" t="s">
        <v>2892</v>
      </c>
      <c r="C206" s="3205">
        <v>0.13</v>
      </c>
      <c r="D206" s="3205">
        <v>0.13</v>
      </c>
      <c r="E206" s="3205">
        <v>0.13</v>
      </c>
      <c r="F206" s="3205">
        <v>0.128</v>
      </c>
      <c r="G206" s="3206">
        <v>0.13</v>
      </c>
    </row>
    <row r="207" spans="1:7">
      <c r="A207" s="3215" t="s">
        <v>1154</v>
      </c>
      <c r="B207" s="3204" t="s">
        <v>2893</v>
      </c>
      <c r="C207" s="3205">
        <v>0.13</v>
      </c>
      <c r="D207" s="3205">
        <v>0.13</v>
      </c>
      <c r="E207" s="3205">
        <v>0.13</v>
      </c>
      <c r="F207" s="3205">
        <v>0.13</v>
      </c>
      <c r="G207" s="3206">
        <v>0.13</v>
      </c>
    </row>
    <row r="208" spans="1:7">
      <c r="A208" s="3215" t="s">
        <v>1154</v>
      </c>
      <c r="B208" s="3204" t="s">
        <v>3075</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2895</v>
      </c>
      <c r="C210" s="3205">
        <v>0.121</v>
      </c>
      <c r="D210" s="3205">
        <v>0.121</v>
      </c>
      <c r="E210" s="3205">
        <v>0.125</v>
      </c>
      <c r="F210" s="3205">
        <v>0.13</v>
      </c>
      <c r="G210" s="3206">
        <v>0.123</v>
      </c>
    </row>
    <row r="211" spans="1:7">
      <c r="A211" s="3215" t="s">
        <v>1154</v>
      </c>
      <c r="B211" s="3204" t="s">
        <v>3076</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3077</v>
      </c>
      <c r="C214" s="3205">
        <v>0.128</v>
      </c>
      <c r="D214" s="3205">
        <v>0.128</v>
      </c>
      <c r="E214" s="3205">
        <v>0.13</v>
      </c>
      <c r="F214" s="3205">
        <v>0.13</v>
      </c>
      <c r="G214" s="3206">
        <v>0.13</v>
      </c>
    </row>
    <row r="215" spans="1:7">
      <c r="A215" s="3215" t="s">
        <v>1154</v>
      </c>
      <c r="B215" s="3204" t="s">
        <v>3078</v>
      </c>
      <c r="C215" s="3205">
        <v>0.13</v>
      </c>
      <c r="D215" s="3205">
        <v>0.13</v>
      </c>
      <c r="E215" s="3205">
        <v>0.13</v>
      </c>
      <c r="F215" s="3205">
        <v>0.129</v>
      </c>
      <c r="G215" s="3206">
        <v>0.13</v>
      </c>
    </row>
    <row r="216" spans="1:7">
      <c r="A216" s="3215" t="s">
        <v>1154</v>
      </c>
      <c r="B216" s="3204" t="s">
        <v>3079</v>
      </c>
      <c r="C216" s="3205">
        <v>0.13</v>
      </c>
      <c r="D216" s="3205">
        <v>0.13</v>
      </c>
      <c r="E216" s="3205">
        <v>0.13</v>
      </c>
      <c r="F216" s="3205">
        <v>0.13</v>
      </c>
      <c r="G216" s="3206">
        <v>0.13</v>
      </c>
    </row>
    <row r="217" spans="1:7">
      <c r="A217" s="3215" t="s">
        <v>1154</v>
      </c>
      <c r="B217" s="3204" t="s">
        <v>2899</v>
      </c>
      <c r="C217" s="3205">
        <v>0.129</v>
      </c>
      <c r="D217" s="3205">
        <v>0.129</v>
      </c>
      <c r="E217" s="3205">
        <v>0.13</v>
      </c>
      <c r="F217" s="3205">
        <v>0.13</v>
      </c>
      <c r="G217" s="3206">
        <v>0.13</v>
      </c>
    </row>
    <row r="218" spans="1:7">
      <c r="A218" s="3215" t="s">
        <v>1154</v>
      </c>
      <c r="B218" s="3204" t="s">
        <v>3080</v>
      </c>
      <c r="C218" s="3216"/>
      <c r="D218" s="3216"/>
      <c r="E218" s="3216"/>
      <c r="F218" s="3205">
        <v>0.05</v>
      </c>
      <c r="G218" s="3222"/>
    </row>
    <row r="219" spans="1:7">
      <c r="A219" s="3215" t="s">
        <v>1154</v>
      </c>
      <c r="B219" s="3204" t="s">
        <v>3081</v>
      </c>
      <c r="C219" s="3216"/>
      <c r="D219" s="3216"/>
      <c r="E219" s="3216"/>
      <c r="F219" s="3205">
        <v>0.05</v>
      </c>
      <c r="G219" s="3222"/>
    </row>
    <row r="220" spans="1:7">
      <c r="A220" s="3215" t="s">
        <v>1154</v>
      </c>
      <c r="B220" s="3204" t="s">
        <v>3082</v>
      </c>
      <c r="C220" s="3216"/>
      <c r="D220" s="3216"/>
      <c r="E220" s="3216"/>
      <c r="F220" s="3205">
        <v>0.05</v>
      </c>
      <c r="G220" s="3222"/>
    </row>
    <row r="221" spans="1:7">
      <c r="A221" s="3215" t="s">
        <v>1154</v>
      </c>
      <c r="B221" s="3204" t="s">
        <v>3083</v>
      </c>
      <c r="C221" s="3216"/>
      <c r="D221" s="3216"/>
      <c r="E221" s="3216"/>
      <c r="F221" s="3205">
        <v>0.05</v>
      </c>
      <c r="G221" s="3222"/>
    </row>
    <row r="222" spans="1:7">
      <c r="A222" s="3215" t="s">
        <v>1154</v>
      </c>
      <c r="B222" s="3204" t="s">
        <v>3084</v>
      </c>
      <c r="C222" s="3216"/>
      <c r="D222" s="3216"/>
      <c r="E222" s="3216"/>
      <c r="F222" s="3205">
        <v>0.05</v>
      </c>
      <c r="G222" s="3222"/>
    </row>
    <row r="223" spans="1:7">
      <c r="A223" s="3215" t="s">
        <v>1154</v>
      </c>
      <c r="B223" s="3204" t="s">
        <v>3085</v>
      </c>
      <c r="C223" s="3216"/>
      <c r="D223" s="3216"/>
      <c r="E223" s="3216"/>
      <c r="F223" s="3205">
        <v>0.05</v>
      </c>
      <c r="G223" s="3222"/>
    </row>
    <row r="224" spans="1:7">
      <c r="A224" s="3215" t="s">
        <v>1154</v>
      </c>
      <c r="B224" s="3204" t="s">
        <v>3086</v>
      </c>
      <c r="C224" s="3216"/>
      <c r="D224" s="3216"/>
      <c r="E224" s="3216"/>
      <c r="F224" s="3205">
        <v>0.05</v>
      </c>
      <c r="G224" s="3222"/>
    </row>
    <row r="225" spans="1:7">
      <c r="A225" s="3215" t="s">
        <v>1154</v>
      </c>
      <c r="B225" s="3204" t="s">
        <v>3087</v>
      </c>
      <c r="C225" s="3216"/>
      <c r="D225" s="3216"/>
      <c r="E225" s="3216"/>
      <c r="F225" s="3205">
        <v>0.05</v>
      </c>
      <c r="G225" s="3222"/>
    </row>
    <row r="226" spans="1:7">
      <c r="A226" s="3215" t="s">
        <v>1154</v>
      </c>
      <c r="B226" s="3204" t="s">
        <v>3088</v>
      </c>
      <c r="C226" s="3216"/>
      <c r="D226" s="3216"/>
      <c r="E226" s="3216"/>
      <c r="F226" s="3205">
        <v>0.05</v>
      </c>
      <c r="G226" s="3222"/>
    </row>
    <row r="227" spans="1:7">
      <c r="A227" s="3215" t="s">
        <v>1154</v>
      </c>
      <c r="B227" s="3204" t="s">
        <v>3089</v>
      </c>
      <c r="C227" s="3216"/>
      <c r="D227" s="3216"/>
      <c r="E227" s="3216"/>
      <c r="F227" s="3205">
        <v>0.05</v>
      </c>
      <c r="G227" s="3222"/>
    </row>
    <row r="228" spans="1:7">
      <c r="A228" s="3215" t="s">
        <v>1154</v>
      </c>
      <c r="B228" s="3204" t="s">
        <v>3090</v>
      </c>
      <c r="C228" s="3216"/>
      <c r="D228" s="3216"/>
      <c r="E228" s="3216"/>
      <c r="F228" s="3205">
        <v>0.05</v>
      </c>
      <c r="G228" s="3222"/>
    </row>
    <row r="229" spans="1:7">
      <c r="A229" s="3215" t="s">
        <v>1154</v>
      </c>
      <c r="B229" s="3204" t="s">
        <v>3091</v>
      </c>
      <c r="C229" s="3216"/>
      <c r="D229" s="3216"/>
      <c r="E229" s="3216"/>
      <c r="F229" s="3205">
        <v>0.05</v>
      </c>
      <c r="G229" s="3222"/>
    </row>
    <row r="230" spans="1:7">
      <c r="A230" s="3215" t="s">
        <v>1154</v>
      </c>
      <c r="B230" s="3204" t="s">
        <v>3092</v>
      </c>
      <c r="C230" s="3216"/>
      <c r="D230" s="3216"/>
      <c r="E230" s="3216"/>
      <c r="F230" s="3205">
        <v>0.05</v>
      </c>
      <c r="G230" s="3222"/>
    </row>
    <row r="231" spans="1:7">
      <c r="A231" s="3215" t="s">
        <v>1154</v>
      </c>
      <c r="B231" s="3204" t="s">
        <v>3093</v>
      </c>
      <c r="C231" s="3216"/>
      <c r="D231" s="3216"/>
      <c r="E231" s="3216"/>
      <c r="F231" s="3205">
        <v>0.05</v>
      </c>
      <c r="G231" s="3222"/>
    </row>
    <row r="232" spans="1:7">
      <c r="A232" s="3215" t="s">
        <v>1154</v>
      </c>
      <c r="B232" s="3204" t="s">
        <v>3094</v>
      </c>
      <c r="C232" s="3216"/>
      <c r="D232" s="3216"/>
      <c r="E232" s="3216"/>
      <c r="F232" s="3205">
        <v>0.05</v>
      </c>
      <c r="G232" s="3222"/>
    </row>
    <row r="233" spans="1:7" ht="14.25" thickBot="1">
      <c r="A233" s="3218" t="s">
        <v>1154</v>
      </c>
      <c r="B233" s="3208" t="s">
        <v>3095</v>
      </c>
      <c r="C233" s="3210"/>
      <c r="D233" s="3210"/>
      <c r="E233" s="3210"/>
      <c r="F233" s="3209">
        <v>0.05</v>
      </c>
      <c r="G233" s="3223"/>
    </row>
    <row r="234" spans="1:7">
      <c r="A234" s="3214" t="s">
        <v>1155</v>
      </c>
      <c r="B234" s="3200" t="s">
        <v>3096</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2917</v>
      </c>
      <c r="C238" s="3205">
        <v>0.14899999999999999</v>
      </c>
      <c r="D238" s="3205">
        <v>0.14899999999999999</v>
      </c>
      <c r="E238" s="3205">
        <v>0.15</v>
      </c>
      <c r="F238" s="3205">
        <v>0.15</v>
      </c>
      <c r="G238" s="3206">
        <v>0.15</v>
      </c>
    </row>
    <row r="239" spans="1:7">
      <c r="A239" s="3215" t="s">
        <v>1155</v>
      </c>
      <c r="B239" s="3204" t="s">
        <v>3097</v>
      </c>
      <c r="C239" s="3205">
        <v>0.15</v>
      </c>
      <c r="D239" s="3205">
        <v>0.15</v>
      </c>
      <c r="E239" s="3205">
        <v>0.15</v>
      </c>
      <c r="F239" s="3205">
        <v>0.15</v>
      </c>
      <c r="G239" s="3206">
        <v>0.15</v>
      </c>
    </row>
    <row r="240" spans="1:7">
      <c r="A240" s="3215" t="s">
        <v>1155</v>
      </c>
      <c r="B240" s="3204" t="s">
        <v>3098</v>
      </c>
      <c r="C240" s="3205">
        <v>0.15</v>
      </c>
      <c r="D240" s="3205">
        <v>0.15</v>
      </c>
      <c r="E240" s="3205">
        <v>0.15</v>
      </c>
      <c r="F240" s="3205">
        <v>0.15</v>
      </c>
      <c r="G240" s="3206">
        <v>0.15</v>
      </c>
    </row>
    <row r="241" spans="1:7">
      <c r="A241" s="3215" t="s">
        <v>1155</v>
      </c>
      <c r="B241" s="3204" t="s">
        <v>3099</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3100</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3101</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3102</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3103</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3104</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2926</v>
      </c>
      <c r="C258" s="3205">
        <v>0.14299999999999999</v>
      </c>
      <c r="D258" s="3205">
        <v>0.14299999999999999</v>
      </c>
      <c r="E258" s="3205">
        <v>0.15</v>
      </c>
      <c r="F258" s="3205">
        <v>0.14799999999999999</v>
      </c>
      <c r="G258" s="3206">
        <v>0.14599999999999999</v>
      </c>
    </row>
    <row r="259" spans="1:7">
      <c r="A259" s="3215" t="s">
        <v>1155</v>
      </c>
      <c r="B259" s="3204" t="s">
        <v>3105</v>
      </c>
      <c r="C259" s="3205">
        <v>0.14399999999999999</v>
      </c>
      <c r="D259" s="3205">
        <v>0.14399999999999999</v>
      </c>
      <c r="E259" s="3205">
        <v>0.14899999999999999</v>
      </c>
      <c r="F259" s="3205">
        <v>0.14699999999999999</v>
      </c>
      <c r="G259" s="3206">
        <v>0.14599999999999999</v>
      </c>
    </row>
    <row r="260" spans="1:7">
      <c r="A260" s="3215" t="s">
        <v>1155</v>
      </c>
      <c r="B260" s="3204" t="s">
        <v>3106</v>
      </c>
      <c r="C260" s="3205">
        <v>0.109</v>
      </c>
      <c r="D260" s="3205">
        <v>0.111</v>
      </c>
      <c r="E260" s="3205">
        <v>0.13100000000000001</v>
      </c>
      <c r="F260" s="3205">
        <v>0.126</v>
      </c>
      <c r="G260" s="3206">
        <v>0.11899999999999999</v>
      </c>
    </row>
    <row r="261" spans="1:7">
      <c r="A261" s="3215" t="s">
        <v>1155</v>
      </c>
      <c r="B261" s="3204" t="s">
        <v>3107</v>
      </c>
      <c r="C261" s="3205">
        <v>0.1</v>
      </c>
      <c r="D261" s="3205">
        <v>0.1</v>
      </c>
      <c r="E261" s="3205">
        <v>0.11799999999999999</v>
      </c>
      <c r="F261" s="3205">
        <v>0.108</v>
      </c>
      <c r="G261" s="3206">
        <v>0.107</v>
      </c>
    </row>
    <row r="262" spans="1:7">
      <c r="A262" s="3215" t="s">
        <v>1155</v>
      </c>
      <c r="B262" s="3204" t="s">
        <v>3108</v>
      </c>
      <c r="C262" s="3205">
        <v>0.1</v>
      </c>
      <c r="D262" s="3205">
        <v>0.1</v>
      </c>
      <c r="E262" s="3205">
        <v>0.1</v>
      </c>
      <c r="F262" s="3205">
        <v>0.14099999999999999</v>
      </c>
      <c r="G262" s="3206">
        <v>0.1</v>
      </c>
    </row>
    <row r="263" spans="1:7">
      <c r="A263" s="3215" t="s">
        <v>1155</v>
      </c>
      <c r="B263" s="3204" t="s">
        <v>3109</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3110</v>
      </c>
      <c r="C265" s="3216"/>
      <c r="D265" s="3216"/>
      <c r="E265" s="3216"/>
      <c r="F265" s="3205">
        <v>0.05</v>
      </c>
      <c r="G265" s="3222"/>
    </row>
    <row r="266" spans="1:7">
      <c r="A266" s="3215" t="s">
        <v>1155</v>
      </c>
      <c r="B266" s="3204" t="s">
        <v>3111</v>
      </c>
      <c r="C266" s="3216"/>
      <c r="D266" s="3216"/>
      <c r="E266" s="3216"/>
      <c r="F266" s="3205">
        <v>0.05</v>
      </c>
      <c r="G266" s="3222"/>
    </row>
    <row r="267" spans="1:7">
      <c r="A267" s="3215" t="s">
        <v>1155</v>
      </c>
      <c r="B267" s="3204" t="s">
        <v>3112</v>
      </c>
      <c r="C267" s="3216"/>
      <c r="D267" s="3216"/>
      <c r="E267" s="3216"/>
      <c r="F267" s="3205">
        <v>0.05</v>
      </c>
      <c r="G267" s="3222"/>
    </row>
    <row r="268" spans="1:7">
      <c r="A268" s="3215" t="s">
        <v>1155</v>
      </c>
      <c r="B268" s="3204" t="s">
        <v>3113</v>
      </c>
      <c r="C268" s="3216"/>
      <c r="D268" s="3216"/>
      <c r="E268" s="3216"/>
      <c r="F268" s="3205">
        <v>0.05</v>
      </c>
      <c r="G268" s="3222"/>
    </row>
    <row r="269" spans="1:7">
      <c r="A269" s="3215" t="s">
        <v>1155</v>
      </c>
      <c r="B269" s="3204" t="s">
        <v>3114</v>
      </c>
      <c r="C269" s="3216"/>
      <c r="D269" s="3216"/>
      <c r="E269" s="3216"/>
      <c r="F269" s="3205">
        <v>0.05</v>
      </c>
      <c r="G269" s="3222"/>
    </row>
    <row r="270" spans="1:7">
      <c r="A270" s="3215" t="s">
        <v>1155</v>
      </c>
      <c r="B270" s="3204" t="s">
        <v>3115</v>
      </c>
      <c r="C270" s="3216"/>
      <c r="D270" s="3216"/>
      <c r="E270" s="3216"/>
      <c r="F270" s="3205">
        <v>0.05</v>
      </c>
      <c r="G270" s="3222"/>
    </row>
    <row r="271" spans="1:7">
      <c r="A271" s="3215" t="s">
        <v>1155</v>
      </c>
      <c r="B271" s="3204" t="s">
        <v>3116</v>
      </c>
      <c r="C271" s="3216"/>
      <c r="D271" s="3216"/>
      <c r="E271" s="3216"/>
      <c r="F271" s="3205">
        <v>0.05</v>
      </c>
      <c r="G271" s="3222"/>
    </row>
    <row r="272" spans="1:7">
      <c r="A272" s="3215" t="s">
        <v>1155</v>
      </c>
      <c r="B272" s="3204" t="s">
        <v>3117</v>
      </c>
      <c r="C272" s="3216"/>
      <c r="D272" s="3216"/>
      <c r="E272" s="3216"/>
      <c r="F272" s="3205">
        <v>0.05</v>
      </c>
      <c r="G272" s="3222"/>
    </row>
    <row r="273" spans="1:7">
      <c r="A273" s="3215" t="s">
        <v>1155</v>
      </c>
      <c r="B273" s="3204" t="s">
        <v>3118</v>
      </c>
      <c r="C273" s="3216"/>
      <c r="D273" s="3216"/>
      <c r="E273" s="3216"/>
      <c r="F273" s="3205">
        <v>0.05</v>
      </c>
      <c r="G273" s="3222"/>
    </row>
    <row r="274" spans="1:7">
      <c r="A274" s="3215" t="s">
        <v>1155</v>
      </c>
      <c r="B274" s="3204" t="s">
        <v>3119</v>
      </c>
      <c r="C274" s="3216"/>
      <c r="D274" s="3216"/>
      <c r="E274" s="3216"/>
      <c r="F274" s="3205">
        <v>0.05</v>
      </c>
      <c r="G274" s="3222"/>
    </row>
    <row r="275" spans="1:7">
      <c r="A275" s="3215" t="s">
        <v>1155</v>
      </c>
      <c r="B275" s="3204" t="s">
        <v>3120</v>
      </c>
      <c r="C275" s="3216"/>
      <c r="D275" s="3216"/>
      <c r="E275" s="3216"/>
      <c r="F275" s="3205">
        <v>0.05</v>
      </c>
      <c r="G275" s="3222"/>
    </row>
    <row r="276" spans="1:7" ht="14.25" thickBot="1">
      <c r="A276" s="3218" t="s">
        <v>1155</v>
      </c>
      <c r="B276" s="3208" t="s">
        <v>3121</v>
      </c>
      <c r="C276" s="3210"/>
      <c r="D276" s="3210"/>
      <c r="E276" s="3210"/>
      <c r="F276" s="3209">
        <v>0.05</v>
      </c>
      <c r="G276" s="3223"/>
    </row>
    <row r="277" spans="1:7">
      <c r="A277" s="3214" t="s">
        <v>1156</v>
      </c>
      <c r="B277" s="3200" t="s">
        <v>3122</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3123</v>
      </c>
      <c r="C279" s="3205">
        <v>0.15</v>
      </c>
      <c r="D279" s="3205">
        <v>0.15</v>
      </c>
      <c r="E279" s="3205">
        <v>0.15</v>
      </c>
      <c r="F279" s="3205">
        <v>0.15</v>
      </c>
      <c r="G279" s="3206">
        <v>0.15</v>
      </c>
    </row>
    <row r="280" spans="1:7">
      <c r="A280" s="3215" t="s">
        <v>1156</v>
      </c>
      <c r="B280" s="3204" t="s">
        <v>3124</v>
      </c>
      <c r="C280" s="3205">
        <v>0.15</v>
      </c>
      <c r="D280" s="3205">
        <v>0.15</v>
      </c>
      <c r="E280" s="3205">
        <v>0.15</v>
      </c>
      <c r="F280" s="3205">
        <v>0.15</v>
      </c>
      <c r="G280" s="3206">
        <v>0.15</v>
      </c>
    </row>
    <row r="281" spans="1:7">
      <c r="A281" s="3215" t="s">
        <v>1156</v>
      </c>
      <c r="B281" s="3204" t="s">
        <v>3125</v>
      </c>
      <c r="C281" s="3205">
        <v>0.15</v>
      </c>
      <c r="D281" s="3205">
        <v>0.15</v>
      </c>
      <c r="E281" s="3205">
        <v>0.15</v>
      </c>
      <c r="F281" s="3205">
        <v>0.15</v>
      </c>
      <c r="G281" s="3206">
        <v>0.15</v>
      </c>
    </row>
    <row r="282" spans="1:7">
      <c r="A282" s="3215" t="s">
        <v>1156</v>
      </c>
      <c r="B282" s="3204" t="s">
        <v>3126</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3127</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3128</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2951</v>
      </c>
      <c r="C293" s="3205">
        <v>0.15</v>
      </c>
      <c r="D293" s="3205">
        <v>0.15</v>
      </c>
      <c r="E293" s="3205">
        <v>0.15</v>
      </c>
      <c r="F293" s="3205">
        <v>0.14499999999999999</v>
      </c>
      <c r="G293" s="3206">
        <v>0.15</v>
      </c>
    </row>
    <row r="294" spans="1:7">
      <c r="A294" s="3215" t="s">
        <v>1156</v>
      </c>
      <c r="B294" s="3204" t="s">
        <v>3129</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2953</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3130</v>
      </c>
      <c r="C302" s="3205">
        <v>0.15</v>
      </c>
      <c r="D302" s="3205">
        <v>0.15</v>
      </c>
      <c r="E302" s="3205">
        <v>0.15</v>
      </c>
      <c r="F302" s="3205">
        <v>0.14699999999999999</v>
      </c>
      <c r="G302" s="3206">
        <v>0.15</v>
      </c>
    </row>
    <row r="303" spans="1:7">
      <c r="A303" s="3215" t="s">
        <v>1156</v>
      </c>
      <c r="B303" s="3204" t="s">
        <v>2955</v>
      </c>
      <c r="C303" s="3205">
        <v>0.15</v>
      </c>
      <c r="D303" s="3205">
        <v>0.15</v>
      </c>
      <c r="E303" s="3205">
        <v>0.15</v>
      </c>
      <c r="F303" s="3205">
        <v>0.14199999999999999</v>
      </c>
      <c r="G303" s="3206">
        <v>0.15</v>
      </c>
    </row>
    <row r="304" spans="1:7">
      <c r="A304" s="3215" t="s">
        <v>1156</v>
      </c>
      <c r="B304" s="3204" t="s">
        <v>2956</v>
      </c>
      <c r="C304" s="3205">
        <v>0.15</v>
      </c>
      <c r="D304" s="3205">
        <v>0.15</v>
      </c>
      <c r="E304" s="3205">
        <v>0.15</v>
      </c>
      <c r="F304" s="3205">
        <v>0.14499999999999999</v>
      </c>
      <c r="G304" s="3206">
        <v>0.15</v>
      </c>
    </row>
    <row r="305" spans="1:7">
      <c r="A305" s="3215" t="s">
        <v>1156</v>
      </c>
      <c r="B305" s="3204" t="s">
        <v>2957</v>
      </c>
      <c r="C305" s="3205">
        <v>0.15</v>
      </c>
      <c r="D305" s="3205">
        <v>0.15</v>
      </c>
      <c r="E305" s="3205">
        <v>0.15</v>
      </c>
      <c r="F305" s="3205">
        <v>0.111</v>
      </c>
      <c r="G305" s="3206">
        <v>0.15</v>
      </c>
    </row>
    <row r="306" spans="1:7">
      <c r="A306" s="3215" t="s">
        <v>1156</v>
      </c>
      <c r="B306" s="3204" t="s">
        <v>3131</v>
      </c>
      <c r="C306" s="3205">
        <v>0.15</v>
      </c>
      <c r="D306" s="3205">
        <v>0.15</v>
      </c>
      <c r="E306" s="3205">
        <v>0.15</v>
      </c>
      <c r="F306" s="3205">
        <v>0.126</v>
      </c>
      <c r="G306" s="3206">
        <v>0.15</v>
      </c>
    </row>
    <row r="307" spans="1:7">
      <c r="A307" s="3215" t="s">
        <v>1156</v>
      </c>
      <c r="B307" s="3204" t="s">
        <v>2959</v>
      </c>
      <c r="C307" s="3205">
        <v>0.15</v>
      </c>
      <c r="D307" s="3205">
        <v>0.15</v>
      </c>
      <c r="E307" s="3205">
        <v>0.15</v>
      </c>
      <c r="F307" s="3205">
        <v>0.12</v>
      </c>
      <c r="G307" s="3206">
        <v>0.15</v>
      </c>
    </row>
    <row r="308" spans="1:7">
      <c r="A308" s="3215" t="s">
        <v>1156</v>
      </c>
      <c r="B308" s="3204" t="s">
        <v>3132</v>
      </c>
      <c r="C308" s="3205">
        <v>0.15</v>
      </c>
      <c r="D308" s="3205">
        <v>0.15</v>
      </c>
      <c r="E308" s="3205">
        <v>0.15</v>
      </c>
      <c r="F308" s="3205">
        <v>0.13</v>
      </c>
      <c r="G308" s="3206">
        <v>0.15</v>
      </c>
    </row>
    <row r="309" spans="1:7">
      <c r="A309" s="3215" t="s">
        <v>1156</v>
      </c>
      <c r="B309" s="3204" t="s">
        <v>3133</v>
      </c>
      <c r="C309" s="3205">
        <v>0.15</v>
      </c>
      <c r="D309" s="3205">
        <v>0.15</v>
      </c>
      <c r="E309" s="3205">
        <v>0.15</v>
      </c>
      <c r="F309" s="3205">
        <v>0.14099999999999999</v>
      </c>
      <c r="G309" s="3206">
        <v>0.15</v>
      </c>
    </row>
    <row r="310" spans="1:7">
      <c r="A310" s="3215" t="s">
        <v>1156</v>
      </c>
      <c r="B310" s="3204" t="s">
        <v>2962</v>
      </c>
      <c r="C310" s="3205">
        <v>0.15</v>
      </c>
      <c r="D310" s="3205">
        <v>0.15</v>
      </c>
      <c r="E310" s="3205">
        <v>0.15</v>
      </c>
      <c r="F310" s="3205">
        <v>0.15</v>
      </c>
      <c r="G310" s="3206">
        <v>0.15</v>
      </c>
    </row>
    <row r="311" spans="1:7">
      <c r="A311" s="3215" t="s">
        <v>1156</v>
      </c>
      <c r="B311" s="3204" t="s">
        <v>3134</v>
      </c>
      <c r="C311" s="3205">
        <v>0.13200000000000001</v>
      </c>
      <c r="D311" s="3205">
        <v>0.13300000000000001</v>
      </c>
      <c r="E311" s="3205">
        <v>0.14499999999999999</v>
      </c>
      <c r="F311" s="3205">
        <v>0.14199999999999999</v>
      </c>
      <c r="G311" s="3206">
        <v>0.14000000000000001</v>
      </c>
    </row>
    <row r="312" spans="1:7">
      <c r="A312" s="3215" t="s">
        <v>1156</v>
      </c>
      <c r="B312" s="3204" t="s">
        <v>2964</v>
      </c>
      <c r="C312" s="3205">
        <v>0.13800000000000001</v>
      </c>
      <c r="D312" s="3205">
        <v>0.14000000000000001</v>
      </c>
      <c r="E312" s="3205">
        <v>0.14599999999999999</v>
      </c>
      <c r="F312" s="3205">
        <v>0.14899999999999999</v>
      </c>
      <c r="G312" s="3206">
        <v>0.14199999999999999</v>
      </c>
    </row>
    <row r="313" spans="1:7">
      <c r="A313" s="3215" t="s">
        <v>1156</v>
      </c>
      <c r="B313" s="3204" t="s">
        <v>2965</v>
      </c>
      <c r="C313" s="3205">
        <v>0.125</v>
      </c>
      <c r="D313" s="3205">
        <v>0.127</v>
      </c>
      <c r="E313" s="3205">
        <v>0.14399999999999999</v>
      </c>
      <c r="F313" s="3205">
        <v>0.115</v>
      </c>
      <c r="G313" s="3206">
        <v>0.13600000000000001</v>
      </c>
    </row>
    <row r="314" spans="1:7">
      <c r="A314" s="3215" t="s">
        <v>1156</v>
      </c>
      <c r="B314" s="3204" t="s">
        <v>3135</v>
      </c>
      <c r="C314" s="3221"/>
      <c r="D314" s="3221"/>
      <c r="E314" s="3221"/>
      <c r="F314" s="3205">
        <v>0.05</v>
      </c>
      <c r="G314" s="3222"/>
    </row>
    <row r="315" spans="1:7">
      <c r="A315" s="3215" t="s">
        <v>1156</v>
      </c>
      <c r="B315" s="3204" t="s">
        <v>3136</v>
      </c>
      <c r="C315" s="3221"/>
      <c r="D315" s="3221"/>
      <c r="E315" s="3221"/>
      <c r="F315" s="3205">
        <v>0.05</v>
      </c>
      <c r="G315" s="3222"/>
    </row>
    <row r="316" spans="1:7">
      <c r="A316" s="3215" t="s">
        <v>1156</v>
      </c>
      <c r="B316" s="3204" t="s">
        <v>3137</v>
      </c>
      <c r="C316" s="3216"/>
      <c r="D316" s="3216"/>
      <c r="E316" s="3216"/>
      <c r="F316" s="3205">
        <v>0.05</v>
      </c>
      <c r="G316" s="3222"/>
    </row>
    <row r="317" spans="1:7">
      <c r="A317" s="3215" t="s">
        <v>1156</v>
      </c>
      <c r="B317" s="3204" t="s">
        <v>3138</v>
      </c>
      <c r="C317" s="3216"/>
      <c r="D317" s="3216"/>
      <c r="E317" s="3216"/>
      <c r="F317" s="3205">
        <v>0.05</v>
      </c>
      <c r="G317" s="3222"/>
    </row>
    <row r="318" spans="1:7">
      <c r="A318" s="3215" t="s">
        <v>1156</v>
      </c>
      <c r="B318" s="3204" t="s">
        <v>3139</v>
      </c>
      <c r="C318" s="3216"/>
      <c r="D318" s="3216"/>
      <c r="E318" s="3216"/>
      <c r="F318" s="3205">
        <v>0.05</v>
      </c>
      <c r="G318" s="3222"/>
    </row>
    <row r="319" spans="1:7">
      <c r="A319" s="3215" t="s">
        <v>1156</v>
      </c>
      <c r="B319" s="3204" t="s">
        <v>3140</v>
      </c>
      <c r="C319" s="3216"/>
      <c r="D319" s="3216"/>
      <c r="E319" s="3216"/>
      <c r="F319" s="3205">
        <v>0.05</v>
      </c>
      <c r="G319" s="3222"/>
    </row>
    <row r="320" spans="1:7">
      <c r="A320" s="3215" t="s">
        <v>1156</v>
      </c>
      <c r="B320" s="3204" t="s">
        <v>3141</v>
      </c>
      <c r="C320" s="3216"/>
      <c r="D320" s="3216"/>
      <c r="E320" s="3216"/>
      <c r="F320" s="3205">
        <v>0.05</v>
      </c>
      <c r="G320" s="3222"/>
    </row>
    <row r="321" spans="1:7">
      <c r="A321" s="3215" t="s">
        <v>1156</v>
      </c>
      <c r="B321" s="3204" t="s">
        <v>3142</v>
      </c>
      <c r="C321" s="3216"/>
      <c r="D321" s="3216"/>
      <c r="E321" s="3216"/>
      <c r="F321" s="3205">
        <v>0.05</v>
      </c>
      <c r="G321" s="3222"/>
    </row>
    <row r="322" spans="1:7">
      <c r="A322" s="3215" t="s">
        <v>1156</v>
      </c>
      <c r="B322" s="3204" t="s">
        <v>3143</v>
      </c>
      <c r="C322" s="3216"/>
      <c r="D322" s="3216"/>
      <c r="E322" s="3216"/>
      <c r="F322" s="3205">
        <v>0.05</v>
      </c>
      <c r="G322" s="3222"/>
    </row>
    <row r="323" spans="1:7">
      <c r="A323" s="3215" t="s">
        <v>1156</v>
      </c>
      <c r="B323" s="3204" t="s">
        <v>3144</v>
      </c>
      <c r="C323" s="3216"/>
      <c r="D323" s="3216"/>
      <c r="E323" s="3216"/>
      <c r="F323" s="3205">
        <v>0.05</v>
      </c>
      <c r="G323" s="3222"/>
    </row>
    <row r="324" spans="1:7">
      <c r="A324" s="3215" t="s">
        <v>1156</v>
      </c>
      <c r="B324" s="3204" t="s">
        <v>3145</v>
      </c>
      <c r="C324" s="3216"/>
      <c r="D324" s="3216"/>
      <c r="E324" s="3216"/>
      <c r="F324" s="3205">
        <v>0.05</v>
      </c>
      <c r="G324" s="3222"/>
    </row>
    <row r="325" spans="1:7">
      <c r="A325" s="3215" t="s">
        <v>1156</v>
      </c>
      <c r="B325" s="3204" t="s">
        <v>3146</v>
      </c>
      <c r="C325" s="3216"/>
      <c r="D325" s="3216"/>
      <c r="E325" s="3216"/>
      <c r="F325" s="3205">
        <v>0.05</v>
      </c>
      <c r="G325" s="3222"/>
    </row>
    <row r="326" spans="1:7" ht="14.25" thickBot="1">
      <c r="A326" s="3218" t="s">
        <v>1156</v>
      </c>
      <c r="B326" s="3208" t="s">
        <v>3147</v>
      </c>
      <c r="C326" s="3210"/>
      <c r="D326" s="3210"/>
      <c r="E326" s="3210"/>
      <c r="F326" s="3209">
        <v>0.05</v>
      </c>
      <c r="G326" s="3223"/>
    </row>
    <row r="327" spans="1:7">
      <c r="A327" s="3214" t="s">
        <v>1157</v>
      </c>
      <c r="B327" s="3200" t="s">
        <v>3148</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3149</v>
      </c>
      <c r="C329" s="3205">
        <v>0.15</v>
      </c>
      <c r="D329" s="3205">
        <v>0.15</v>
      </c>
      <c r="E329" s="3205">
        <v>0.15</v>
      </c>
      <c r="F329" s="3205">
        <v>0.15</v>
      </c>
      <c r="G329" s="3206">
        <v>0.15</v>
      </c>
    </row>
    <row r="330" spans="1:7">
      <c r="A330" s="3215" t="s">
        <v>1157</v>
      </c>
      <c r="B330" s="3204" t="s">
        <v>3150</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2982</v>
      </c>
      <c r="C332" s="3205">
        <v>0.15</v>
      </c>
      <c r="D332" s="3205">
        <v>0.15</v>
      </c>
      <c r="E332" s="3205">
        <v>0.15</v>
      </c>
      <c r="F332" s="3205">
        <v>0.15</v>
      </c>
      <c r="G332" s="3206">
        <v>0.15</v>
      </c>
    </row>
    <row r="333" spans="1:7">
      <c r="A333" s="3215" t="s">
        <v>1157</v>
      </c>
      <c r="B333" s="3204" t="s">
        <v>3151</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2984</v>
      </c>
      <c r="C336" s="3205">
        <v>0.15</v>
      </c>
      <c r="D336" s="3205">
        <v>0.15</v>
      </c>
      <c r="E336" s="3205">
        <v>0.15</v>
      </c>
      <c r="F336" s="3205">
        <v>0.14199999999999999</v>
      </c>
      <c r="G336" s="3206">
        <v>0.15</v>
      </c>
    </row>
    <row r="337" spans="1:7">
      <c r="A337" s="3215" t="s">
        <v>1157</v>
      </c>
      <c r="B337" s="3204" t="s">
        <v>3152</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3153</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3154</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2988</v>
      </c>
      <c r="C345" s="3205">
        <v>0.15</v>
      </c>
      <c r="D345" s="3205">
        <v>0.15</v>
      </c>
      <c r="E345" s="3205">
        <v>0.15</v>
      </c>
      <c r="F345" s="3205">
        <v>0.13800000000000001</v>
      </c>
      <c r="G345" s="3206">
        <v>0.15</v>
      </c>
    </row>
    <row r="346" spans="1:7">
      <c r="A346" s="3215" t="s">
        <v>1157</v>
      </c>
      <c r="B346" s="3204" t="s">
        <v>3155</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2990</v>
      </c>
      <c r="C348" s="3205">
        <v>0.15</v>
      </c>
      <c r="D348" s="3205">
        <v>0.15</v>
      </c>
      <c r="E348" s="3205">
        <v>0.15</v>
      </c>
      <c r="F348" s="3205">
        <v>0.14399999999999999</v>
      </c>
      <c r="G348" s="3206">
        <v>0.15</v>
      </c>
    </row>
    <row r="349" spans="1:7">
      <c r="A349" s="3215" t="s">
        <v>1157</v>
      </c>
      <c r="B349" s="3204" t="s">
        <v>2991</v>
      </c>
      <c r="C349" s="3205">
        <v>0.15</v>
      </c>
      <c r="D349" s="3205">
        <v>0.15</v>
      </c>
      <c r="E349" s="3205">
        <v>0.15</v>
      </c>
      <c r="F349" s="3205">
        <v>0.15</v>
      </c>
      <c r="G349" s="3206">
        <v>0.15</v>
      </c>
    </row>
    <row r="350" spans="1:7">
      <c r="A350" s="3215" t="s">
        <v>1157</v>
      </c>
      <c r="B350" s="3204" t="s">
        <v>3156</v>
      </c>
      <c r="C350" s="3205">
        <v>0.15</v>
      </c>
      <c r="D350" s="3205">
        <v>0.15</v>
      </c>
      <c r="E350" s="3205">
        <v>0.15</v>
      </c>
      <c r="F350" s="3205">
        <v>0.14699999999999999</v>
      </c>
      <c r="G350" s="3206">
        <v>0.15</v>
      </c>
    </row>
    <row r="351" spans="1:7">
      <c r="A351" s="3215" t="s">
        <v>1157</v>
      </c>
      <c r="B351" s="3204" t="s">
        <v>2993</v>
      </c>
      <c r="C351" s="3205">
        <v>0.15</v>
      </c>
      <c r="D351" s="3205">
        <v>0.15</v>
      </c>
      <c r="E351" s="3205">
        <v>0.15</v>
      </c>
      <c r="F351" s="3205">
        <v>0.13</v>
      </c>
      <c r="G351" s="3206">
        <v>0.15</v>
      </c>
    </row>
    <row r="352" spans="1:7">
      <c r="A352" s="3215" t="s">
        <v>1157</v>
      </c>
      <c r="B352" s="3204" t="s">
        <v>2994</v>
      </c>
      <c r="C352" s="3205">
        <v>0.15</v>
      </c>
      <c r="D352" s="3205">
        <v>0.15</v>
      </c>
      <c r="E352" s="3205">
        <v>0.15</v>
      </c>
      <c r="F352" s="3205">
        <v>0.14599999999999999</v>
      </c>
      <c r="G352" s="3206">
        <v>0.15</v>
      </c>
    </row>
    <row r="353" spans="1:7">
      <c r="A353" s="3215" t="s">
        <v>1157</v>
      </c>
      <c r="B353" s="3204" t="s">
        <v>3157</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2996</v>
      </c>
      <c r="C355" s="3205">
        <v>0.15</v>
      </c>
      <c r="D355" s="3205">
        <v>0.15</v>
      </c>
      <c r="E355" s="3205">
        <v>0.15</v>
      </c>
      <c r="F355" s="3205">
        <v>0.15</v>
      </c>
      <c r="G355" s="3206">
        <v>0.15</v>
      </c>
    </row>
    <row r="356" spans="1:7">
      <c r="A356" s="3215" t="s">
        <v>1157</v>
      </c>
      <c r="B356" s="3204" t="s">
        <v>2997</v>
      </c>
      <c r="C356" s="3205">
        <v>0.15</v>
      </c>
      <c r="D356" s="3205">
        <v>0.15</v>
      </c>
      <c r="E356" s="3205">
        <v>0.15</v>
      </c>
      <c r="F356" s="3205">
        <v>0.15</v>
      </c>
      <c r="G356" s="3206">
        <v>0.15</v>
      </c>
    </row>
    <row r="357" spans="1:7" ht="14.25" thickBot="1">
      <c r="A357" s="3218" t="s">
        <v>1157</v>
      </c>
      <c r="B357" s="3208" t="s">
        <v>3158</v>
      </c>
      <c r="C357" s="3209">
        <v>0.126</v>
      </c>
      <c r="D357" s="3209">
        <v>0.127</v>
      </c>
      <c r="E357" s="3209">
        <v>0.14299999999999999</v>
      </c>
      <c r="F357" s="3209">
        <v>0.125</v>
      </c>
      <c r="G357" s="3211">
        <v>0.129</v>
      </c>
    </row>
    <row r="358" spans="1:7">
      <c r="A358" s="3214" t="s">
        <v>3159</v>
      </c>
      <c r="B358" s="3200" t="s">
        <v>3160</v>
      </c>
      <c r="C358" s="3201">
        <v>0.15</v>
      </c>
      <c r="D358" s="3201">
        <v>0.15</v>
      </c>
      <c r="E358" s="3201">
        <v>0.15</v>
      </c>
      <c r="F358" s="3201">
        <v>0.15</v>
      </c>
      <c r="G358" s="3202">
        <v>0.15</v>
      </c>
    </row>
    <row r="359" spans="1:7">
      <c r="A359" s="3215" t="s">
        <v>3159</v>
      </c>
      <c r="B359" s="3204" t="s">
        <v>3161</v>
      </c>
      <c r="C359" s="3205">
        <v>0.1</v>
      </c>
      <c r="D359" s="3205">
        <v>0.1</v>
      </c>
      <c r="E359" s="3205">
        <v>0.1</v>
      </c>
      <c r="F359" s="3205">
        <v>0.1</v>
      </c>
      <c r="G359" s="3206">
        <v>0.1</v>
      </c>
    </row>
    <row r="360" spans="1:7">
      <c r="A360" s="3215" t="s">
        <v>3159</v>
      </c>
      <c r="B360" s="3204" t="s">
        <v>3162</v>
      </c>
      <c r="C360" s="3205">
        <v>0.15</v>
      </c>
      <c r="D360" s="3205">
        <v>0.15</v>
      </c>
      <c r="E360" s="3205">
        <v>0.15</v>
      </c>
      <c r="F360" s="3205">
        <v>0.14899999999999999</v>
      </c>
      <c r="G360" s="3206">
        <v>0.15</v>
      </c>
    </row>
    <row r="361" spans="1:7">
      <c r="A361" s="3215" t="s">
        <v>3159</v>
      </c>
      <c r="B361" s="3204" t="s">
        <v>999</v>
      </c>
      <c r="C361" s="3205">
        <v>0.15</v>
      </c>
      <c r="D361" s="3205">
        <v>0.15</v>
      </c>
      <c r="E361" s="3205">
        <v>0.15</v>
      </c>
      <c r="F361" s="3205">
        <v>0.115</v>
      </c>
      <c r="G361" s="3206">
        <v>0.15</v>
      </c>
    </row>
    <row r="362" spans="1:7">
      <c r="A362" s="3215" t="s">
        <v>3159</v>
      </c>
      <c r="B362" s="3204" t="s">
        <v>3163</v>
      </c>
      <c r="C362" s="3205">
        <v>0.15</v>
      </c>
      <c r="D362" s="3205">
        <v>0.15</v>
      </c>
      <c r="E362" s="3205">
        <v>0.15</v>
      </c>
      <c r="F362" s="3205">
        <v>0.106</v>
      </c>
      <c r="G362" s="3206">
        <v>0.15</v>
      </c>
    </row>
    <row r="363" spans="1:7">
      <c r="A363" s="3215" t="s">
        <v>3159</v>
      </c>
      <c r="B363" s="3204" t="s">
        <v>3003</v>
      </c>
      <c r="C363" s="3205">
        <v>0.15</v>
      </c>
      <c r="D363" s="3205">
        <v>0.15</v>
      </c>
      <c r="E363" s="3205">
        <v>0.15</v>
      </c>
      <c r="F363" s="3205">
        <v>0.14699999999999999</v>
      </c>
      <c r="G363" s="3206">
        <v>0.15</v>
      </c>
    </row>
    <row r="364" spans="1:7">
      <c r="A364" s="3215" t="s">
        <v>3159</v>
      </c>
      <c r="B364" s="3204" t="s">
        <v>3164</v>
      </c>
      <c r="C364" s="3205">
        <v>0.15</v>
      </c>
      <c r="D364" s="3205">
        <v>0.15</v>
      </c>
      <c r="E364" s="3205">
        <v>0.15</v>
      </c>
      <c r="F364" s="3205">
        <v>0.14799999999999999</v>
      </c>
      <c r="G364" s="3206">
        <v>0.15</v>
      </c>
    </row>
    <row r="365" spans="1:7">
      <c r="A365" s="3215" t="s">
        <v>3159</v>
      </c>
      <c r="B365" s="3204" t="s">
        <v>1047</v>
      </c>
      <c r="C365" s="3205">
        <v>0.15</v>
      </c>
      <c r="D365" s="3205">
        <v>0.15</v>
      </c>
      <c r="E365" s="3205">
        <v>0.15</v>
      </c>
      <c r="F365" s="3205">
        <v>0.15</v>
      </c>
      <c r="G365" s="3206">
        <v>0.15</v>
      </c>
    </row>
    <row r="366" spans="1:7">
      <c r="A366" s="3215" t="s">
        <v>3159</v>
      </c>
      <c r="B366" s="3204" t="s">
        <v>3005</v>
      </c>
      <c r="C366" s="3205">
        <v>0.15</v>
      </c>
      <c r="D366" s="3205">
        <v>0.15</v>
      </c>
      <c r="E366" s="3205">
        <v>0.15</v>
      </c>
      <c r="F366" s="3205">
        <v>0.15</v>
      </c>
      <c r="G366" s="3206">
        <v>0.15</v>
      </c>
    </row>
    <row r="367" spans="1:7">
      <c r="A367" s="3215" t="s">
        <v>3159</v>
      </c>
      <c r="B367" s="3204" t="s">
        <v>3165</v>
      </c>
      <c r="C367" s="3205">
        <v>0.15</v>
      </c>
      <c r="D367" s="3205">
        <v>0.15</v>
      </c>
      <c r="E367" s="3205">
        <v>0.15</v>
      </c>
      <c r="F367" s="3205">
        <v>0.14699999999999999</v>
      </c>
      <c r="G367" s="3206">
        <v>0.15</v>
      </c>
    </row>
    <row r="368" spans="1:7">
      <c r="A368" s="3215" t="s">
        <v>3159</v>
      </c>
      <c r="B368" s="3204" t="s">
        <v>3166</v>
      </c>
      <c r="C368" s="3205">
        <v>0.15</v>
      </c>
      <c r="D368" s="3205">
        <v>0.15</v>
      </c>
      <c r="E368" s="3205">
        <v>0.15</v>
      </c>
      <c r="F368" s="3205">
        <v>0.13600000000000001</v>
      </c>
      <c r="G368" s="3206">
        <v>0.15</v>
      </c>
    </row>
    <row r="369" spans="1:7">
      <c r="A369" s="3215" t="s">
        <v>3159</v>
      </c>
      <c r="B369" s="3204" t="s">
        <v>1061</v>
      </c>
      <c r="C369" s="3205">
        <v>0.15</v>
      </c>
      <c r="D369" s="3205">
        <v>0.15</v>
      </c>
      <c r="E369" s="3205">
        <v>0.15</v>
      </c>
      <c r="F369" s="3205">
        <v>0.14399999999999999</v>
      </c>
      <c r="G369" s="3206">
        <v>0.15</v>
      </c>
    </row>
    <row r="370" spans="1:7">
      <c r="A370" s="3215" t="s">
        <v>3159</v>
      </c>
      <c r="B370" s="3204" t="s">
        <v>1069</v>
      </c>
      <c r="C370" s="3205">
        <v>0.15</v>
      </c>
      <c r="D370" s="3205">
        <v>0.15</v>
      </c>
      <c r="E370" s="3205">
        <v>0.15</v>
      </c>
      <c r="F370" s="3205">
        <v>0.14599999999999999</v>
      </c>
      <c r="G370" s="3206">
        <v>0.15</v>
      </c>
    </row>
    <row r="371" spans="1:7">
      <c r="A371" s="3215" t="s">
        <v>3159</v>
      </c>
      <c r="B371" s="3204" t="s">
        <v>1077</v>
      </c>
      <c r="C371" s="3205">
        <v>0.15</v>
      </c>
      <c r="D371" s="3205">
        <v>0.15</v>
      </c>
      <c r="E371" s="3205">
        <v>0.15</v>
      </c>
      <c r="F371" s="3205">
        <v>0.12</v>
      </c>
      <c r="G371" s="3206">
        <v>0.15</v>
      </c>
    </row>
    <row r="372" spans="1:7">
      <c r="A372" s="3215" t="s">
        <v>3159</v>
      </c>
      <c r="B372" s="3204" t="s">
        <v>3167</v>
      </c>
      <c r="C372" s="3205">
        <v>0.15</v>
      </c>
      <c r="D372" s="3205">
        <v>0.15</v>
      </c>
      <c r="E372" s="3205">
        <v>0.15</v>
      </c>
      <c r="F372" s="3205">
        <v>0.14299999999999999</v>
      </c>
      <c r="G372" s="3206">
        <v>0.15</v>
      </c>
    </row>
    <row r="373" spans="1:7">
      <c r="A373" s="3215" t="s">
        <v>3159</v>
      </c>
      <c r="B373" s="3204" t="s">
        <v>1106</v>
      </c>
      <c r="C373" s="3205">
        <v>0.15</v>
      </c>
      <c r="D373" s="3205">
        <v>0.15</v>
      </c>
      <c r="E373" s="3205">
        <v>0.15</v>
      </c>
      <c r="F373" s="3205">
        <v>0.14599999999999999</v>
      </c>
      <c r="G373" s="3206">
        <v>0.15</v>
      </c>
    </row>
    <row r="374" spans="1:7">
      <c r="A374" s="3215" t="s">
        <v>3159</v>
      </c>
      <c r="B374" s="3204" t="s">
        <v>1114</v>
      </c>
      <c r="C374" s="3205">
        <v>0.15</v>
      </c>
      <c r="D374" s="3205">
        <v>0.15</v>
      </c>
      <c r="E374" s="3205">
        <v>0.15</v>
      </c>
      <c r="F374" s="3205">
        <v>0.14399999999999999</v>
      </c>
      <c r="G374" s="3206">
        <v>0.15</v>
      </c>
    </row>
    <row r="375" spans="1:7">
      <c r="A375" s="3215" t="s">
        <v>3159</v>
      </c>
      <c r="B375" s="3204" t="s">
        <v>3168</v>
      </c>
      <c r="C375" s="3205">
        <v>0.15</v>
      </c>
      <c r="D375" s="3205">
        <v>0.15</v>
      </c>
      <c r="E375" s="3205">
        <v>0.15</v>
      </c>
      <c r="F375" s="3205">
        <v>0.13</v>
      </c>
      <c r="G375" s="3206">
        <v>0.15</v>
      </c>
    </row>
    <row r="376" spans="1:7">
      <c r="A376" s="3215" t="s">
        <v>3159</v>
      </c>
      <c r="B376" s="3204" t="s">
        <v>1126</v>
      </c>
      <c r="C376" s="3205">
        <v>0.15</v>
      </c>
      <c r="D376" s="3205">
        <v>0.15</v>
      </c>
      <c r="E376" s="3205">
        <v>0.15</v>
      </c>
      <c r="F376" s="3205">
        <v>0.14199999999999999</v>
      </c>
      <c r="G376" s="3206">
        <v>0.15</v>
      </c>
    </row>
    <row r="377" spans="1:7" ht="14.25" thickBot="1">
      <c r="A377" s="3218" t="s">
        <v>3159</v>
      </c>
      <c r="B377" s="3208" t="s">
        <v>3010</v>
      </c>
      <c r="C377" s="3209">
        <v>0.15</v>
      </c>
      <c r="D377" s="3209">
        <v>0.15</v>
      </c>
      <c r="E377" s="3209">
        <v>0.15</v>
      </c>
      <c r="F377" s="3209">
        <v>0.14000000000000001</v>
      </c>
      <c r="G377" s="3211">
        <v>0.15</v>
      </c>
    </row>
    <row r="378" spans="1:7">
      <c r="A378" s="3214" t="s">
        <v>3169</v>
      </c>
      <c r="B378" s="3200" t="s">
        <v>3170</v>
      </c>
      <c r="C378" s="3201">
        <v>0.15</v>
      </c>
      <c r="D378" s="3201">
        <v>0.15</v>
      </c>
      <c r="E378" s="3201">
        <v>0.15</v>
      </c>
      <c r="F378" s="3201">
        <v>0.107</v>
      </c>
      <c r="G378" s="3202">
        <v>0.15</v>
      </c>
    </row>
    <row r="379" spans="1:7">
      <c r="A379" s="3215" t="s">
        <v>3169</v>
      </c>
      <c r="B379" s="3204" t="s">
        <v>3171</v>
      </c>
      <c r="C379" s="3205">
        <v>0.15</v>
      </c>
      <c r="D379" s="3205">
        <v>0.15</v>
      </c>
      <c r="E379" s="3205">
        <v>0.15</v>
      </c>
      <c r="F379" s="3205">
        <v>0.115</v>
      </c>
      <c r="G379" s="3206">
        <v>0.14899999999999999</v>
      </c>
    </row>
    <row r="380" spans="1:7">
      <c r="A380" s="3215" t="s">
        <v>3172</v>
      </c>
      <c r="B380" s="3204" t="s">
        <v>3173</v>
      </c>
      <c r="C380" s="3205">
        <v>0.15</v>
      </c>
      <c r="D380" s="3205">
        <v>0.15</v>
      </c>
      <c r="E380" s="3205">
        <v>0.15</v>
      </c>
      <c r="F380" s="3205">
        <v>0.1</v>
      </c>
      <c r="G380" s="3206">
        <v>0.14799999999999999</v>
      </c>
    </row>
    <row r="381" spans="1:7">
      <c r="A381" s="3215" t="s">
        <v>3172</v>
      </c>
      <c r="B381" s="3204" t="s">
        <v>3174</v>
      </c>
      <c r="C381" s="3205">
        <v>0.15</v>
      </c>
      <c r="D381" s="3205">
        <v>0.15</v>
      </c>
      <c r="E381" s="3205">
        <v>0.15</v>
      </c>
      <c r="F381" s="3205">
        <v>0.126</v>
      </c>
      <c r="G381" s="3206">
        <v>0.15</v>
      </c>
    </row>
    <row r="382" spans="1:7">
      <c r="A382" s="3215" t="s">
        <v>3172</v>
      </c>
      <c r="B382" s="3204" t="s">
        <v>3175</v>
      </c>
      <c r="C382" s="3205">
        <v>0.15</v>
      </c>
      <c r="D382" s="3205">
        <v>0.15</v>
      </c>
      <c r="E382" s="3205">
        <v>0.15</v>
      </c>
      <c r="F382" s="3205">
        <v>0.15</v>
      </c>
      <c r="G382" s="3206">
        <v>0.15</v>
      </c>
    </row>
    <row r="383" spans="1:7">
      <c r="A383" s="3215" t="s">
        <v>3172</v>
      </c>
      <c r="B383" s="3204" t="s">
        <v>3176</v>
      </c>
      <c r="C383" s="3205">
        <v>0.15</v>
      </c>
      <c r="D383" s="3205">
        <v>0.15</v>
      </c>
      <c r="E383" s="3205">
        <v>0.15</v>
      </c>
      <c r="F383" s="3205">
        <v>0.14699999999999999</v>
      </c>
      <c r="G383" s="3206">
        <v>0.15</v>
      </c>
    </row>
    <row r="384" spans="1:7" ht="14.25" thickBot="1">
      <c r="A384" s="3225" t="s">
        <v>3172</v>
      </c>
      <c r="B384" s="3226" t="s">
        <v>3177</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22" t="s">
        <v>1856</v>
      </c>
      <c r="C1" s="3722"/>
      <c r="D1" s="3722"/>
      <c r="E1" s="3722"/>
      <c r="F1" s="3722"/>
      <c r="G1" s="3721" t="s">
        <v>1857</v>
      </c>
      <c r="H1" s="3721"/>
      <c r="I1" s="3721"/>
      <c r="J1" s="3721"/>
      <c r="K1" s="3721"/>
      <c r="L1" s="3721"/>
      <c r="N1" s="3721" t="s">
        <v>1858</v>
      </c>
      <c r="O1" s="3721"/>
      <c r="P1" s="3721"/>
      <c r="Q1" s="3721"/>
      <c r="S1" s="3721" t="s">
        <v>1859</v>
      </c>
      <c r="T1" s="3721"/>
      <c r="U1" s="3721"/>
      <c r="V1" s="3721"/>
      <c r="X1" s="3720" t="s">
        <v>1919</v>
      </c>
      <c r="Y1" s="3721"/>
      <c r="Z1" s="3721"/>
      <c r="AA1" s="3721"/>
      <c r="AB1" s="3721"/>
      <c r="AD1" s="3720" t="s">
        <v>1923</v>
      </c>
      <c r="AE1" s="3721"/>
      <c r="AF1" s="3721"/>
      <c r="AG1" s="3721"/>
      <c r="AH1" s="3721"/>
    </row>
    <row r="2" spans="1:34" s="2422" customFormat="1" ht="14.25" thickBot="1">
      <c r="B2" s="2423" t="s">
        <v>1860</v>
      </c>
      <c r="C2" s="2423" t="s">
        <v>1921</v>
      </c>
      <c r="D2" s="2424" t="s">
        <v>1179</v>
      </c>
      <c r="E2" s="2424" t="s">
        <v>1469</v>
      </c>
      <c r="F2" s="2423" t="s">
        <v>1922</v>
      </c>
      <c r="G2" s="2425"/>
      <c r="I2" s="2423" t="s">
        <v>2210</v>
      </c>
      <c r="J2" s="2424" t="s">
        <v>2212</v>
      </c>
      <c r="K2" s="2424" t="s">
        <v>2213</v>
      </c>
      <c r="L2" s="2423" t="s">
        <v>2214</v>
      </c>
      <c r="N2" s="2423" t="s">
        <v>1860</v>
      </c>
      <c r="O2" s="2424" t="s">
        <v>2211</v>
      </c>
      <c r="P2" s="2424" t="s">
        <v>1469</v>
      </c>
      <c r="Q2" s="2423" t="s">
        <v>1922</v>
      </c>
      <c r="S2" s="2423" t="s">
        <v>1860</v>
      </c>
      <c r="T2" s="2424" t="s">
        <v>2211</v>
      </c>
      <c r="U2" s="2424" t="s">
        <v>1469</v>
      </c>
      <c r="V2" s="2423" t="s">
        <v>1922</v>
      </c>
      <c r="X2" s="2423" t="s">
        <v>1860</v>
      </c>
      <c r="Y2" s="2423" t="s">
        <v>1921</v>
      </c>
      <c r="Z2" s="2424" t="s">
        <v>1179</v>
      </c>
      <c r="AA2" s="2424" t="s">
        <v>1469</v>
      </c>
      <c r="AB2" s="2423" t="s">
        <v>1922</v>
      </c>
      <c r="AD2" s="2423" t="s">
        <v>1860</v>
      </c>
      <c r="AE2" s="2423" t="s">
        <v>1921</v>
      </c>
      <c r="AF2" s="2424" t="s">
        <v>1179</v>
      </c>
      <c r="AG2" s="2424" t="s">
        <v>1469</v>
      </c>
      <c r="AH2" s="2423" t="s">
        <v>1922</v>
      </c>
    </row>
    <row r="3" spans="1:34" s="2430" customFormat="1" ht="14.25">
      <c r="A3" s="2426" t="s">
        <v>2221</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2440</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2439</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2438</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2437</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2436</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2286</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2285</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2284</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2283</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2280</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2279</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2246</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2244</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2242</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2241</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2239</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2238</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2237</v>
      </c>
      <c r="B22" s="2453">
        <f t="shared" si="11"/>
        <v>464.37293017158942</v>
      </c>
      <c r="C22" s="2453">
        <f t="shared" si="12"/>
        <v>344.73679941385956</v>
      </c>
      <c r="D22" s="2453">
        <f t="shared" si="2"/>
        <v>344.73679941385956</v>
      </c>
      <c r="E22" s="2453">
        <f t="shared" si="3"/>
        <v>663.2377795103107</v>
      </c>
      <c r="F22" s="2454">
        <f t="shared" si="4"/>
        <v>304.75936311478398</v>
      </c>
      <c r="G22" s="3716">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2230</v>
      </c>
      <c r="B23" s="2443">
        <f t="shared" si="11"/>
        <v>459.95733971036987</v>
      </c>
      <c r="C23" s="2443">
        <f t="shared" si="12"/>
        <v>341.22221064422405</v>
      </c>
      <c r="D23" s="2443">
        <f t="shared" si="2"/>
        <v>341.22221064422405</v>
      </c>
      <c r="E23" s="2443">
        <f t="shared" si="3"/>
        <v>657.19161663724799</v>
      </c>
      <c r="F23" s="2443">
        <f t="shared" si="4"/>
        <v>300.87803644464805</v>
      </c>
      <c r="G23" s="3716"/>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2231</v>
      </c>
      <c r="B24" s="2443">
        <f t="shared" si="11"/>
        <v>453.11529869999993</v>
      </c>
      <c r="C24" s="2443">
        <f t="shared" si="12"/>
        <v>336.47787264000004</v>
      </c>
      <c r="D24" s="2443">
        <f t="shared" si="2"/>
        <v>336.47787264000004</v>
      </c>
      <c r="E24" s="2443">
        <f t="shared" si="3"/>
        <v>647.35186823999993</v>
      </c>
      <c r="F24" s="2443">
        <f t="shared" si="4"/>
        <v>295.73229452000004</v>
      </c>
      <c r="G24" s="3716"/>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2227</v>
      </c>
      <c r="B25" s="2443">
        <f t="shared" si="11"/>
        <v>446.46299999999997</v>
      </c>
      <c r="C25" s="2443">
        <f t="shared" si="12"/>
        <v>333.27840000000003</v>
      </c>
      <c r="D25" s="2443">
        <f t="shared" ref="D25:D30" si="13">C25</f>
        <v>333.27840000000003</v>
      </c>
      <c r="E25" s="2443">
        <f t="shared" si="3"/>
        <v>637.28279999999995</v>
      </c>
      <c r="F25" s="2443">
        <f t="shared" si="4"/>
        <v>288.68830000000003</v>
      </c>
      <c r="G25" s="3717"/>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2220</v>
      </c>
      <c r="B26" s="2453">
        <v>439</v>
      </c>
      <c r="C26" s="2453">
        <v>327</v>
      </c>
      <c r="D26" s="2453">
        <f t="shared" si="13"/>
        <v>327</v>
      </c>
      <c r="E26" s="2453">
        <v>627</v>
      </c>
      <c r="F26" s="2454">
        <v>283</v>
      </c>
      <c r="G26" s="3715">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2222</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16"/>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1861</v>
      </c>
      <c r="B28" s="2443">
        <f t="shared" si="16"/>
        <v>419.31181600000002</v>
      </c>
      <c r="C28" s="2443">
        <f t="shared" si="16"/>
        <v>313.95436800000004</v>
      </c>
      <c r="D28" s="2443">
        <f t="shared" si="13"/>
        <v>313.95436800000004</v>
      </c>
      <c r="E28" s="2443">
        <f t="shared" si="17"/>
        <v>596.63028431999999</v>
      </c>
      <c r="F28" s="2443">
        <f t="shared" si="17"/>
        <v>274.74220703999998</v>
      </c>
      <c r="G28" s="3716"/>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1862</v>
      </c>
      <c r="B29" s="2443">
        <f t="shared" si="16"/>
        <v>405.524</v>
      </c>
      <c r="C29" s="2443">
        <f t="shared" si="16"/>
        <v>307.79840000000002</v>
      </c>
      <c r="D29" s="2443">
        <f t="shared" si="13"/>
        <v>307.79840000000002</v>
      </c>
      <c r="E29" s="2443">
        <f t="shared" si="17"/>
        <v>574.67759999999998</v>
      </c>
      <c r="F29" s="2443">
        <f t="shared" si="17"/>
        <v>270.20280000000002</v>
      </c>
      <c r="G29" s="3717"/>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15">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16"/>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16"/>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19"/>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18">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16"/>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16"/>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19"/>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18">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16"/>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16"/>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19"/>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1920</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1863</v>
      </c>
      <c r="B42" s="2461">
        <v>299</v>
      </c>
      <c r="C42" s="2461">
        <v>252</v>
      </c>
      <c r="D42" s="2461">
        <f t="shared" si="20"/>
        <v>252</v>
      </c>
      <c r="E42" s="2461">
        <v>409</v>
      </c>
      <c r="F42" s="2462">
        <v>227</v>
      </c>
      <c r="G42" s="3723">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1864</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24"/>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1865</v>
      </c>
      <c r="B44" s="2443">
        <f t="shared" si="27"/>
        <v>288.2649053828776</v>
      </c>
      <c r="C44" s="2443">
        <f t="shared" si="27"/>
        <v>243.64564425013293</v>
      </c>
      <c r="D44" s="2443">
        <f t="shared" si="20"/>
        <v>243.64564425013293</v>
      </c>
      <c r="E44" s="2443">
        <f t="shared" si="28"/>
        <v>393.31080825986544</v>
      </c>
      <c r="F44" s="2443">
        <f t="shared" si="28"/>
        <v>223.07903790551154</v>
      </c>
      <c r="G44" s="3724"/>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1866</v>
      </c>
      <c r="B45" s="2443">
        <f t="shared" si="27"/>
        <v>282.50186729015837</v>
      </c>
      <c r="C45" s="2443">
        <f t="shared" si="27"/>
        <v>238.09796174155468</v>
      </c>
      <c r="D45" s="2443">
        <f t="shared" si="20"/>
        <v>238.09796174155468</v>
      </c>
      <c r="E45" s="2443">
        <f t="shared" si="28"/>
        <v>385.33438646014054</v>
      </c>
      <c r="F45" s="2443">
        <f t="shared" si="28"/>
        <v>221.55034055567739</v>
      </c>
      <c r="G45" s="3725"/>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1867</v>
      </c>
      <c r="B46" s="2487">
        <v>278</v>
      </c>
      <c r="C46" s="2487">
        <v>234</v>
      </c>
      <c r="D46" s="2487">
        <f t="shared" si="20"/>
        <v>234</v>
      </c>
      <c r="E46" s="2487">
        <v>379</v>
      </c>
      <c r="F46" s="2488">
        <v>220</v>
      </c>
      <c r="G46" s="3718">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1868</v>
      </c>
      <c r="B47" s="2443">
        <f>B46/(1+N46)</f>
        <v>275.49301357645425</v>
      </c>
      <c r="C47" s="2443">
        <f>C46/(1+O46)</f>
        <v>232.41954707985698</v>
      </c>
      <c r="D47" s="2443">
        <f t="shared" si="20"/>
        <v>232.41954707985698</v>
      </c>
      <c r="E47" s="2443">
        <f t="shared" ref="E47:F49" si="29">E46/(1+P46)</f>
        <v>375.32184591008121</v>
      </c>
      <c r="F47" s="2443">
        <f t="shared" si="29"/>
        <v>218.03766105054513</v>
      </c>
      <c r="G47" s="3716"/>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1869</v>
      </c>
      <c r="B48" s="2443">
        <f>B47/(1+N47)</f>
        <v>275.24529281292263</v>
      </c>
      <c r="C48" s="2443">
        <f>C47/(1+O47)</f>
        <v>231.74747938962707</v>
      </c>
      <c r="D48" s="2443">
        <f t="shared" si="20"/>
        <v>231.74747938962707</v>
      </c>
      <c r="E48" s="2443">
        <f t="shared" si="29"/>
        <v>375.35938184826603</v>
      </c>
      <c r="F48" s="2443">
        <f t="shared" si="29"/>
        <v>216.78033510692495</v>
      </c>
      <c r="G48" s="3716"/>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1870</v>
      </c>
      <c r="B49" s="2443">
        <f>B48/(1+N48)</f>
        <v>275.19025476197027</v>
      </c>
      <c r="C49" s="2489">
        <v>232</v>
      </c>
      <c r="D49" s="2489">
        <f t="shared" si="20"/>
        <v>232</v>
      </c>
      <c r="E49" s="2443">
        <f t="shared" si="29"/>
        <v>375.65990977608692</v>
      </c>
      <c r="F49" s="2443">
        <f t="shared" si="29"/>
        <v>214.12518283971252</v>
      </c>
      <c r="G49" s="3719"/>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1871</v>
      </c>
      <c r="B50" s="2461">
        <v>275</v>
      </c>
      <c r="C50" s="2461">
        <v>232</v>
      </c>
      <c r="D50" s="2461">
        <f t="shared" si="20"/>
        <v>232</v>
      </c>
      <c r="E50" s="2461">
        <v>376</v>
      </c>
      <c r="F50" s="2462">
        <v>213</v>
      </c>
      <c r="G50" s="3718">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1872</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16">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1873</v>
      </c>
      <c r="B52" s="2443">
        <f t="shared" si="30"/>
        <v>275.19335084830601</v>
      </c>
      <c r="C52" s="2443">
        <f t="shared" si="30"/>
        <v>230.18088050139744</v>
      </c>
      <c r="D52" s="2443">
        <f t="shared" si="20"/>
        <v>230.18088050139744</v>
      </c>
      <c r="E52" s="2443">
        <f t="shared" si="31"/>
        <v>377.58482925212331</v>
      </c>
      <c r="F52" s="2443">
        <f t="shared" si="31"/>
        <v>210.90687997847917</v>
      </c>
      <c r="G52" s="3716">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1874</v>
      </c>
      <c r="B53" s="2443">
        <f t="shared" si="30"/>
        <v>276.29854502841971</v>
      </c>
      <c r="C53" s="2443">
        <f t="shared" si="30"/>
        <v>229.79023709833027</v>
      </c>
      <c r="D53" s="2443">
        <f t="shared" si="20"/>
        <v>229.79023709833027</v>
      </c>
      <c r="E53" s="2443">
        <f t="shared" si="31"/>
        <v>379.78759731655936</v>
      </c>
      <c r="F53" s="2443">
        <f t="shared" si="31"/>
        <v>211.32953905659235</v>
      </c>
      <c r="G53" s="3719">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1875</v>
      </c>
      <c r="B54" s="2461">
        <v>269</v>
      </c>
      <c r="C54" s="2461">
        <v>221</v>
      </c>
      <c r="D54" s="2461">
        <f t="shared" si="20"/>
        <v>221</v>
      </c>
      <c r="E54" s="2461">
        <v>373</v>
      </c>
      <c r="F54" s="2462">
        <v>196</v>
      </c>
      <c r="G54" s="3718">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1876</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16">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1877</v>
      </c>
      <c r="B56" s="2443">
        <f t="shared" si="32"/>
        <v>242.95398227588385</v>
      </c>
      <c r="C56" s="2443">
        <f t="shared" si="32"/>
        <v>199.59137053614126</v>
      </c>
      <c r="D56" s="2443">
        <f t="shared" si="20"/>
        <v>199.59137053614126</v>
      </c>
      <c r="E56" s="2443">
        <f t="shared" si="33"/>
        <v>335.92189522342125</v>
      </c>
      <c r="F56" s="2443">
        <f t="shared" si="33"/>
        <v>183.10139991109489</v>
      </c>
      <c r="G56" s="3716">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1878</v>
      </c>
      <c r="B57" s="2443">
        <f t="shared" si="32"/>
        <v>232.06990378821649</v>
      </c>
      <c r="C57" s="2443">
        <f t="shared" si="32"/>
        <v>192.74878854286936</v>
      </c>
      <c r="D57" s="2443">
        <f t="shared" si="20"/>
        <v>192.74878854286936</v>
      </c>
      <c r="E57" s="2443">
        <f t="shared" si="33"/>
        <v>319.71247284992984</v>
      </c>
      <c r="F57" s="2443">
        <f t="shared" si="33"/>
        <v>175.67053622862409</v>
      </c>
      <c r="G57" s="3719">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1879</v>
      </c>
      <c r="B58" s="2461">
        <v>220</v>
      </c>
      <c r="C58" s="2461">
        <v>187</v>
      </c>
      <c r="D58" s="2461">
        <f t="shared" si="20"/>
        <v>187</v>
      </c>
      <c r="E58" s="2461">
        <v>301</v>
      </c>
      <c r="F58" s="2462">
        <v>168</v>
      </c>
      <c r="G58" s="3718">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1880</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16">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1881</v>
      </c>
      <c r="B60" s="2443">
        <f t="shared" si="34"/>
        <v>210.630522469011</v>
      </c>
      <c r="C60" s="2443">
        <f t="shared" si="34"/>
        <v>181.69567812247232</v>
      </c>
      <c r="D60" s="2443">
        <f t="shared" si="20"/>
        <v>181.69567812247232</v>
      </c>
      <c r="E60" s="2443">
        <f t="shared" si="35"/>
        <v>286.13517466736738</v>
      </c>
      <c r="F60" s="2443">
        <f t="shared" si="35"/>
        <v>165.47535084591149</v>
      </c>
      <c r="G60" s="3716">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1882</v>
      </c>
      <c r="B61" s="2443">
        <f t="shared" si="34"/>
        <v>208.83454537875372</v>
      </c>
      <c r="C61" s="2443">
        <f t="shared" si="34"/>
        <v>183.77230517090351</v>
      </c>
      <c r="D61" s="2443">
        <f t="shared" si="20"/>
        <v>183.77230517090351</v>
      </c>
      <c r="E61" s="2443">
        <f t="shared" si="35"/>
        <v>281.10342338870947</v>
      </c>
      <c r="F61" s="2443">
        <f t="shared" si="35"/>
        <v>168.97309388942256</v>
      </c>
      <c r="G61" s="3719">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1883</v>
      </c>
      <c r="B62" s="2487">
        <v>214</v>
      </c>
      <c r="C62" s="2487">
        <v>188</v>
      </c>
      <c r="D62" s="2487">
        <f t="shared" si="20"/>
        <v>188</v>
      </c>
      <c r="E62" s="2487">
        <v>289</v>
      </c>
      <c r="F62" s="2488">
        <v>166</v>
      </c>
      <c r="G62" s="3718">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1884</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16">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1885</v>
      </c>
      <c r="B64" s="2443">
        <f t="shared" si="36"/>
        <v>206.31694671589116</v>
      </c>
      <c r="C64" s="2443">
        <f t="shared" si="36"/>
        <v>183.61041121036101</v>
      </c>
      <c r="D64" s="2443">
        <f t="shared" si="20"/>
        <v>183.61041121036101</v>
      </c>
      <c r="E64" s="2443">
        <f t="shared" si="37"/>
        <v>276.66850301795557</v>
      </c>
      <c r="F64" s="2443">
        <f t="shared" si="37"/>
        <v>165.1360938278614</v>
      </c>
      <c r="G64" s="3716">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1886</v>
      </c>
      <c r="B65" s="2490">
        <f t="shared" si="36"/>
        <v>196.62341248059772</v>
      </c>
      <c r="C65" s="2490">
        <f t="shared" si="36"/>
        <v>170.99125648199012</v>
      </c>
      <c r="D65" s="2490">
        <f t="shared" si="20"/>
        <v>170.99125648199012</v>
      </c>
      <c r="E65" s="2490">
        <f t="shared" si="37"/>
        <v>266.07857570490052</v>
      </c>
      <c r="F65" s="2490">
        <f t="shared" si="37"/>
        <v>154.53499328828505</v>
      </c>
      <c r="G65" s="3719">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1887</v>
      </c>
      <c r="B66" s="2461">
        <v>188</v>
      </c>
      <c r="C66" s="2461">
        <v>165</v>
      </c>
      <c r="D66" s="2461">
        <f t="shared" si="20"/>
        <v>165</v>
      </c>
      <c r="E66" s="2461">
        <v>254</v>
      </c>
      <c r="F66" s="2462">
        <v>148</v>
      </c>
      <c r="G66" s="3718">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1888</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16">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1889</v>
      </c>
      <c r="B68" s="2443">
        <f t="shared" si="40"/>
        <v>168.82017748715555</v>
      </c>
      <c r="C68" s="2443">
        <f t="shared" si="40"/>
        <v>148.06267029972753</v>
      </c>
      <c r="D68" s="2443">
        <f t="shared" si="20"/>
        <v>148.06267029972753</v>
      </c>
      <c r="E68" s="2443">
        <f t="shared" si="41"/>
        <v>216.46288379323747</v>
      </c>
      <c r="F68" s="2443">
        <f t="shared" si="41"/>
        <v>134.23529411764704</v>
      </c>
      <c r="G68" s="3716">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1890</v>
      </c>
      <c r="B69" s="2443">
        <f t="shared" si="40"/>
        <v>163.84913591779542</v>
      </c>
      <c r="C69" s="2443">
        <f t="shared" si="40"/>
        <v>145.0283378746594</v>
      </c>
      <c r="D69" s="2443">
        <f t="shared" si="20"/>
        <v>145.0283378746594</v>
      </c>
      <c r="E69" s="2443">
        <f t="shared" si="41"/>
        <v>204.95180722891567</v>
      </c>
      <c r="F69" s="2443">
        <f t="shared" si="41"/>
        <v>125.95920303605313</v>
      </c>
      <c r="G69" s="3719">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1891</v>
      </c>
      <c r="B70" s="2468">
        <v>159</v>
      </c>
      <c r="C70" s="2468">
        <v>141</v>
      </c>
      <c r="D70" s="2468">
        <f t="shared" si="20"/>
        <v>141</v>
      </c>
      <c r="E70" s="2468">
        <v>195</v>
      </c>
      <c r="F70" s="2469">
        <v>122</v>
      </c>
      <c r="G70" s="3718">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1892</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16">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1893</v>
      </c>
      <c r="B72" s="2443">
        <f t="shared" si="44"/>
        <v>146.57412060301507</v>
      </c>
      <c r="C72" s="2443">
        <f t="shared" si="44"/>
        <v>136.46831955922866</v>
      </c>
      <c r="D72" s="2443">
        <f t="shared" si="20"/>
        <v>136.46831955922866</v>
      </c>
      <c r="E72" s="2443">
        <f t="shared" si="45"/>
        <v>166.73864894795128</v>
      </c>
      <c r="F72" s="2443">
        <f t="shared" si="45"/>
        <v>115.05882352941177</v>
      </c>
      <c r="G72" s="3716">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1894</v>
      </c>
      <c r="B73" s="2443">
        <f t="shared" si="44"/>
        <v>144.04145728643215</v>
      </c>
      <c r="C73" s="2443">
        <f t="shared" si="44"/>
        <v>136.12396694214877</v>
      </c>
      <c r="D73" s="2443">
        <f t="shared" si="20"/>
        <v>136.12396694214877</v>
      </c>
      <c r="E73" s="2443">
        <f t="shared" si="45"/>
        <v>158.32225913621264</v>
      </c>
      <c r="F73" s="2443">
        <f t="shared" si="45"/>
        <v>114.04278074866311</v>
      </c>
      <c r="G73" s="3719">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1895</v>
      </c>
      <c r="B74" s="2468">
        <v>138</v>
      </c>
      <c r="C74" s="2468">
        <v>131</v>
      </c>
      <c r="D74" s="2468">
        <f t="shared" si="20"/>
        <v>131</v>
      </c>
      <c r="E74" s="2468">
        <v>155</v>
      </c>
      <c r="F74" s="2469">
        <v>114</v>
      </c>
      <c r="G74" s="3718">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1896</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16">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1897</v>
      </c>
      <c r="B76" s="2443">
        <f t="shared" si="48"/>
        <v>124.29032258064517</v>
      </c>
      <c r="C76" s="2443">
        <f t="shared" si="48"/>
        <v>123.8968609865471</v>
      </c>
      <c r="D76" s="2443">
        <f t="shared" si="20"/>
        <v>123.8968609865471</v>
      </c>
      <c r="E76" s="2443">
        <f t="shared" si="49"/>
        <v>138.00507614213197</v>
      </c>
      <c r="F76" s="2443">
        <f t="shared" si="49"/>
        <v>107.96106557377048</v>
      </c>
      <c r="G76" s="3716">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1898</v>
      </c>
      <c r="B77" s="2443">
        <f t="shared" si="48"/>
        <v>122.57204301075269</v>
      </c>
      <c r="C77" s="2443">
        <f t="shared" si="48"/>
        <v>123.4932735426009</v>
      </c>
      <c r="D77" s="2443">
        <f t="shared" si="20"/>
        <v>123.4932735426009</v>
      </c>
      <c r="E77" s="2443">
        <f t="shared" si="49"/>
        <v>129.82233502538071</v>
      </c>
      <c r="F77" s="2443">
        <f t="shared" si="49"/>
        <v>107.39446721311475</v>
      </c>
      <c r="G77" s="3719">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1899</v>
      </c>
      <c r="B78" s="2487">
        <v>121</v>
      </c>
      <c r="C78" s="2487">
        <v>122</v>
      </c>
      <c r="D78" s="2487">
        <f t="shared" si="20"/>
        <v>122</v>
      </c>
      <c r="E78" s="2487">
        <v>124</v>
      </c>
      <c r="F78" s="2488">
        <v>107</v>
      </c>
      <c r="G78" s="3718">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1900</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16">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1901</v>
      </c>
      <c r="B80" s="2443">
        <f t="shared" si="52"/>
        <v>116.99099099099099</v>
      </c>
      <c r="C80" s="2443">
        <f t="shared" si="52"/>
        <v>118.84848484848486</v>
      </c>
      <c r="D80" s="2443">
        <f t="shared" si="20"/>
        <v>118.84848484848486</v>
      </c>
      <c r="E80" s="2443">
        <f t="shared" si="53"/>
        <v>117.60960960960961</v>
      </c>
      <c r="F80" s="2443">
        <f t="shared" si="53"/>
        <v>104</v>
      </c>
      <c r="G80" s="3716">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1902</v>
      </c>
      <c r="B81" s="2490">
        <f t="shared" si="52"/>
        <v>112.48648648648648</v>
      </c>
      <c r="C81" s="2490">
        <f t="shared" si="52"/>
        <v>115.21212121212122</v>
      </c>
      <c r="D81" s="2490">
        <f t="shared" si="20"/>
        <v>115.21212121212122</v>
      </c>
      <c r="E81" s="2490">
        <f t="shared" si="53"/>
        <v>110.4024024024024</v>
      </c>
      <c r="F81" s="2490">
        <f t="shared" si="53"/>
        <v>104</v>
      </c>
      <c r="G81" s="3719">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1903</v>
      </c>
      <c r="B82" s="2507">
        <v>111</v>
      </c>
      <c r="C82" s="2507">
        <v>114</v>
      </c>
      <c r="D82" s="2507">
        <f t="shared" si="20"/>
        <v>114</v>
      </c>
      <c r="E82" s="2507">
        <v>108</v>
      </c>
      <c r="F82" s="2508">
        <v>104</v>
      </c>
      <c r="G82" s="3718">
        <v>2003</v>
      </c>
      <c r="H82" s="2497">
        <v>4</v>
      </c>
      <c r="I82" s="2509"/>
      <c r="J82" s="2509"/>
      <c r="K82" s="2509"/>
      <c r="L82" s="2509"/>
      <c r="N82" s="2510"/>
      <c r="O82" s="2509"/>
      <c r="P82" s="2509"/>
      <c r="Q82" s="2509"/>
      <c r="S82" s="2510"/>
      <c r="T82" s="2509"/>
      <c r="U82" s="2509"/>
      <c r="V82" s="2509"/>
      <c r="X82" s="2501"/>
      <c r="Y82" s="2501"/>
      <c r="Z82" s="2501"/>
    </row>
    <row r="83" spans="1:26">
      <c r="A83" s="2442" t="s">
        <v>1904</v>
      </c>
      <c r="B83" s="2511">
        <f t="shared" ref="B83:C85" si="54">B84+(B$82-B$86)/4</f>
        <v>109.75</v>
      </c>
      <c r="C83" s="2511">
        <f t="shared" si="54"/>
        <v>112.25</v>
      </c>
      <c r="D83" s="2511">
        <f t="shared" si="20"/>
        <v>112.25</v>
      </c>
      <c r="E83" s="2511">
        <f t="shared" ref="E83:F85" si="55">E84+(E$82-E$86)/4</f>
        <v>107.25</v>
      </c>
      <c r="F83" s="2511">
        <f t="shared" si="55"/>
        <v>103.5</v>
      </c>
      <c r="G83" s="3716">
        <v>2003</v>
      </c>
      <c r="H83" s="2466">
        <v>3</v>
      </c>
      <c r="I83" s="2509"/>
      <c r="J83" s="2509"/>
      <c r="K83" s="2509"/>
      <c r="L83" s="2509"/>
      <c r="X83" s="2501"/>
      <c r="Y83" s="2501"/>
      <c r="Z83" s="2501"/>
    </row>
    <row r="84" spans="1:26">
      <c r="A84" s="2442" t="s">
        <v>1905</v>
      </c>
      <c r="B84" s="2511">
        <f t="shared" si="54"/>
        <v>108.5</v>
      </c>
      <c r="C84" s="2511">
        <f t="shared" si="54"/>
        <v>110.5</v>
      </c>
      <c r="D84" s="2511">
        <f t="shared" si="20"/>
        <v>110.5</v>
      </c>
      <c r="E84" s="2511">
        <f t="shared" si="55"/>
        <v>106.5</v>
      </c>
      <c r="F84" s="2511">
        <f t="shared" si="55"/>
        <v>103</v>
      </c>
      <c r="G84" s="3716">
        <v>2003</v>
      </c>
      <c r="H84" s="2457">
        <v>2</v>
      </c>
      <c r="I84" s="2509"/>
      <c r="J84" s="2509"/>
      <c r="K84" s="2509"/>
      <c r="L84" s="2509"/>
      <c r="X84" s="2501"/>
      <c r="Y84" s="2501"/>
      <c r="Z84" s="2501"/>
    </row>
    <row r="85" spans="1:26" ht="13.5" thickBot="1">
      <c r="A85" s="2442" t="s">
        <v>1906</v>
      </c>
      <c r="B85" s="2511">
        <f t="shared" si="54"/>
        <v>107.25</v>
      </c>
      <c r="C85" s="2511">
        <f t="shared" si="54"/>
        <v>108.75</v>
      </c>
      <c r="D85" s="2511">
        <f t="shared" si="20"/>
        <v>108.75</v>
      </c>
      <c r="E85" s="2511">
        <f t="shared" si="55"/>
        <v>105.75</v>
      </c>
      <c r="F85" s="2511">
        <f t="shared" si="55"/>
        <v>102.5</v>
      </c>
      <c r="G85" s="3719">
        <v>2003</v>
      </c>
      <c r="H85" s="2512">
        <v>1</v>
      </c>
      <c r="I85" s="2509"/>
      <c r="J85" s="2509"/>
      <c r="K85" s="2509"/>
      <c r="L85" s="2509"/>
      <c r="S85" s="2445"/>
      <c r="T85" s="2441"/>
      <c r="U85" s="2441"/>
      <c r="X85" s="2501"/>
      <c r="Y85" s="2501"/>
      <c r="Z85" s="2501"/>
    </row>
    <row r="86" spans="1:26" ht="13.5" thickBot="1">
      <c r="A86" s="2442" t="s">
        <v>1907</v>
      </c>
      <c r="B86" s="2513">
        <v>106</v>
      </c>
      <c r="C86" s="2513">
        <v>107</v>
      </c>
      <c r="D86" s="2513">
        <f t="shared" si="20"/>
        <v>107</v>
      </c>
      <c r="E86" s="2513">
        <v>105</v>
      </c>
      <c r="F86" s="2514">
        <v>102</v>
      </c>
      <c r="G86" s="3718">
        <v>2002</v>
      </c>
      <c r="H86" s="2463">
        <v>4</v>
      </c>
      <c r="I86" s="2509"/>
      <c r="J86" s="2509"/>
      <c r="K86" s="2509"/>
      <c r="L86" s="2509"/>
      <c r="N86" s="2510"/>
      <c r="O86" s="2509"/>
      <c r="P86" s="2509"/>
      <c r="Q86" s="2509"/>
      <c r="S86" s="2510"/>
      <c r="T86" s="2509"/>
      <c r="U86" s="2509"/>
      <c r="V86" s="2509"/>
      <c r="X86" s="2501"/>
      <c r="Y86" s="2501"/>
      <c r="Z86" s="2501"/>
    </row>
    <row r="87" spans="1:26">
      <c r="A87" s="2442" t="s">
        <v>1908</v>
      </c>
      <c r="B87" s="2511">
        <f t="shared" ref="B87:C89" si="56">B88+(B$86-B$90)/4</f>
        <v>105</v>
      </c>
      <c r="C87" s="2511">
        <f t="shared" si="56"/>
        <v>106</v>
      </c>
      <c r="D87" s="2511">
        <f t="shared" si="20"/>
        <v>106</v>
      </c>
      <c r="E87" s="2511">
        <f t="shared" ref="E87:F89" si="57">E88+(E$86-E$90)/4</f>
        <v>104.5</v>
      </c>
      <c r="F87" s="2511">
        <f t="shared" si="57"/>
        <v>101.5</v>
      </c>
      <c r="G87" s="3716">
        <v>2002</v>
      </c>
      <c r="H87" s="2466">
        <v>3</v>
      </c>
      <c r="I87" s="2509"/>
      <c r="J87" s="2509"/>
      <c r="K87" s="2509"/>
      <c r="L87" s="2509"/>
      <c r="X87" s="2501"/>
      <c r="Y87" s="2501"/>
      <c r="Z87" s="2501"/>
    </row>
    <row r="88" spans="1:26">
      <c r="A88" s="2442" t="s">
        <v>1909</v>
      </c>
      <c r="B88" s="2511">
        <f t="shared" si="56"/>
        <v>104</v>
      </c>
      <c r="C88" s="2511">
        <f t="shared" si="56"/>
        <v>105</v>
      </c>
      <c r="D88" s="2511">
        <f t="shared" si="20"/>
        <v>105</v>
      </c>
      <c r="E88" s="2511">
        <f t="shared" si="57"/>
        <v>104</v>
      </c>
      <c r="F88" s="2511">
        <f t="shared" si="57"/>
        <v>101</v>
      </c>
      <c r="G88" s="3716">
        <v>2002</v>
      </c>
      <c r="H88" s="2457">
        <v>2</v>
      </c>
      <c r="I88" s="2509"/>
      <c r="J88" s="2509"/>
      <c r="K88" s="2509"/>
      <c r="L88" s="2509"/>
      <c r="X88" s="2501"/>
      <c r="Y88" s="2501"/>
      <c r="Z88" s="2501"/>
    </row>
    <row r="89" spans="1:26" s="2476" customFormat="1" ht="13.5" thickBot="1">
      <c r="A89" s="2472" t="s">
        <v>1910</v>
      </c>
      <c r="B89" s="2479">
        <f t="shared" si="56"/>
        <v>103</v>
      </c>
      <c r="C89" s="2479">
        <f t="shared" si="56"/>
        <v>104</v>
      </c>
      <c r="D89" s="2479">
        <f t="shared" si="20"/>
        <v>104</v>
      </c>
      <c r="E89" s="2479">
        <f t="shared" si="57"/>
        <v>103.5</v>
      </c>
      <c r="F89" s="2479">
        <f t="shared" si="57"/>
        <v>100.5</v>
      </c>
      <c r="G89" s="3719">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1911</v>
      </c>
      <c r="G92" s="2524"/>
      <c r="N92" s="2524"/>
      <c r="S92" s="2524"/>
    </row>
    <row r="93" spans="1:26" s="2523" customFormat="1">
      <c r="A93" s="2523" t="s">
        <v>1912</v>
      </c>
      <c r="G93" s="2524"/>
      <c r="N93" s="2524"/>
      <c r="S93" s="2524"/>
    </row>
    <row r="94" spans="1:26" s="2523" customFormat="1">
      <c r="A94" s="2523" t="s">
        <v>1913</v>
      </c>
      <c r="G94" s="2524"/>
      <c r="I94" s="2525"/>
      <c r="J94" s="2525"/>
      <c r="K94" s="2525"/>
      <c r="L94" s="2525"/>
      <c r="N94" s="2526"/>
      <c r="O94" s="2525"/>
      <c r="P94" s="2525"/>
      <c r="Q94" s="2525"/>
      <c r="S94" s="2526"/>
      <c r="T94" s="2525"/>
      <c r="U94" s="2525"/>
      <c r="V94" s="2525"/>
    </row>
    <row r="95" spans="1:26" s="2523" customFormat="1">
      <c r="A95" s="2523" t="s">
        <v>1914</v>
      </c>
      <c r="G95" s="2524"/>
      <c r="N95" s="2524"/>
      <c r="S95" s="2524"/>
    </row>
    <row r="102" spans="7:22" ht="13.5" thickBot="1"/>
    <row r="103" spans="7:22">
      <c r="G103" s="2440"/>
      <c r="S103" s="2527" t="s">
        <v>1915</v>
      </c>
      <c r="T103" s="2466" t="s">
        <v>1916</v>
      </c>
      <c r="U103" s="2466" t="s">
        <v>1917</v>
      </c>
      <c r="V103" s="2466" t="s">
        <v>1918</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1">
        <f>基准地价!G23</f>
        <v>45617</v>
      </c>
      <c r="B1" s="3088" t="s">
        <v>3261</v>
      </c>
      <c r="C1" s="3089"/>
      <c r="D1" s="3089"/>
      <c r="E1" s="3089"/>
      <c r="F1" s="3089"/>
      <c r="G1" s="3089"/>
      <c r="H1" s="3089"/>
      <c r="I1" s="3089"/>
      <c r="J1" s="3090"/>
      <c r="K1" s="3089" t="s">
        <v>2783</v>
      </c>
      <c r="L1" s="3089"/>
      <c r="M1" s="3089"/>
      <c r="N1" s="3089"/>
      <c r="O1" s="3089"/>
      <c r="P1" s="3089"/>
      <c r="Q1" s="3090"/>
      <c r="R1" s="3726" t="s">
        <v>2791</v>
      </c>
      <c r="S1" s="3727"/>
      <c r="T1" s="3727"/>
      <c r="U1" s="3727"/>
      <c r="V1" s="3727"/>
      <c r="W1" s="3727"/>
      <c r="X1" s="3090"/>
      <c r="Y1" s="3726" t="s">
        <v>2802</v>
      </c>
      <c r="Z1" s="3727"/>
      <c r="AA1" s="3727"/>
      <c r="AB1" s="3727"/>
      <c r="AC1" s="3727"/>
      <c r="AD1" s="3727"/>
    </row>
    <row r="2" spans="1:30" ht="14.25" thickBot="1">
      <c r="A2" s="3083"/>
      <c r="B2" s="3091"/>
      <c r="C2" s="3092"/>
      <c r="D2" s="2423" t="s">
        <v>2785</v>
      </c>
      <c r="E2" s="2424" t="s">
        <v>2786</v>
      </c>
      <c r="F2" s="2424" t="s">
        <v>2787</v>
      </c>
      <c r="G2" s="2424" t="s">
        <v>2788</v>
      </c>
      <c r="H2" s="2424" t="s">
        <v>2789</v>
      </c>
      <c r="I2" s="2424" t="s">
        <v>2731</v>
      </c>
      <c r="J2" s="3093"/>
      <c r="K2" s="2423" t="s">
        <v>2785</v>
      </c>
      <c r="L2" s="2424" t="s">
        <v>2786</v>
      </c>
      <c r="M2" s="2424" t="s">
        <v>2787</v>
      </c>
      <c r="N2" s="2424" t="s">
        <v>2788</v>
      </c>
      <c r="O2" s="2424" t="s">
        <v>2789</v>
      </c>
      <c r="P2" s="2424" t="s">
        <v>2731</v>
      </c>
      <c r="Q2" s="3093"/>
      <c r="R2" s="2423" t="s">
        <v>2792</v>
      </c>
      <c r="S2" s="2424" t="s">
        <v>2793</v>
      </c>
      <c r="T2" s="2424" t="s">
        <v>2794</v>
      </c>
      <c r="U2" s="2424" t="s">
        <v>2795</v>
      </c>
      <c r="V2" s="2424" t="s">
        <v>2796</v>
      </c>
      <c r="W2" s="2424" t="s">
        <v>2797</v>
      </c>
      <c r="X2" s="3093"/>
      <c r="Y2" s="2423" t="s">
        <v>2785</v>
      </c>
      <c r="Z2" s="2424" t="s">
        <v>1470</v>
      </c>
      <c r="AA2" s="2424" t="s">
        <v>2803</v>
      </c>
      <c r="AB2" s="2424" t="s">
        <v>1469</v>
      </c>
      <c r="AC2" s="2424" t="s">
        <v>2789</v>
      </c>
      <c r="AD2" s="2424" t="s">
        <v>2448</v>
      </c>
    </row>
    <row r="3" spans="1:30">
      <c r="A3" s="3084" t="s">
        <v>2774</v>
      </c>
      <c r="B3" s="3094"/>
      <c r="C3" s="3095"/>
      <c r="D3" s="3095">
        <f>ROUND(AVERAGEIF(D4:D21,"&lt;&gt;0"),2)</f>
        <v>0.47</v>
      </c>
      <c r="E3" s="3095">
        <f>ROUND(AVERAGEIF(E4:E21,"&lt;&gt;0"),2)</f>
        <v>0.3</v>
      </c>
      <c r="F3" s="3095">
        <f>ROUND(AVERAGEIF(F4:F21,"&lt;&gt;0"),2)</f>
        <v>0.04</v>
      </c>
      <c r="G3" s="3095">
        <f>ROUND(AVERAGEIF(G4:G21,"&lt;&gt;0"),2)</f>
        <v>0.51</v>
      </c>
      <c r="H3" s="3095">
        <f>ROUND(AVERAGEIF(H4:H21,"&lt;&gt;0"),2)</f>
        <v>0.55000000000000004</v>
      </c>
      <c r="I3" s="3095">
        <f>F3</f>
        <v>0.04</v>
      </c>
      <c r="J3" s="3096"/>
      <c r="K3" s="3097">
        <f>ROUND(AVERAGEIF(K4:K21,"&lt;&gt;0"),4)</f>
        <v>4.7000000000000002E-3</v>
      </c>
      <c r="L3" s="3098">
        <f>ROUND(AVERAGEIF(L4:L21,"&lt;&gt;0"),4)</f>
        <v>3.0000000000000001E-3</v>
      </c>
      <c r="M3" s="3098">
        <f>ROUND(AVERAGEIF(M4:M21,"&lt;&gt;0"),4)</f>
        <v>4.0000000000000002E-4</v>
      </c>
      <c r="N3" s="3098">
        <f>ROUND(AVERAGEIF(N4:N21,"&lt;&gt;0"),4)</f>
        <v>5.1000000000000004E-3</v>
      </c>
      <c r="O3" s="3098">
        <f>ROUND(AVERAGEIF(O4:O21,"&lt;&gt;0"),4)</f>
        <v>5.4999999999999997E-3</v>
      </c>
      <c r="P3" s="3098">
        <f>M3</f>
        <v>4.0000000000000002E-4</v>
      </c>
      <c r="Q3" s="3096"/>
      <c r="R3" s="3111">
        <f>ROUND(SUMPRODUCT(PRODUCT(1+K4:K21)),4)</f>
        <v>1.0723</v>
      </c>
      <c r="S3" s="3112">
        <f>ROUND(SUMPRODUCT(PRODUCT(1+L4:L21)),4)</f>
        <v>1.0465</v>
      </c>
      <c r="T3" s="3112">
        <f>ROUND(SUMPRODUCT(PRODUCT(1+M4:M21)),4)</f>
        <v>1.0054000000000001</v>
      </c>
      <c r="U3" s="3112">
        <f>ROUND(SUMPRODUCT(PRODUCT(1+N4:N21)),4)</f>
        <v>1.0790999999999999</v>
      </c>
      <c r="V3" s="3112">
        <f>ROUND(SUMPRODUCT(PRODUCT(1+O4:O21)),4)</f>
        <v>1.0857000000000001</v>
      </c>
      <c r="W3" s="3111">
        <f>T3</f>
        <v>1.0054000000000001</v>
      </c>
      <c r="X3" s="3096"/>
      <c r="Y3" s="3118">
        <f>ROUND(AVERAGEIF(Y8:Y21,"&lt;&gt;0"),4)</f>
        <v>8.0999999999999996E-3</v>
      </c>
      <c r="Z3" s="3119">
        <f>ROUND(AVERAGEIF(Z8:Z21,"&lt;&gt;0"),4)</f>
        <v>3.7000000000000002E-3</v>
      </c>
      <c r="AA3" s="3120">
        <f>ROUND(AVERAGEIF(AA8:AA21,"&lt;&gt;0"),4)</f>
        <v>1.2999999999999999E-3</v>
      </c>
      <c r="AB3" s="3118">
        <f>ROUND(AVERAGEIF(AB8:AB21,"&lt;&gt;0"),4)</f>
        <v>8.8000000000000005E-3</v>
      </c>
      <c r="AC3" s="3121">
        <f>ROUND(AVERAGEIF(AC8:AC21,"&lt;&gt;0"),4)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3256</v>
      </c>
      <c r="B5" s="3134">
        <v>2025</v>
      </c>
      <c r="C5" s="3135">
        <v>1</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ROUND(IF(项目基本情况!$B$8="出让",SUMPRODUCT(PRODUCT(1+K5:$K$21)),SUMPRODUCT(PRODUCT(1+K5:$K$20))),4)</f>
        <v>1.0620000000000001</v>
      </c>
      <c r="S5" s="3113">
        <f>ROUND(IF(项目基本情况!$B$8="出让",SUMPRODUCT(PRODUCT(1+L5:$L$21)),SUMPRODUCT(PRODUCT(1+L5:$L$20))),4)</f>
        <v>1.0448</v>
      </c>
      <c r="T5" s="3113">
        <f>ROUND(IF(项目基本情况!$B$8="出让",SUMPRODUCT(PRODUCT(1+M5:$M$21)),SUMPRODUCT(PRODUCT(1+M5:$M$20))),4)</f>
        <v>1.0079</v>
      </c>
      <c r="U5" s="3113">
        <f>ROUND(IF(项目基本情况!$B$8="出让",SUMPRODUCT(PRODUCT(1+N5:$N$21)),SUMPRODUCT(PRODUCT(1+N5:$N$20))),4)</f>
        <v>1.0672999999999999</v>
      </c>
      <c r="V5" s="3113">
        <f>ROUND(IF(项目基本情况!$B$8="出让",SUMPRODUCT(PRODUCT(1+O5:$O$21)),SUMPRODUCT(PRODUCT(1+O5:$O$20))),4)</f>
        <v>1.0818000000000001</v>
      </c>
      <c r="W5" s="3113">
        <f>T5</f>
        <v>1.0079</v>
      </c>
      <c r="X5" s="3102"/>
      <c r="Y5" s="3104">
        <f t="shared" ref="Y5" si="6">IF(D5=0,0,ROUND(AVERAGE(D5:D18)/100,4))</f>
        <v>0</v>
      </c>
      <c r="Z5" s="3104">
        <f t="shared" ref="Z5" si="7">IF(E5=0,0,ROUND(AVERAGE(E5:E18)/100,4))</f>
        <v>0</v>
      </c>
      <c r="AA5" s="3104">
        <f t="shared" ref="AA5" si="8">IF(F5=0,0,ROUND(AVERAGE(F5:F18)/100,4))</f>
        <v>0</v>
      </c>
      <c r="AB5" s="3104">
        <f t="shared" ref="AB5" si="9">IF(G5=0,0,ROUND(AVERAGE(G5:G18)/100,4))</f>
        <v>0</v>
      </c>
      <c r="AC5" s="3104">
        <f t="shared" ref="AC5" si="10">IF(H5=0,0,ROUND(AVERAGE(H5:H18)/100,4))</f>
        <v>0</v>
      </c>
      <c r="AD5" s="3104">
        <f t="shared" ref="AD5" si="11">AA5</f>
        <v>0</v>
      </c>
    </row>
    <row r="6" spans="1:30">
      <c r="A6" s="3086" t="s">
        <v>3257</v>
      </c>
      <c r="B6" s="3137">
        <v>2024</v>
      </c>
      <c r="C6" s="3138">
        <v>4</v>
      </c>
      <c r="D6" s="3138">
        <v>0</v>
      </c>
      <c r="E6" s="3138">
        <v>0</v>
      </c>
      <c r="F6" s="3138">
        <v>0</v>
      </c>
      <c r="G6" s="3138">
        <v>0</v>
      </c>
      <c r="H6" s="3139">
        <v>0</v>
      </c>
      <c r="I6" s="3140">
        <f t="shared" ref="I6" si="12">F6</f>
        <v>0</v>
      </c>
      <c r="J6" s="3105"/>
      <c r="K6" s="3106">
        <f t="shared" ref="K6" si="13">D6/100</f>
        <v>0</v>
      </c>
      <c r="L6" s="3107">
        <f t="shared" ref="L6" si="14">E6/100</f>
        <v>0</v>
      </c>
      <c r="M6" s="3107">
        <f t="shared" ref="M6" si="15">F6/100</f>
        <v>0</v>
      </c>
      <c r="N6" s="3107">
        <f t="shared" ref="N6" si="16">G6/100</f>
        <v>0</v>
      </c>
      <c r="O6" s="3107">
        <f t="shared" ref="O6" si="17">H6/100</f>
        <v>0</v>
      </c>
      <c r="P6" s="3107">
        <f>M6</f>
        <v>0</v>
      </c>
      <c r="Q6" s="3105"/>
      <c r="R6" s="3105">
        <f>ROUND(IF(项目基本情况!$B$8="出让",SUMPRODUCT(PRODUCT(1+K6:$K$21)),SUMPRODUCT(PRODUCT(1+K6:$K$20))),4)</f>
        <v>1.0620000000000001</v>
      </c>
      <c r="S6" s="3105">
        <f>ROUND(IF(项目基本情况!$B$8="出让",SUMPRODUCT(PRODUCT(1+L6:$L$21)),SUMPRODUCT(PRODUCT(1+L6:$L$20))),4)</f>
        <v>1.0448</v>
      </c>
      <c r="T6" s="3105">
        <f>ROUND(IF(项目基本情况!$B$8="出让",SUMPRODUCT(PRODUCT(1+M6:$M$21)),SUMPRODUCT(PRODUCT(1+M6:$M$20))),4)</f>
        <v>1.0079</v>
      </c>
      <c r="U6" s="3105">
        <f>ROUND(IF(项目基本情况!$B$8="出让",SUMPRODUCT(PRODUCT(1+N6:$N$21)),SUMPRODUCT(PRODUCT(1+N6:$N$20))),4)</f>
        <v>1.0672999999999999</v>
      </c>
      <c r="V6" s="3105">
        <f>ROUND(IF(项目基本情况!$B$8="出让",SUMPRODUCT(PRODUCT(1+O6:$O$21)),SUMPRODUCT(PRODUCT(1+O6:$O$20))),4)</f>
        <v>1.0818000000000001</v>
      </c>
      <c r="W6" s="3105">
        <f>T6</f>
        <v>1.0079</v>
      </c>
      <c r="X6" s="3105"/>
      <c r="Y6" s="3107">
        <f t="shared" ref="Y6" si="18">IF(D6=0,0,ROUND(AVERAGE(D6:D19)/100,4))</f>
        <v>0</v>
      </c>
      <c r="Z6" s="3107">
        <f t="shared" ref="Z6" si="19">IF(E6=0,0,ROUND(AVERAGE(E6:E19)/100,4))</f>
        <v>0</v>
      </c>
      <c r="AA6" s="3107">
        <f t="shared" ref="AA6" si="20">IF(F6=0,0,ROUND(AVERAGE(F6:F19)/100,4))</f>
        <v>0</v>
      </c>
      <c r="AB6" s="3107">
        <f t="shared" ref="AB6" si="21">IF(G6=0,0,ROUND(AVERAGE(G6:G19)/100,4))</f>
        <v>0</v>
      </c>
      <c r="AC6" s="3107">
        <f t="shared" ref="AC6" si="22">IF(H6=0,0,ROUND(AVERAGE(H6:H19)/100,4))</f>
        <v>0</v>
      </c>
      <c r="AD6" s="3107">
        <f t="shared" ref="AD6" si="23">AA6</f>
        <v>0</v>
      </c>
    </row>
    <row r="7" spans="1:30">
      <c r="A7" s="3387" t="s">
        <v>3250</v>
      </c>
      <c r="B7" s="3134">
        <v>2024</v>
      </c>
      <c r="C7" s="3135">
        <v>3</v>
      </c>
      <c r="D7" s="3135">
        <v>-1.19</v>
      </c>
      <c r="E7" s="3135">
        <v>-0.47</v>
      </c>
      <c r="F7" s="3135">
        <v>-0.28999999999999998</v>
      </c>
      <c r="G7" s="3135">
        <v>-0.74</v>
      </c>
      <c r="H7" s="3135">
        <v>-0.21</v>
      </c>
      <c r="I7" s="3136">
        <f t="shared" ref="I7" si="24">F7</f>
        <v>-0.28999999999999998</v>
      </c>
      <c r="J7" s="3102"/>
      <c r="K7" s="3103">
        <f t="shared" ref="K7" si="25">D7/100</f>
        <v>-1.1899999999999999E-2</v>
      </c>
      <c r="L7" s="3104">
        <f t="shared" ref="L7" si="26">E7/100</f>
        <v>-4.6999999999999993E-3</v>
      </c>
      <c r="M7" s="3104">
        <f t="shared" ref="M7" si="27">F7/100</f>
        <v>-2.8999999999999998E-3</v>
      </c>
      <c r="N7" s="3104">
        <f t="shared" ref="N7" si="28">G7/100</f>
        <v>-7.4000000000000003E-3</v>
      </c>
      <c r="O7" s="3104">
        <f t="shared" ref="O7" si="29">H7/100</f>
        <v>-2.0999999999999999E-3</v>
      </c>
      <c r="P7" s="3104">
        <f>M7</f>
        <v>-2.8999999999999998E-3</v>
      </c>
      <c r="Q7" s="3102"/>
      <c r="R7" s="3113">
        <f>ROUND(IF(项目基本情况!$B$8="出让",SUMPRODUCT(PRODUCT(1+K7:$K$21)),SUMPRODUCT(PRODUCT(1+K7:$K$20))),4)</f>
        <v>1.0620000000000001</v>
      </c>
      <c r="S7" s="3113">
        <f>ROUND(IF(项目基本情况!$B$8="出让",SUMPRODUCT(PRODUCT(1+L7:$L$21)),SUMPRODUCT(PRODUCT(1+L7:$L$20))),4)</f>
        <v>1.0448</v>
      </c>
      <c r="T7" s="3113">
        <f>ROUND(IF(项目基本情况!$B$8="出让",SUMPRODUCT(PRODUCT(1+M7:$M$21)),SUMPRODUCT(PRODUCT(1+M7:$M$20))),4)</f>
        <v>1.0079</v>
      </c>
      <c r="U7" s="3113">
        <f>ROUND(IF(项目基本情况!$B$8="出让",SUMPRODUCT(PRODUCT(1+N7:$N$21)),SUMPRODUCT(PRODUCT(1+N7:$N$20))),4)</f>
        <v>1.0672999999999999</v>
      </c>
      <c r="V7" s="3113">
        <f>ROUND(IF(项目基本情况!$B$8="出让",SUMPRODUCT(PRODUCT(1+O7:$O$21)),SUMPRODUCT(PRODUCT(1+O7:$O$20))),4)</f>
        <v>1.0818000000000001</v>
      </c>
      <c r="W7" s="3113">
        <f>T7</f>
        <v>1.0079</v>
      </c>
      <c r="X7" s="3102"/>
      <c r="Y7" s="3104">
        <f t="shared" ref="Y7:AC8" si="30">IF(D7=0,0,ROUND(AVERAGE(D7:D20)/100,4))</f>
        <v>4.3E-3</v>
      </c>
      <c r="Z7" s="3104">
        <f t="shared" si="30"/>
        <v>3.0999999999999999E-3</v>
      </c>
      <c r="AA7" s="3104">
        <f t="shared" si="30"/>
        <v>5.9999999999999995E-4</v>
      </c>
      <c r="AB7" s="3104">
        <f t="shared" si="30"/>
        <v>4.7000000000000002E-3</v>
      </c>
      <c r="AC7" s="3104">
        <f t="shared" si="30"/>
        <v>5.5999999999999999E-3</v>
      </c>
      <c r="AD7" s="3104">
        <f t="shared" ref="AD7" si="31">AA7</f>
        <v>5.9999999999999995E-4</v>
      </c>
    </row>
    <row r="8" spans="1:30">
      <c r="A8" s="3085" t="s">
        <v>3258</v>
      </c>
      <c r="B8" s="3134">
        <v>2024</v>
      </c>
      <c r="C8" s="3135">
        <v>2</v>
      </c>
      <c r="D8" s="3135">
        <v>-0.59</v>
      </c>
      <c r="E8" s="3135">
        <v>-0.21</v>
      </c>
      <c r="F8" s="3135">
        <v>-1.38</v>
      </c>
      <c r="G8" s="3135">
        <v>-1.24</v>
      </c>
      <c r="H8" s="3141">
        <v>0.34</v>
      </c>
      <c r="I8" s="3136">
        <f t="shared" ref="I8:I21" si="32">F8</f>
        <v>-1.38</v>
      </c>
      <c r="J8" s="3102"/>
      <c r="K8" s="3103">
        <f t="shared" ref="K8:O21" si="33">D8/100</f>
        <v>-5.8999999999999999E-3</v>
      </c>
      <c r="L8" s="3104">
        <f t="shared" si="33"/>
        <v>-2.0999999999999999E-3</v>
      </c>
      <c r="M8" s="3104">
        <f t="shared" si="33"/>
        <v>-1.38E-2</v>
      </c>
      <c r="N8" s="3104">
        <f t="shared" si="33"/>
        <v>-1.24E-2</v>
      </c>
      <c r="O8" s="3104">
        <f t="shared" si="33"/>
        <v>3.4000000000000002E-3</v>
      </c>
      <c r="P8" s="3104">
        <f>M8</f>
        <v>-1.38E-2</v>
      </c>
      <c r="Q8" s="3102"/>
      <c r="R8" s="3113">
        <f>ROUND(IF(项目基本情况!$B$8="出让",SUMPRODUCT(PRODUCT(1+K8:$K$21)),SUMPRODUCT(PRODUCT(1+K8:$K$20))),4)</f>
        <v>1.0748</v>
      </c>
      <c r="S8" s="3113">
        <f>ROUND(IF(项目基本情况!$B$8="出让",SUMPRODUCT(PRODUCT(1+L8:$L$21)),SUMPRODUCT(PRODUCT(1+L8:$L$20))),4)</f>
        <v>1.0498000000000001</v>
      </c>
      <c r="T8" s="3113">
        <f>ROUND(IF(项目基本情况!$B$8="出让",SUMPRODUCT(PRODUCT(1+M8:$M$21)),SUMPRODUCT(PRODUCT(1+M8:$M$20))),4)</f>
        <v>1.0107999999999999</v>
      </c>
      <c r="U8" s="3113">
        <f>ROUND(IF(项目基本情况!$B$8="出让",SUMPRODUCT(PRODUCT(1+N8:$N$21)),SUMPRODUCT(PRODUCT(1+N8:$N$20))),4)</f>
        <v>1.0752999999999999</v>
      </c>
      <c r="V8" s="3113">
        <f>ROUND(IF(项目基本情况!$B$8="出让",SUMPRODUCT(PRODUCT(1+O8:$O$21)),SUMPRODUCT(PRODUCT(1+O8:$O$20))),4)</f>
        <v>1.0841000000000001</v>
      </c>
      <c r="W8" s="3113">
        <f>T8</f>
        <v>1.0107999999999999</v>
      </c>
      <c r="X8" s="3102"/>
      <c r="Y8" s="3104">
        <f t="shared" si="30"/>
        <v>5.8999999999999999E-3</v>
      </c>
      <c r="Z8" s="3104">
        <f t="shared" si="30"/>
        <v>3.5999999999999999E-3</v>
      </c>
      <c r="AA8" s="3104">
        <f t="shared" si="30"/>
        <v>5.9999999999999995E-4</v>
      </c>
      <c r="AB8" s="3104">
        <f t="shared" si="30"/>
        <v>6.0000000000000001E-3</v>
      </c>
      <c r="AC8" s="3104">
        <f t="shared" si="30"/>
        <v>6.0000000000000001E-3</v>
      </c>
      <c r="AD8" s="3104">
        <f t="shared" ref="AD8:AD20" si="34">AA8</f>
        <v>5.9999999999999995E-4</v>
      </c>
    </row>
    <row r="9" spans="1:30">
      <c r="A9" s="3085" t="s">
        <v>3252</v>
      </c>
      <c r="B9" s="3134">
        <v>2024</v>
      </c>
      <c r="C9" s="3135">
        <v>1</v>
      </c>
      <c r="D9" s="3135">
        <v>0.08</v>
      </c>
      <c r="E9" s="3135">
        <v>0.46</v>
      </c>
      <c r="F9" s="3135">
        <v>-0.16</v>
      </c>
      <c r="G9" s="3135">
        <v>0.26</v>
      </c>
      <c r="H9" s="3141">
        <v>0.59</v>
      </c>
      <c r="I9" s="3136">
        <f t="shared" si="32"/>
        <v>-0.16</v>
      </c>
      <c r="J9" s="3102"/>
      <c r="K9" s="3103">
        <f t="shared" ref="K9" si="35">D9/100</f>
        <v>8.0000000000000004E-4</v>
      </c>
      <c r="L9" s="3104">
        <f t="shared" ref="L9" si="36">E9/100</f>
        <v>4.5999999999999999E-3</v>
      </c>
      <c r="M9" s="3104">
        <f t="shared" ref="M9" si="37">F9/100</f>
        <v>-1.6000000000000001E-3</v>
      </c>
      <c r="N9" s="3104">
        <f t="shared" ref="N9" si="38">G9/100</f>
        <v>2.5999999999999999E-3</v>
      </c>
      <c r="O9" s="3104">
        <f t="shared" ref="O9" si="39">H9/100</f>
        <v>5.8999999999999999E-3</v>
      </c>
      <c r="P9" s="3104">
        <f t="shared" ref="P9" si="40">M9</f>
        <v>-1.6000000000000001E-3</v>
      </c>
      <c r="Q9" s="3102"/>
      <c r="R9" s="3113">
        <f>ROUND(IF(项目基本情况!$B$8="出让",SUMPRODUCT(PRODUCT(1+K9:$K$21)),SUMPRODUCT(PRODUCT(1+K9:$K$20))),4)</f>
        <v>1.0811999999999999</v>
      </c>
      <c r="S9" s="3113">
        <f>ROUND(IF(项目基本情况!$B$8="出让",SUMPRODUCT(PRODUCT(1+L9:$L$21)),SUMPRODUCT(PRODUCT(1+L9:$L$20))),4)</f>
        <v>1.052</v>
      </c>
      <c r="T9" s="3113">
        <f>ROUND(IF(项目基本情况!$B$8="出让",SUMPRODUCT(PRODUCT(1+M9:$M$21)),SUMPRODUCT(PRODUCT(1+M9:$M$20))),4)</f>
        <v>1.0249999999999999</v>
      </c>
      <c r="U9" s="3113">
        <f>ROUND(IF(项目基本情况!$B$8="出让",SUMPRODUCT(PRODUCT(1+N9:$N$21)),SUMPRODUCT(PRODUCT(1+N9:$N$20))),4)</f>
        <v>1.0888</v>
      </c>
      <c r="V9" s="3113">
        <f>ROUND(IF(项目基本情况!$B$8="出让",SUMPRODUCT(PRODUCT(1+O9:$O$21)),SUMPRODUCT(PRODUCT(1+O9:$O$20))),4)</f>
        <v>1.0804</v>
      </c>
      <c r="W9" s="3113">
        <f t="shared" ref="W9" si="41">T9</f>
        <v>1.0249999999999999</v>
      </c>
      <c r="X9" s="3102"/>
      <c r="Y9" s="3104">
        <f t="shared" ref="Y9" si="42">IF(D9=0,0,ROUND(AVERAGE(D9:D20)/100,4))</f>
        <v>6.4999999999999997E-3</v>
      </c>
      <c r="Z9" s="3104">
        <f t="shared" ref="Z9" si="43">IF(E9=0,0,ROUND(AVERAGE(E9:E20)/100,4))</f>
        <v>4.1999999999999997E-3</v>
      </c>
      <c r="AA9" s="3104">
        <f t="shared" ref="AA9" si="44">IF(F9=0,0,ROUND(AVERAGE(F9:F20)/100,4))</f>
        <v>2.0999999999999999E-3</v>
      </c>
      <c r="AB9" s="3104">
        <f t="shared" ref="AB9" si="45">IF(G9=0,0,ROUND(AVERAGE(G9:G20)/100,4))</f>
        <v>7.1000000000000004E-3</v>
      </c>
      <c r="AC9" s="3104">
        <f t="shared" ref="AC9" si="46">IF(H9=0,0,ROUND(AVERAGE(H9:H20)/100,4))</f>
        <v>6.4999999999999997E-3</v>
      </c>
      <c r="AD9" s="3104">
        <f t="shared" ref="AD9" si="47">AA9</f>
        <v>2.0999999999999999E-3</v>
      </c>
    </row>
    <row r="10" spans="1:30">
      <c r="A10" s="3085" t="s">
        <v>3248</v>
      </c>
      <c r="B10" s="3134">
        <v>2023</v>
      </c>
      <c r="C10" s="3135">
        <v>4</v>
      </c>
      <c r="D10" s="3135">
        <v>0.19</v>
      </c>
      <c r="E10" s="3135">
        <v>0.24</v>
      </c>
      <c r="F10" s="3135">
        <v>-0.16</v>
      </c>
      <c r="G10" s="3135">
        <v>0.17</v>
      </c>
      <c r="H10" s="3141">
        <v>0.61</v>
      </c>
      <c r="I10" s="3136">
        <f t="shared" ref="I10" si="48">F10</f>
        <v>-0.16</v>
      </c>
      <c r="J10" s="3102"/>
      <c r="K10" s="3103">
        <f t="shared" si="33"/>
        <v>1.9E-3</v>
      </c>
      <c r="L10" s="3104">
        <f t="shared" si="33"/>
        <v>2.3999999999999998E-3</v>
      </c>
      <c r="M10" s="3104">
        <f t="shared" si="33"/>
        <v>-1.6000000000000001E-3</v>
      </c>
      <c r="N10" s="3104">
        <f t="shared" si="33"/>
        <v>1.7000000000000001E-3</v>
      </c>
      <c r="O10" s="3104">
        <f t="shared" si="33"/>
        <v>6.0999999999999995E-3</v>
      </c>
      <c r="P10" s="3104">
        <f t="shared" ref="P10" si="49">M10</f>
        <v>-1.6000000000000001E-3</v>
      </c>
      <c r="Q10" s="3102"/>
      <c r="R10" s="3113">
        <f>ROUND(IF(项目基本情况!$B$8="出让",SUMPRODUCT(PRODUCT(1+K10:$K$21)),SUMPRODUCT(PRODUCT(1+K10:$K$20))),4)</f>
        <v>1.0804</v>
      </c>
      <c r="S10" s="3113">
        <f>ROUND(IF(项目基本情况!$B$8="出让",SUMPRODUCT(PRODUCT(1+L10:$L$21)),SUMPRODUCT(PRODUCT(1+L10:$L$20))),4)</f>
        <v>1.0471999999999999</v>
      </c>
      <c r="T10" s="3113">
        <f>ROUND(IF(项目基本情况!$B$8="出让",SUMPRODUCT(PRODUCT(1+M10:$M$21)),SUMPRODUCT(PRODUCT(1+M10:$M$20))),4)</f>
        <v>1.0266</v>
      </c>
      <c r="U10" s="3113">
        <f>ROUND(IF(项目基本情况!$B$8="出让",SUMPRODUCT(PRODUCT(1+N10:$N$21)),SUMPRODUCT(PRODUCT(1+N10:$N$20))),4)</f>
        <v>1.0859000000000001</v>
      </c>
      <c r="V10" s="3113">
        <f>ROUND(IF(项目基本情况!$B$8="出让",SUMPRODUCT(PRODUCT(1+O10:$O$21)),SUMPRODUCT(PRODUCT(1+O10:$O$20))),4)</f>
        <v>1.0741000000000001</v>
      </c>
      <c r="W10" s="3113">
        <f t="shared" ref="W10" si="50">T10</f>
        <v>1.0266</v>
      </c>
      <c r="X10" s="3102"/>
      <c r="Y10" s="3104">
        <f t="shared" ref="Y10" si="51">IF(D10=0,0,ROUND(AVERAGE(D10:D21)/100,4))</f>
        <v>7.3000000000000001E-3</v>
      </c>
      <c r="Z10" s="3104">
        <f t="shared" ref="Z10" si="52">IF(E10=0,0,ROUND(AVERAGE(E10:E21)/100,4))</f>
        <v>4.0000000000000001E-3</v>
      </c>
      <c r="AA10" s="3104">
        <f t="shared" ref="AA10" si="53">IF(F10=0,0,ROUND(AVERAGE(F10:F21)/100,4))</f>
        <v>2E-3</v>
      </c>
      <c r="AB10" s="3104">
        <f t="shared" ref="AB10" si="54">IF(G10=0,0,ROUND(AVERAGE(G10:G21)/100,4))</f>
        <v>7.7999999999999996E-3</v>
      </c>
      <c r="AC10" s="3104">
        <f t="shared" ref="AC10" si="55">IF(H10=0,0,ROUND(AVERAGE(H10:H21)/100,4))</f>
        <v>6.3E-3</v>
      </c>
      <c r="AD10" s="3104">
        <f t="shared" si="34"/>
        <v>2E-3</v>
      </c>
    </row>
    <row r="11" spans="1:30">
      <c r="A11" s="3085" t="s">
        <v>3247</v>
      </c>
      <c r="B11" s="3134">
        <v>2023</v>
      </c>
      <c r="C11" s="3135">
        <v>3</v>
      </c>
      <c r="D11" s="3135">
        <v>0.25</v>
      </c>
      <c r="E11" s="3135">
        <v>0.5</v>
      </c>
      <c r="F11" s="3135">
        <v>0.31</v>
      </c>
      <c r="G11" s="3135">
        <v>0.21</v>
      </c>
      <c r="H11" s="3141">
        <v>0.43</v>
      </c>
      <c r="I11" s="3136">
        <f t="shared" si="32"/>
        <v>0.31</v>
      </c>
      <c r="J11" s="3102"/>
      <c r="K11" s="3103">
        <f t="shared" ref="K11:K13" si="56">D11/100</f>
        <v>2.5000000000000001E-3</v>
      </c>
      <c r="L11" s="3104">
        <f t="shared" ref="L11:L13" si="57">E11/100</f>
        <v>5.0000000000000001E-3</v>
      </c>
      <c r="M11" s="3104">
        <f t="shared" ref="M11:M13" si="58">F11/100</f>
        <v>3.0999999999999999E-3</v>
      </c>
      <c r="N11" s="3104">
        <f t="shared" ref="N11:N13" si="59">G11/100</f>
        <v>2.0999999999999999E-3</v>
      </c>
      <c r="O11" s="3104">
        <f t="shared" ref="O11:O13" si="60">H11/100</f>
        <v>4.3E-3</v>
      </c>
      <c r="P11" s="3104">
        <f t="shared" ref="P11:P13" si="61">M11</f>
        <v>3.0999999999999999E-3</v>
      </c>
      <c r="Q11" s="3102"/>
      <c r="R11" s="3113">
        <f>ROUND(IF(项目基本情况!$B$8="出让",SUMPRODUCT(PRODUCT(1+K11:$K$21)),SUMPRODUCT(PRODUCT(1+K11:$K$20))),4)</f>
        <v>1.0783</v>
      </c>
      <c r="S11" s="3113">
        <f>ROUND(IF(项目基本情况!$B$8="出让",SUMPRODUCT(PRODUCT(1+L11:$L$21)),SUMPRODUCT(PRODUCT(1+L11:$L$20))),4)</f>
        <v>1.0447</v>
      </c>
      <c r="T11" s="3113">
        <f>ROUND(IF(项目基本情况!$B$8="出让",SUMPRODUCT(PRODUCT(1+M11:$M$21)),SUMPRODUCT(PRODUCT(1+M11:$M$20))),4)</f>
        <v>1.0282</v>
      </c>
      <c r="U11" s="3113">
        <f>ROUND(IF(项目基本情况!$B$8="出让",SUMPRODUCT(PRODUCT(1+N11:$N$21)),SUMPRODUCT(PRODUCT(1+N11:$N$20))),4)</f>
        <v>1.0841000000000001</v>
      </c>
      <c r="V11" s="3113">
        <f>ROUND(IF(项目基本情况!$B$8="出让",SUMPRODUCT(PRODUCT(1+O11:$O$21)),SUMPRODUCT(PRODUCT(1+O11:$O$20))),4)</f>
        <v>1.0674999999999999</v>
      </c>
      <c r="W11" s="3113">
        <f t="shared" ref="W11:W13" si="62">T11</f>
        <v>1.0282</v>
      </c>
      <c r="X11" s="3102"/>
      <c r="Y11" s="3104">
        <f t="shared" ref="Y11:AC11" si="63">IF(D11=0,0,ROUND(AVERAGE(D11:D22)/100,4))</f>
        <v>7.7999999999999996E-3</v>
      </c>
      <c r="Z11" s="3104">
        <f t="shared" si="63"/>
        <v>4.1000000000000003E-3</v>
      </c>
      <c r="AA11" s="3104">
        <f t="shared" si="63"/>
        <v>2.3E-3</v>
      </c>
      <c r="AB11" s="3104">
        <f t="shared" si="63"/>
        <v>8.3999999999999995E-3</v>
      </c>
      <c r="AC11" s="3104">
        <f t="shared" si="63"/>
        <v>6.3E-3</v>
      </c>
      <c r="AD11" s="3104">
        <f t="shared" ref="AD11:AD13" si="64">AA11</f>
        <v>2.3E-3</v>
      </c>
    </row>
    <row r="12" spans="1:30">
      <c r="A12" s="3085" t="s">
        <v>3245</v>
      </c>
      <c r="B12" s="3134">
        <v>2023</v>
      </c>
      <c r="C12" s="3135">
        <v>2</v>
      </c>
      <c r="D12" s="3135">
        <v>0.91</v>
      </c>
      <c r="E12" s="3135">
        <v>0.66</v>
      </c>
      <c r="F12" s="3135">
        <v>0.47</v>
      </c>
      <c r="G12" s="3135">
        <v>0.96</v>
      </c>
      <c r="H12" s="3141">
        <v>0.71</v>
      </c>
      <c r="I12" s="3136">
        <f t="shared" si="32"/>
        <v>0.47</v>
      </c>
      <c r="J12" s="3102"/>
      <c r="K12" s="3103">
        <f t="shared" si="56"/>
        <v>9.1000000000000004E-3</v>
      </c>
      <c r="L12" s="3104">
        <f t="shared" si="57"/>
        <v>6.6E-3</v>
      </c>
      <c r="M12" s="3104">
        <f t="shared" si="58"/>
        <v>4.6999999999999993E-3</v>
      </c>
      <c r="N12" s="3104">
        <f t="shared" si="59"/>
        <v>9.5999999999999992E-3</v>
      </c>
      <c r="O12" s="3104">
        <f t="shared" si="60"/>
        <v>7.0999999999999995E-3</v>
      </c>
      <c r="P12" s="3104">
        <f t="shared" si="61"/>
        <v>4.6999999999999993E-3</v>
      </c>
      <c r="Q12" s="3102"/>
      <c r="R12" s="3113">
        <f>ROUND(IF(项目基本情况!$B$8="出让",SUMPRODUCT(PRODUCT(1+K12:$K$21)),SUMPRODUCT(PRODUCT(1+K12:$K$20))),4)</f>
        <v>1.0755999999999999</v>
      </c>
      <c r="S12" s="3113">
        <f>ROUND(IF(项目基本情况!$B$8="出让",SUMPRODUCT(PRODUCT(1+L12:$L$21)),SUMPRODUCT(PRODUCT(1+L12:$L$20))),4)</f>
        <v>1.0395000000000001</v>
      </c>
      <c r="T12" s="3113">
        <f>ROUND(IF(项目基本情况!$B$8="出让",SUMPRODUCT(PRODUCT(1+M12:$M$21)),SUMPRODUCT(PRODUCT(1+M12:$M$20))),4)</f>
        <v>1.0250999999999999</v>
      </c>
      <c r="U12" s="3113">
        <f>ROUND(IF(项目基本情况!$B$8="出让",SUMPRODUCT(PRODUCT(1+N12:$N$21)),SUMPRODUCT(PRODUCT(1+N12:$N$20))),4)</f>
        <v>1.0818000000000001</v>
      </c>
      <c r="V12" s="3113">
        <f>ROUND(IF(项目基本情况!$B$8="出让",SUMPRODUCT(PRODUCT(1+O12:$O$21)),SUMPRODUCT(PRODUCT(1+O12:$O$20))),4)</f>
        <v>1.0629999999999999</v>
      </c>
      <c r="W12" s="3113">
        <f t="shared" si="62"/>
        <v>1.0250999999999999</v>
      </c>
      <c r="X12" s="3102"/>
      <c r="Y12" s="3104">
        <f t="shared" ref="Y12:AC12" si="65">IF(D12=0,0,ROUND(AVERAGE(D12:D23)/100,4))</f>
        <v>8.3000000000000001E-3</v>
      </c>
      <c r="Z12" s="3104">
        <f t="shared" si="65"/>
        <v>4.0000000000000001E-3</v>
      </c>
      <c r="AA12" s="3104">
        <f t="shared" si="65"/>
        <v>2.2000000000000001E-3</v>
      </c>
      <c r="AB12" s="3104">
        <f t="shared" si="65"/>
        <v>8.9999999999999993E-3</v>
      </c>
      <c r="AC12" s="3104">
        <f t="shared" si="65"/>
        <v>6.4999999999999997E-3</v>
      </c>
      <c r="AD12" s="3104">
        <f t="shared" si="64"/>
        <v>2.2000000000000001E-3</v>
      </c>
    </row>
    <row r="13" spans="1:30">
      <c r="A13" s="3085" t="s">
        <v>3243</v>
      </c>
      <c r="B13" s="3134">
        <v>2023</v>
      </c>
      <c r="C13" s="3135">
        <v>1</v>
      </c>
      <c r="D13" s="3135">
        <v>0.89</v>
      </c>
      <c r="E13" s="3135">
        <v>0.74</v>
      </c>
      <c r="F13" s="3135">
        <v>0.56999999999999995</v>
      </c>
      <c r="G13" s="3135">
        <v>0.92</v>
      </c>
      <c r="H13" s="3141">
        <v>0.5</v>
      </c>
      <c r="I13" s="3136">
        <f t="shared" si="32"/>
        <v>0.56999999999999995</v>
      </c>
      <c r="J13" s="3102"/>
      <c r="K13" s="3103">
        <f t="shared" si="56"/>
        <v>8.8999999999999999E-3</v>
      </c>
      <c r="L13" s="3104">
        <f t="shared" si="57"/>
        <v>7.4000000000000003E-3</v>
      </c>
      <c r="M13" s="3104">
        <f t="shared" si="58"/>
        <v>5.6999999999999993E-3</v>
      </c>
      <c r="N13" s="3104">
        <f t="shared" si="59"/>
        <v>9.1999999999999998E-3</v>
      </c>
      <c r="O13" s="3104">
        <f t="shared" si="60"/>
        <v>5.0000000000000001E-3</v>
      </c>
      <c r="P13" s="3104">
        <f t="shared" si="61"/>
        <v>5.6999999999999993E-3</v>
      </c>
      <c r="Q13" s="3102"/>
      <c r="R13" s="3113">
        <f>ROUND(IF(项目基本情况!$B$8="出让",SUMPRODUCT(PRODUCT(1+K13:$K$21)),SUMPRODUCT(PRODUCT(1+K13:$K$20))),4)</f>
        <v>1.0659000000000001</v>
      </c>
      <c r="S13" s="3113">
        <f>ROUND(IF(项目基本情况!$B$8="出让",SUMPRODUCT(PRODUCT(1+L13:$L$21)),SUMPRODUCT(PRODUCT(1+L13:$L$20))),4)</f>
        <v>1.0326</v>
      </c>
      <c r="T13" s="3113">
        <f>ROUND(IF(项目基本情况!$B$8="出让",SUMPRODUCT(PRODUCT(1+M13:$M$21)),SUMPRODUCT(PRODUCT(1+M13:$M$20))),4)</f>
        <v>1.0203</v>
      </c>
      <c r="U13" s="3113">
        <f>ROUND(IF(项目基本情况!$B$8="出让",SUMPRODUCT(PRODUCT(1+N13:$N$21)),SUMPRODUCT(PRODUCT(1+N13:$N$20))),4)</f>
        <v>1.0714999999999999</v>
      </c>
      <c r="V13" s="3113">
        <f>ROUND(IF(项目基本情况!$B$8="出让",SUMPRODUCT(PRODUCT(1+O13:$O$21)),SUMPRODUCT(PRODUCT(1+O13:$O$20))),4)</f>
        <v>1.0555000000000001</v>
      </c>
      <c r="W13" s="3113">
        <f t="shared" si="62"/>
        <v>1.0203</v>
      </c>
      <c r="X13" s="3102"/>
      <c r="Y13" s="3104">
        <f t="shared" ref="Y13:AC13" si="66">IF(D13=0,0,ROUND(AVERAGE(D13:D24)/100,4))</f>
        <v>8.2000000000000007E-3</v>
      </c>
      <c r="Z13" s="3104">
        <f t="shared" si="66"/>
        <v>3.8E-3</v>
      </c>
      <c r="AA13" s="3104">
        <f t="shared" si="66"/>
        <v>2E-3</v>
      </c>
      <c r="AB13" s="3104">
        <f t="shared" si="66"/>
        <v>8.8999999999999999E-3</v>
      </c>
      <c r="AC13" s="3104">
        <f t="shared" si="66"/>
        <v>6.4000000000000003E-3</v>
      </c>
      <c r="AD13" s="3104">
        <f t="shared" si="64"/>
        <v>2E-3</v>
      </c>
    </row>
    <row r="14" spans="1:30">
      <c r="A14" s="3085" t="s">
        <v>3241</v>
      </c>
      <c r="B14" s="3134">
        <v>2022</v>
      </c>
      <c r="C14" s="3135">
        <v>4</v>
      </c>
      <c r="D14" s="3135">
        <v>0.62</v>
      </c>
      <c r="E14" s="3135">
        <v>0.2</v>
      </c>
      <c r="F14" s="3135">
        <v>0.11</v>
      </c>
      <c r="G14" s="3135">
        <v>0.69</v>
      </c>
      <c r="H14" s="3141">
        <v>0.53</v>
      </c>
      <c r="I14" s="3136">
        <f t="shared" si="32"/>
        <v>0.11</v>
      </c>
      <c r="J14" s="3102"/>
      <c r="K14" s="3103">
        <f t="shared" si="33"/>
        <v>6.1999999999999998E-3</v>
      </c>
      <c r="L14" s="3104">
        <f t="shared" si="33"/>
        <v>2E-3</v>
      </c>
      <c r="M14" s="3104">
        <f t="shared" si="33"/>
        <v>1.1000000000000001E-3</v>
      </c>
      <c r="N14" s="3104">
        <f t="shared" si="33"/>
        <v>6.8999999999999999E-3</v>
      </c>
      <c r="O14" s="3104">
        <f t="shared" si="33"/>
        <v>5.3E-3</v>
      </c>
      <c r="P14" s="3104">
        <f t="shared" ref="P14:P21" si="67">M14</f>
        <v>1.1000000000000001E-3</v>
      </c>
      <c r="Q14" s="3102"/>
      <c r="R14" s="3113">
        <f>ROUND(IF(项目基本情况!B8="出让",SUMPRODUCT(PRODUCT(1+K14:K21)),SUMPRODUCT(PRODUCT(1+K14:K20))),4)</f>
        <v>1.0565</v>
      </c>
      <c r="S14" s="3113">
        <f>ROUND(IF(项目基本情况!B8="出让",SUMPRODUCT(PRODUCT(1+L14:L21)),SUMPRODUCT(PRODUCT(1+L14:L20))),4)</f>
        <v>1.0250999999999999</v>
      </c>
      <c r="T14" s="3113">
        <f>ROUND(IF(项目基本情况!B8="出让",SUMPRODUCT(PRODUCT(1+M14:M21)),SUMPRODUCT(PRODUCT(1+M14:M20))),4)</f>
        <v>1.0145</v>
      </c>
      <c r="U14" s="3113">
        <f>ROUND(IF(项目基本情况!B8="出让",SUMPRODUCT(PRODUCT(1+N14:N21)),SUMPRODUCT(PRODUCT(1+N14:N20))),4)</f>
        <v>1.0618000000000001</v>
      </c>
      <c r="V14" s="3113">
        <f>ROUND(IF(项目基本情况!B8="出让",SUMPRODUCT(PRODUCT(1+O14:O21)),SUMPRODUCT(PRODUCT(1+O14:O20))),4)</f>
        <v>1.0502</v>
      </c>
      <c r="W14" s="3113">
        <f t="shared" ref="W14:W21" si="68">T14</f>
        <v>1.0145</v>
      </c>
      <c r="X14" s="3102"/>
      <c r="Y14" s="3104">
        <f>IF(D14=0,0,ROUND(AVERAGE(D14:D22)/100,4))</f>
        <v>8.0999999999999996E-3</v>
      </c>
      <c r="Z14" s="3104">
        <f>IF(E14=0,0,ROUND(AVERAGE(E14:E21)/100,4))</f>
        <v>3.3E-3</v>
      </c>
      <c r="AA14" s="3104">
        <f>IF(F14=0,0,ROUND(AVERAGE(F14:F21)/100,4))</f>
        <v>1.5E-3</v>
      </c>
      <c r="AB14" s="3104">
        <f>IF(G14=0,0,ROUND(AVERAGE(G14:G21)/100,4))</f>
        <v>8.8999999999999999E-3</v>
      </c>
      <c r="AC14" s="3104">
        <f>IF(H14=0,0,ROUND(AVERAGE(H14:H21)/100,4))</f>
        <v>6.6E-3</v>
      </c>
      <c r="AD14" s="3104">
        <f t="shared" si="34"/>
        <v>1.5E-3</v>
      </c>
    </row>
    <row r="15" spans="1:30">
      <c r="A15" s="3085" t="s">
        <v>3238</v>
      </c>
      <c r="B15" s="3134">
        <v>2022</v>
      </c>
      <c r="C15" s="3135">
        <v>3</v>
      </c>
      <c r="D15" s="3135">
        <v>0.66</v>
      </c>
      <c r="E15" s="3135">
        <v>0.32</v>
      </c>
      <c r="F15" s="3135">
        <v>0.23</v>
      </c>
      <c r="G15" s="3135">
        <v>0.72</v>
      </c>
      <c r="H15" s="3141">
        <v>0.63</v>
      </c>
      <c r="I15" s="3136">
        <f t="shared" si="32"/>
        <v>0.23</v>
      </c>
      <c r="J15" s="3102"/>
      <c r="K15" s="3103">
        <f t="shared" si="33"/>
        <v>6.6E-3</v>
      </c>
      <c r="L15" s="3104">
        <f t="shared" si="33"/>
        <v>3.2000000000000002E-3</v>
      </c>
      <c r="M15" s="3104">
        <f t="shared" si="33"/>
        <v>2.3E-3</v>
      </c>
      <c r="N15" s="3104">
        <f t="shared" si="33"/>
        <v>7.1999999999999998E-3</v>
      </c>
      <c r="O15" s="3104">
        <f t="shared" si="33"/>
        <v>6.3E-3</v>
      </c>
      <c r="P15" s="3104">
        <f t="shared" si="67"/>
        <v>2.3E-3</v>
      </c>
      <c r="Q15" s="3102"/>
      <c r="R15" s="3113">
        <f>ROUND(IF(项目基本情况!B8="出让",SUMPRODUCT(PRODUCT(1+K15:K21)),SUMPRODUCT(PRODUCT(1+K15:K20))),4)</f>
        <v>1.05</v>
      </c>
      <c r="S15" s="3113">
        <f>ROUND(IF(项目基本情况!B8="出让",SUMPRODUCT(PRODUCT(1+L15:L21)),SUMPRODUCT(PRODUCT(1+L15:L20))),4)</f>
        <v>1.0229999999999999</v>
      </c>
      <c r="T15" s="3113">
        <f>ROUND(IF(项目基本情况!B8="出让",SUMPRODUCT(PRODUCT(1+M15:M21)),SUMPRODUCT(PRODUCT(1+M15:M20))),4)</f>
        <v>1.0134000000000001</v>
      </c>
      <c r="U15" s="3113">
        <f>ROUND(IF(项目基本情况!B8="出让",SUMPRODUCT(PRODUCT(1+N15:N21)),SUMPRODUCT(PRODUCT(1+N15:N20))),4)</f>
        <v>1.0545</v>
      </c>
      <c r="V15" s="3113">
        <f>ROUND(IF(项目基本情况!B8="出让",SUMPRODUCT(PRODUCT(1+O15:O21)),SUMPRODUCT(PRODUCT(1+O15:O20))),4)</f>
        <v>1.0447</v>
      </c>
      <c r="W15" s="3113">
        <f t="shared" si="68"/>
        <v>1.0134000000000001</v>
      </c>
      <c r="X15" s="3102"/>
      <c r="Y15" s="3104">
        <f>IF(D15=0,0,ROUND(AVERAGE(D15:D21)/100,4))</f>
        <v>8.3999999999999995E-3</v>
      </c>
      <c r="Z15" s="3104">
        <f>IF(E15=0,0,ROUND(AVERAGE(E15:E21)/100,4))</f>
        <v>3.5000000000000001E-3</v>
      </c>
      <c r="AA15" s="3104">
        <f>IF(F15=0,0,ROUND(AVERAGE(F15:F21)/100,4))</f>
        <v>1.5E-3</v>
      </c>
      <c r="AB15" s="3104">
        <f>IF(G15=0,0,ROUND(AVERAGE(G15:G21)/100,4))</f>
        <v>9.1999999999999998E-3</v>
      </c>
      <c r="AC15" s="3104">
        <f>IF(H15=0,0,ROUND(AVERAGE(H15:H21)/100,4))</f>
        <v>6.7999999999999996E-3</v>
      </c>
      <c r="AD15" s="3104">
        <f t="shared" si="34"/>
        <v>1.5E-3</v>
      </c>
    </row>
    <row r="16" spans="1:30">
      <c r="A16" s="3085" t="s">
        <v>3239</v>
      </c>
      <c r="B16" s="3134">
        <v>2022</v>
      </c>
      <c r="C16" s="3135">
        <v>2</v>
      </c>
      <c r="D16" s="3135">
        <v>0.93</v>
      </c>
      <c r="E16" s="3135">
        <v>0.15</v>
      </c>
      <c r="F16" s="3135">
        <v>0.01</v>
      </c>
      <c r="G16" s="3135">
        <v>1.05</v>
      </c>
      <c r="H16" s="3141">
        <v>1.08</v>
      </c>
      <c r="I16" s="3136">
        <f t="shared" si="32"/>
        <v>0.01</v>
      </c>
      <c r="J16" s="3102"/>
      <c r="K16" s="3103">
        <f t="shared" si="33"/>
        <v>9.300000000000001E-3</v>
      </c>
      <c r="L16" s="3104">
        <f t="shared" si="33"/>
        <v>1.5E-3</v>
      </c>
      <c r="M16" s="3104">
        <f t="shared" si="33"/>
        <v>1E-4</v>
      </c>
      <c r="N16" s="3104">
        <f t="shared" si="33"/>
        <v>1.0500000000000001E-2</v>
      </c>
      <c r="O16" s="3104">
        <f t="shared" si="33"/>
        <v>1.0800000000000001E-2</v>
      </c>
      <c r="P16" s="3104">
        <f t="shared" si="67"/>
        <v>1E-4</v>
      </c>
      <c r="Q16" s="3102"/>
      <c r="R16" s="3113">
        <f>ROUND(IF(项目基本情况!B8="出让",SUMPRODUCT(PRODUCT(1+K16:K21)),SUMPRODUCT(PRODUCT(1+K16:K20))),4)</f>
        <v>1.0430999999999999</v>
      </c>
      <c r="S16" s="3113">
        <f>ROUND(IF(项目基本情况!B8="出让",SUMPRODUCT(PRODUCT(1+L16:L21)),SUMPRODUCT(PRODUCT(1+L16:L20))),4)</f>
        <v>1.0197000000000001</v>
      </c>
      <c r="T16" s="3113">
        <f>ROUND(IF(项目基本情况!B8="出让",SUMPRODUCT(PRODUCT(1+M16:M21)),SUMPRODUCT(PRODUCT(1+M16:M20))),4)</f>
        <v>1.0109999999999999</v>
      </c>
      <c r="U16" s="3113">
        <f>ROUND(IF(项目基本情况!B8="出让",SUMPRODUCT(PRODUCT(1+N16:N21)),SUMPRODUCT(PRODUCT(1+N16:N20))),4)</f>
        <v>1.0468999999999999</v>
      </c>
      <c r="V16" s="3113">
        <f>ROUND(IF(项目基本情况!B8="出让",SUMPRODUCT(PRODUCT(1+O16:O21)),SUMPRODUCT(PRODUCT(1+O16:O20))),4)</f>
        <v>1.0382</v>
      </c>
      <c r="W16" s="3113">
        <f t="shared" si="68"/>
        <v>1.0109999999999999</v>
      </c>
      <c r="X16" s="3102"/>
      <c r="Y16" s="3104">
        <f>IF(D16=0,0,ROUND(AVERAGE(D16:D21)/100,4))</f>
        <v>8.6999999999999994E-3</v>
      </c>
      <c r="Z16" s="3104">
        <f>IF(E16=0,0,ROUND(AVERAGE(E16:E21)/100,4))</f>
        <v>3.5000000000000001E-3</v>
      </c>
      <c r="AA16" s="3104">
        <f>IF(F16=0,0,ROUND(AVERAGE(F16:F21)/100,4))</f>
        <v>1.4E-3</v>
      </c>
      <c r="AB16" s="3104">
        <f>IF(G16=0,0,ROUND(AVERAGE(G16:G21)/100,4))</f>
        <v>9.4999999999999998E-3</v>
      </c>
      <c r="AC16" s="3104">
        <f>IF(H16=0,0,ROUND(AVERAGE(H16:H21)/100,4))</f>
        <v>6.8999999999999999E-3</v>
      </c>
      <c r="AD16" s="3104">
        <f t="shared" si="34"/>
        <v>1.4E-3</v>
      </c>
    </row>
    <row r="17" spans="1:30">
      <c r="A17" s="3085" t="s">
        <v>2775</v>
      </c>
      <c r="B17" s="3134">
        <v>2022</v>
      </c>
      <c r="C17" s="3135">
        <v>1</v>
      </c>
      <c r="D17" s="3135">
        <v>0.89</v>
      </c>
      <c r="E17" s="3135">
        <v>0.44</v>
      </c>
      <c r="F17" s="3135">
        <v>0.37</v>
      </c>
      <c r="G17" s="3135">
        <v>0.96</v>
      </c>
      <c r="H17" s="3141">
        <v>0.64</v>
      </c>
      <c r="I17" s="3136">
        <f t="shared" si="32"/>
        <v>0.37</v>
      </c>
      <c r="J17" s="3102"/>
      <c r="K17" s="3103">
        <f t="shared" si="33"/>
        <v>8.8999999999999999E-3</v>
      </c>
      <c r="L17" s="3104">
        <f t="shared" si="33"/>
        <v>4.4000000000000003E-3</v>
      </c>
      <c r="M17" s="3104">
        <f t="shared" si="33"/>
        <v>3.7000000000000002E-3</v>
      </c>
      <c r="N17" s="3104">
        <f t="shared" si="33"/>
        <v>9.5999999999999992E-3</v>
      </c>
      <c r="O17" s="3104">
        <f t="shared" si="33"/>
        <v>6.4000000000000003E-3</v>
      </c>
      <c r="P17" s="3104">
        <f t="shared" si="67"/>
        <v>3.7000000000000002E-3</v>
      </c>
      <c r="Q17" s="3102"/>
      <c r="R17" s="3113">
        <f>ROUND(IF(项目基本情况!B8="出让",SUMPRODUCT(PRODUCT(1+K17:K21)),SUMPRODUCT(PRODUCT(1+K17:K20))),4)</f>
        <v>1.0335000000000001</v>
      </c>
      <c r="S17" s="3113">
        <f>ROUND(IF(项目基本情况!B8="出让",SUMPRODUCT(PRODUCT(1+L17:L21)),SUMPRODUCT(PRODUCT(1+L17:L20))),4)</f>
        <v>1.0182</v>
      </c>
      <c r="T17" s="3113">
        <f>ROUND(IF(项目基本情况!B8="出让",SUMPRODUCT(PRODUCT(1+M17:M21)),SUMPRODUCT(PRODUCT(1+M17:M20))),4)</f>
        <v>1.0108999999999999</v>
      </c>
      <c r="U17" s="3113">
        <f>ROUND(IF(项目基本情况!B8="出让",SUMPRODUCT(PRODUCT(1+N17:N21)),SUMPRODUCT(PRODUCT(1+N17:N20))),4)</f>
        <v>1.0361</v>
      </c>
      <c r="V17" s="3113">
        <f>ROUND(IF(项目基本情况!B8="出让",SUMPRODUCT(PRODUCT(1+O17:O21)),SUMPRODUCT(PRODUCT(1+O17:O20))),4)</f>
        <v>1.0270999999999999</v>
      </c>
      <c r="W17" s="3113">
        <f t="shared" si="68"/>
        <v>1.0108999999999999</v>
      </c>
      <c r="X17" s="3102"/>
      <c r="Y17" s="3104">
        <f>IF(D17=0,0,ROUND(AVERAGE(D17:D21)/100,4))</f>
        <v>8.6E-3</v>
      </c>
      <c r="Z17" s="3104">
        <f>IF(E17=0,0,ROUND(AVERAGE(E17:E21)/100,4))</f>
        <v>3.8999999999999998E-3</v>
      </c>
      <c r="AA17" s="3104">
        <f>IF(F17=0,0,ROUND(AVERAGE(F17:F21)/100,4))</f>
        <v>1.6999999999999999E-3</v>
      </c>
      <c r="AB17" s="3104">
        <f>IF(G17=0,0,ROUND(AVERAGE(G17:G21)/100,4))</f>
        <v>9.2999999999999992E-3</v>
      </c>
      <c r="AC17" s="3104">
        <f>IF(H17=0,0,ROUND(AVERAGE(H17:H21)/100,4))</f>
        <v>6.1000000000000004E-3</v>
      </c>
      <c r="AD17" s="3104">
        <f t="shared" si="34"/>
        <v>1.6999999999999999E-3</v>
      </c>
    </row>
    <row r="18" spans="1:30">
      <c r="A18" s="3085" t="s">
        <v>2776</v>
      </c>
      <c r="B18" s="3134">
        <v>2021</v>
      </c>
      <c r="C18" s="3135">
        <v>4</v>
      </c>
      <c r="D18" s="3135">
        <v>1.03</v>
      </c>
      <c r="E18" s="3135">
        <v>0.24</v>
      </c>
      <c r="F18" s="3135">
        <v>7.0000000000000007E-2</v>
      </c>
      <c r="G18" s="3135">
        <v>1.17</v>
      </c>
      <c r="H18" s="3141">
        <v>0.55000000000000004</v>
      </c>
      <c r="I18" s="3136">
        <f t="shared" si="32"/>
        <v>7.0000000000000007E-2</v>
      </c>
      <c r="J18" s="3102"/>
      <c r="K18" s="3103">
        <f t="shared" si="33"/>
        <v>1.03E-2</v>
      </c>
      <c r="L18" s="3104">
        <f t="shared" si="33"/>
        <v>2.3999999999999998E-3</v>
      </c>
      <c r="M18" s="3104">
        <f t="shared" si="33"/>
        <v>7.000000000000001E-4</v>
      </c>
      <c r="N18" s="3104">
        <f t="shared" si="33"/>
        <v>1.1699999999999999E-2</v>
      </c>
      <c r="O18" s="3104">
        <f t="shared" si="33"/>
        <v>5.5000000000000005E-3</v>
      </c>
      <c r="P18" s="3104">
        <f t="shared" si="67"/>
        <v>7.000000000000001E-4</v>
      </c>
      <c r="Q18" s="3102"/>
      <c r="R18" s="3113">
        <f>ROUND(IF(项目基本情况!B8="出让",SUMPRODUCT(PRODUCT(1+K18:K21)),SUMPRODUCT(PRODUCT(1+K18:K20))),4)</f>
        <v>1.0244</v>
      </c>
      <c r="S18" s="3113">
        <f>ROUND(IF(项目基本情况!B8="出让",SUMPRODUCT(PRODUCT(1+L18:L21)),SUMPRODUCT(PRODUCT(1+L18:L20))),4)</f>
        <v>1.0138</v>
      </c>
      <c r="T18" s="3113">
        <f>ROUND(IF(项目基本情况!B8="出让",SUMPRODUCT(PRODUCT(1+M18:M21)),SUMPRODUCT(PRODUCT(1+M18:M20))),4)</f>
        <v>1.0072000000000001</v>
      </c>
      <c r="U18" s="3113">
        <f>ROUND(IF(项目基本情况!B8="出让",SUMPRODUCT(PRODUCT(1+N18:N21)),SUMPRODUCT(PRODUCT(1+N18:N20))),4)</f>
        <v>1.0262</v>
      </c>
      <c r="V18" s="3113">
        <f>ROUND(IF(项目基本情况!B8="出让",SUMPRODUCT(PRODUCT(1+O18:O21)),SUMPRODUCT(PRODUCT(1+O18:O20))),4)</f>
        <v>1.0205</v>
      </c>
      <c r="W18" s="3113">
        <f t="shared" si="68"/>
        <v>1.0072000000000001</v>
      </c>
      <c r="X18" s="3102"/>
      <c r="Y18" s="3104">
        <f>IF(D18=0,0,ROUND(AVERAGE(D18:D21)/100,4))</f>
        <v>8.5000000000000006E-3</v>
      </c>
      <c r="Z18" s="3104">
        <f>IF(E18=0,0,ROUND(AVERAGE(E18:E21)/100,4))</f>
        <v>3.8E-3</v>
      </c>
      <c r="AA18" s="3104">
        <f>IF(F18=0,0,ROUND(AVERAGE(F18:F21)/100,4))</f>
        <v>1.1999999999999999E-3</v>
      </c>
      <c r="AB18" s="3104">
        <f>IF(G18=0,0,ROUND(AVERAGE(G18:G21)/100,4))</f>
        <v>9.2999999999999992E-3</v>
      </c>
      <c r="AC18" s="3104">
        <f>IF(H18=0,0,ROUND(AVERAGE(H18:H21)/100,4))</f>
        <v>6.0000000000000001E-3</v>
      </c>
      <c r="AD18" s="3104">
        <f t="shared" si="34"/>
        <v>1.1999999999999999E-3</v>
      </c>
    </row>
    <row r="19" spans="1:30">
      <c r="A19" s="3085" t="s">
        <v>2777</v>
      </c>
      <c r="B19" s="3134">
        <v>2021</v>
      </c>
      <c r="C19" s="3135">
        <v>3</v>
      </c>
      <c r="D19" s="3135">
        <v>0.47</v>
      </c>
      <c r="E19" s="3135">
        <v>0.41</v>
      </c>
      <c r="F19" s="3135">
        <v>0.24</v>
      </c>
      <c r="G19" s="3135">
        <v>0.48</v>
      </c>
      <c r="H19" s="3141">
        <v>0.48</v>
      </c>
      <c r="I19" s="3136">
        <f t="shared" si="32"/>
        <v>0.24</v>
      </c>
      <c r="J19" s="3102"/>
      <c r="K19" s="3103">
        <f t="shared" si="33"/>
        <v>4.6999999999999993E-3</v>
      </c>
      <c r="L19" s="3104">
        <f t="shared" si="33"/>
        <v>4.0999999999999995E-3</v>
      </c>
      <c r="M19" s="3104">
        <f t="shared" si="33"/>
        <v>2.3999999999999998E-3</v>
      </c>
      <c r="N19" s="3104">
        <f t="shared" si="33"/>
        <v>4.7999999999999996E-3</v>
      </c>
      <c r="O19" s="3104">
        <f t="shared" si="33"/>
        <v>4.7999999999999996E-3</v>
      </c>
      <c r="P19" s="3104">
        <f t="shared" si="67"/>
        <v>2.3999999999999998E-3</v>
      </c>
      <c r="Q19" s="3102"/>
      <c r="R19" s="3113">
        <f>ROUND(IF(项目基本情况!B8="出让",SUMPRODUCT(PRODUCT(1+K19:K21)),SUMPRODUCT(PRODUCT(1+K19:K20))),4)</f>
        <v>1.0139</v>
      </c>
      <c r="S19" s="3113">
        <f>ROUND(IF(项目基本情况!B8="出让",SUMPRODUCT(PRODUCT(1+L19:L21)),SUMPRODUCT(PRODUCT(1+L19:L20))),4)</f>
        <v>1.0113000000000001</v>
      </c>
      <c r="T19" s="3113">
        <f>ROUND(IF(项目基本情况!B8="出让",SUMPRODUCT(PRODUCT(1+M19:M21)),SUMPRODUCT(PRODUCT(1+M19:M20))),4)</f>
        <v>1.0065</v>
      </c>
      <c r="U19" s="3113">
        <f>ROUND(IF(项目基本情况!B8="出让",SUMPRODUCT(PRODUCT(1+N19:N21)),SUMPRODUCT(PRODUCT(1+N19:N20))),4)</f>
        <v>1.0143</v>
      </c>
      <c r="V19" s="3113">
        <f>ROUND(IF(项目基本情况!B8="出让",SUMPRODUCT(PRODUCT(1+O19:O21)),SUMPRODUCT(PRODUCT(1+O19:O20))),4)</f>
        <v>1.0148999999999999</v>
      </c>
      <c r="W19" s="3113">
        <f t="shared" si="68"/>
        <v>1.0065</v>
      </c>
      <c r="X19" s="3102"/>
      <c r="Y19" s="3104">
        <f>IF(D19=0,0,ROUND(AVERAGE(D19:D21)/100,4))</f>
        <v>7.9000000000000008E-3</v>
      </c>
      <c r="Z19" s="3104">
        <f>IF(E19=0,0,ROUND(AVERAGE(E19:E21)/100,4))</f>
        <v>4.3E-3</v>
      </c>
      <c r="AA19" s="3104">
        <f>IF(F19=0,0,ROUND(AVERAGE(F19:F21)/100,4))</f>
        <v>1.2999999999999999E-3</v>
      </c>
      <c r="AB19" s="3104">
        <f>IF(G19=0,0,ROUND(AVERAGE(G19:G21)/100,4))</f>
        <v>8.5000000000000006E-3</v>
      </c>
      <c r="AC19" s="3104">
        <f>IF(H19=0,0,ROUND(AVERAGE(H19:H21)/100,4))</f>
        <v>6.1999999999999998E-3</v>
      </c>
      <c r="AD19" s="3104">
        <f t="shared" si="34"/>
        <v>1.2999999999999999E-3</v>
      </c>
    </row>
    <row r="20" spans="1:30">
      <c r="A20" s="3085" t="s">
        <v>2778</v>
      </c>
      <c r="B20" s="3134">
        <v>2021</v>
      </c>
      <c r="C20" s="3135">
        <v>2</v>
      </c>
      <c r="D20" s="3135">
        <v>0.92</v>
      </c>
      <c r="E20" s="3135">
        <v>0.72</v>
      </c>
      <c r="F20" s="3135">
        <v>0.41</v>
      </c>
      <c r="G20" s="3135">
        <v>0.95</v>
      </c>
      <c r="H20" s="3141">
        <v>1.01</v>
      </c>
      <c r="I20" s="3136">
        <f t="shared" si="32"/>
        <v>0.41</v>
      </c>
      <c r="J20" s="3102"/>
      <c r="K20" s="3103">
        <f t="shared" si="33"/>
        <v>9.1999999999999998E-3</v>
      </c>
      <c r="L20" s="3104">
        <f t="shared" si="33"/>
        <v>7.1999999999999998E-3</v>
      </c>
      <c r="M20" s="3104">
        <f t="shared" si="33"/>
        <v>4.0999999999999995E-3</v>
      </c>
      <c r="N20" s="3104">
        <f t="shared" si="33"/>
        <v>9.4999999999999998E-3</v>
      </c>
      <c r="O20" s="3104">
        <f t="shared" si="33"/>
        <v>1.01E-2</v>
      </c>
      <c r="P20" s="3104">
        <f t="shared" si="67"/>
        <v>4.0999999999999995E-3</v>
      </c>
      <c r="Q20" s="3102"/>
      <c r="R20" s="3113">
        <f>ROUND(IF(项目基本情况!B8="出让",SUMPRODUCT(PRODUCT(1+K20:K21)),SUMPRODUCT(PRODUCT(1+K20:K20))),4)</f>
        <v>1.0092000000000001</v>
      </c>
      <c r="S20" s="3113">
        <f>ROUND(IF(项目基本情况!B8="出让",SUMPRODUCT(PRODUCT(1+L20:L21)),SUMPRODUCT(PRODUCT(1+L20:L20))),4)</f>
        <v>1.0072000000000001</v>
      </c>
      <c r="T20" s="3113">
        <f>ROUND(IF(项目基本情况!B8="出让",SUMPRODUCT(PRODUCT(1+M20:M21)),SUMPRODUCT(PRODUCT(1+M20:M20))),4)</f>
        <v>1.0041</v>
      </c>
      <c r="U20" s="3113">
        <f>ROUND(IF(项目基本情况!B8="出让",SUMPRODUCT(PRODUCT(1+N20:N21)),SUMPRODUCT(PRODUCT(1+N20:N20))),4)</f>
        <v>1.0095000000000001</v>
      </c>
      <c r="V20" s="3113">
        <f>ROUND(IF(项目基本情况!B8="出让",SUMPRODUCT(PRODUCT(1+O20:O21)),SUMPRODUCT(PRODUCT(1+O20:O20))),4)</f>
        <v>1.0101</v>
      </c>
      <c r="W20" s="3113">
        <f t="shared" si="68"/>
        <v>1.0041</v>
      </c>
      <c r="X20" s="3102"/>
      <c r="Y20" s="3104">
        <f>IF(D20=0,0,ROUND(AVERAGE(D20:D21)/100,4))</f>
        <v>9.4999999999999998E-3</v>
      </c>
      <c r="Z20" s="3104">
        <f>IF(E20=0,0,ROUND(AVERAGE(E20:E21)/100,4))</f>
        <v>4.4000000000000003E-3</v>
      </c>
      <c r="AA20" s="3104">
        <f>IF(F20=0,0,ROUND(AVERAGE(F20:F21)/100,4))</f>
        <v>8.0000000000000004E-4</v>
      </c>
      <c r="AB20" s="3104">
        <f>IF(G20=0,0,ROUND(AVERAGE(G20:G21)/100,4))</f>
        <v>1.03E-2</v>
      </c>
      <c r="AC20" s="3104">
        <f>IF(H20=0,0,ROUND(AVERAGE(H20:H21)/100,4))</f>
        <v>6.8999999999999999E-3</v>
      </c>
      <c r="AD20" s="3104">
        <f t="shared" si="34"/>
        <v>8.0000000000000004E-4</v>
      </c>
    </row>
    <row r="21" spans="1:30" ht="14.25" thickBot="1">
      <c r="A21" s="3087" t="s">
        <v>2779</v>
      </c>
      <c r="B21" s="3142">
        <v>2021</v>
      </c>
      <c r="C21" s="3143">
        <v>1</v>
      </c>
      <c r="D21" s="3143">
        <v>0.97</v>
      </c>
      <c r="E21" s="3143">
        <v>0.16</v>
      </c>
      <c r="F21" s="3143">
        <v>-0.25</v>
      </c>
      <c r="G21" s="3143">
        <v>1.1100000000000001</v>
      </c>
      <c r="H21" s="3144">
        <v>0.36</v>
      </c>
      <c r="I21" s="3145">
        <f t="shared" si="32"/>
        <v>-0.25</v>
      </c>
      <c r="J21" s="3108"/>
      <c r="K21" s="3109">
        <f t="shared" si="33"/>
        <v>9.7000000000000003E-3</v>
      </c>
      <c r="L21" s="3110">
        <f t="shared" si="33"/>
        <v>1.6000000000000001E-3</v>
      </c>
      <c r="M21" s="3110">
        <f>F21/100</f>
        <v>-2.5000000000000001E-3</v>
      </c>
      <c r="N21" s="3110">
        <f t="shared" si="33"/>
        <v>1.11E-2</v>
      </c>
      <c r="O21" s="3110">
        <f t="shared" si="33"/>
        <v>3.5999999999999999E-3</v>
      </c>
      <c r="P21" s="3110">
        <f t="shared" si="67"/>
        <v>-2.5000000000000001E-3</v>
      </c>
      <c r="Q21" s="3108"/>
      <c r="R21" s="3117">
        <v>1</v>
      </c>
      <c r="S21" s="3117">
        <v>1</v>
      </c>
      <c r="T21" s="3117">
        <v>1</v>
      </c>
      <c r="U21" s="3117">
        <v>1</v>
      </c>
      <c r="V21" s="3117">
        <v>1</v>
      </c>
      <c r="W21" s="3117">
        <f t="shared" si="68"/>
        <v>1</v>
      </c>
      <c r="X21" s="3108"/>
      <c r="Y21" s="3110">
        <f>IF(D21=0,0,ROUND(AVERAGE(D21:D21)/100,4))</f>
        <v>9.7000000000000003E-3</v>
      </c>
      <c r="Z21" s="3110">
        <f>IF(E21=0,0,ROUND(AVERAGE(E21:E21)/100,4))</f>
        <v>1.6000000000000001E-3</v>
      </c>
      <c r="AA21" s="3110">
        <f>IF(F21=0,0,ROUND(AVERAGE(F21:F21)/100,4))</f>
        <v>-2.5000000000000001E-3</v>
      </c>
      <c r="AB21" s="3110">
        <f>IF(G21=0,0,ROUND(AVERAGE(G21:G21)/100,4))</f>
        <v>1.11E-2</v>
      </c>
      <c r="AC21" s="3110">
        <f>IF(H21=0,0,ROUND(AVERAGE(H21:H21)/100,4))</f>
        <v>3.5999999999999999E-3</v>
      </c>
      <c r="AD21" s="3110">
        <f>AA21</f>
        <v>-2.5000000000000001E-3</v>
      </c>
    </row>
    <row r="22" spans="1:30" ht="14.25" thickTop="1"/>
    <row r="23" spans="1:30">
      <c r="A23" s="3386" t="s">
        <v>3263</v>
      </c>
    </row>
    <row r="24" spans="1:30">
      <c r="I24" s="2746" t="s">
        <v>2790</v>
      </c>
    </row>
    <row r="26" spans="1:30">
      <c r="A26" s="2439"/>
      <c r="B26" s="3088" t="s">
        <v>3262</v>
      </c>
      <c r="C26" s="3089"/>
      <c r="D26" s="3089"/>
      <c r="E26" s="3089"/>
      <c r="F26" s="3089"/>
      <c r="G26" s="3089"/>
      <c r="H26" s="3089"/>
      <c r="I26" s="3089"/>
      <c r="J26" s="3090"/>
      <c r="K26" s="3089" t="s">
        <v>2783</v>
      </c>
      <c r="L26" s="3089"/>
      <c r="M26" s="3089"/>
      <c r="N26" s="3089"/>
      <c r="O26" s="3089"/>
      <c r="P26" s="3089"/>
      <c r="Q26" s="3090"/>
      <c r="R26" s="3726" t="s">
        <v>2798</v>
      </c>
      <c r="S26" s="3727"/>
      <c r="T26" s="3727"/>
      <c r="U26" s="3727"/>
      <c r="V26" s="3727"/>
      <c r="W26" s="3727"/>
      <c r="X26" s="3090"/>
      <c r="Y26" s="3726" t="s">
        <v>1923</v>
      </c>
      <c r="Z26" s="3727"/>
      <c r="AA26" s="3727"/>
      <c r="AB26" s="3727"/>
      <c r="AC26" s="3727"/>
      <c r="AD26" s="3727"/>
    </row>
    <row r="27" spans="1:30" ht="14.25" thickBot="1">
      <c r="A27" s="3083"/>
      <c r="B27" s="3091"/>
      <c r="C27" s="3092"/>
      <c r="D27" s="2423" t="s">
        <v>2785</v>
      </c>
      <c r="E27" s="2424" t="s">
        <v>2786</v>
      </c>
      <c r="F27" s="2424" t="s">
        <v>2787</v>
      </c>
      <c r="G27" s="2424" t="s">
        <v>1469</v>
      </c>
      <c r="H27" s="2424"/>
      <c r="I27" s="2424" t="s">
        <v>2731</v>
      </c>
      <c r="J27" s="3093"/>
      <c r="K27" s="2423" t="s">
        <v>2785</v>
      </c>
      <c r="L27" s="2424" t="s">
        <v>2786</v>
      </c>
      <c r="M27" s="2424" t="s">
        <v>2787</v>
      </c>
      <c r="N27" s="2424" t="s">
        <v>2788</v>
      </c>
      <c r="O27" s="2424"/>
      <c r="P27" s="2424" t="s">
        <v>2731</v>
      </c>
      <c r="Q27" s="3093"/>
      <c r="R27" s="2423" t="s">
        <v>2799</v>
      </c>
      <c r="S27" s="2424" t="s">
        <v>2800</v>
      </c>
      <c r="T27" s="2424" t="s">
        <v>2787</v>
      </c>
      <c r="U27" s="2424" t="s">
        <v>1469</v>
      </c>
      <c r="V27" s="2424"/>
      <c r="W27" s="2424" t="s">
        <v>2801</v>
      </c>
      <c r="X27" s="3093"/>
      <c r="Y27" s="2423" t="s">
        <v>2784</v>
      </c>
      <c r="Z27" s="2424" t="s">
        <v>2786</v>
      </c>
      <c r="AA27" s="2424" t="s">
        <v>2787</v>
      </c>
      <c r="AB27" s="2424" t="s">
        <v>1469</v>
      </c>
      <c r="AC27" s="2424"/>
      <c r="AD27" s="2424" t="s">
        <v>2804</v>
      </c>
    </row>
    <row r="28" spans="1:30">
      <c r="A28" s="3084" t="s">
        <v>2780</v>
      </c>
      <c r="B28" s="3094"/>
      <c r="C28" s="3095"/>
      <c r="D28" s="3095"/>
      <c r="E28" s="3095">
        <f>ROUND(AVERAGEIF(E29:E46,"&lt;&gt;0"),2)</f>
        <v>0.26</v>
      </c>
      <c r="F28" s="3095">
        <f>ROUND(AVERAGEIF(F29:F46,"&lt;&gt;0"),2)</f>
        <v>0.19</v>
      </c>
      <c r="G28" s="3095">
        <f>ROUND(AVERAGEIF(G29:G46,"&lt;&gt;0"),2)</f>
        <v>0.38</v>
      </c>
      <c r="H28" s="3095"/>
      <c r="I28" s="3095">
        <f>F28</f>
        <v>0.19</v>
      </c>
      <c r="J28" s="3096"/>
      <c r="K28" s="3097"/>
      <c r="L28" s="3098">
        <f>ROUND(AVERAGEIF(L29:L46,"&lt;&gt;0"),4)</f>
        <v>2.5999999999999999E-3</v>
      </c>
      <c r="M28" s="3098">
        <f>ROUND(AVERAGEIF(M29:M46,"&lt;&gt;0"),4)</f>
        <v>1.9E-3</v>
      </c>
      <c r="N28" s="3098">
        <f>ROUND(AVERAGEIF(N29:N46,"&lt;&gt;0"),4)</f>
        <v>3.8E-3</v>
      </c>
      <c r="O28" s="3098"/>
      <c r="P28" s="3098">
        <f>M28</f>
        <v>1.9E-3</v>
      </c>
      <c r="Q28" s="3096"/>
      <c r="R28" s="3111"/>
      <c r="S28" s="3112">
        <f>ROUND(SUMPRODUCT(PRODUCT(1+L29:L46)),4)</f>
        <v>1.04</v>
      </c>
      <c r="T28" s="3112">
        <f>ROUND(SUMPRODUCT(PRODUCT(1+M29:M46)),4)</f>
        <v>1.0293000000000001</v>
      </c>
      <c r="U28" s="3112">
        <f>ROUND(SUMPRODUCT(PRODUCT(1+N29:N46)),4)</f>
        <v>1.0583</v>
      </c>
      <c r="V28" s="3112"/>
      <c r="W28" s="3111">
        <f>T28</f>
        <v>1.0293000000000001</v>
      </c>
      <c r="X28" s="3096"/>
      <c r="Y28" s="3118"/>
      <c r="Z28" s="3119">
        <f>ROUND(AVERAGEIF(Z29:Z46,"&lt;&gt;0"),4)</f>
        <v>4.1000000000000003E-3</v>
      </c>
      <c r="AA28" s="3120">
        <f>ROUND(AVERAGEIF(AA29:AA46,"&lt;&gt;0"),4)</f>
        <v>3.2000000000000002E-3</v>
      </c>
      <c r="AB28" s="3118">
        <f>ROUND(AVERAGEIF(AB29:AB46,"&lt;&gt;0"),4)</f>
        <v>7.6E-3</v>
      </c>
      <c r="AC28" s="3121"/>
      <c r="AD28" s="3118">
        <f>AA28</f>
        <v>3.2000000000000002E-3</v>
      </c>
    </row>
    <row r="29" spans="1:30">
      <c r="A29" s="2439"/>
      <c r="B29" s="3099"/>
      <c r="C29" s="2439"/>
      <c r="D29" s="2439"/>
      <c r="E29" s="2439"/>
      <c r="F29" s="2439"/>
      <c r="G29" s="2439"/>
      <c r="H29" s="2439"/>
      <c r="I29" s="2439"/>
      <c r="J29" s="3090"/>
      <c r="K29" s="3100"/>
      <c r="L29" s="3101"/>
      <c r="M29" s="3101"/>
      <c r="N29" s="3101"/>
      <c r="O29" s="3101"/>
      <c r="P29" s="3101"/>
      <c r="Q29" s="3090"/>
      <c r="R29" s="3113"/>
      <c r="S29" s="3114"/>
      <c r="T29" s="3115"/>
      <c r="U29" s="3113"/>
      <c r="V29" s="3116"/>
      <c r="W29" s="3113"/>
      <c r="X29" s="3090"/>
      <c r="Y29" s="3104"/>
      <c r="Z29" s="3122"/>
      <c r="AA29" s="3123"/>
      <c r="AB29" s="3104"/>
      <c r="AC29" s="3124"/>
      <c r="AD29" s="3104"/>
    </row>
    <row r="30" spans="1:30">
      <c r="A30" s="3387" t="s">
        <v>3256</v>
      </c>
      <c r="B30" s="3134">
        <v>2025</v>
      </c>
      <c r="C30" s="3135">
        <v>1</v>
      </c>
      <c r="D30" s="3135"/>
      <c r="E30" s="3135">
        <v>0</v>
      </c>
      <c r="F30" s="3135">
        <v>0</v>
      </c>
      <c r="G30" s="3135">
        <v>0</v>
      </c>
      <c r="H30" s="3135"/>
      <c r="I30" s="3136">
        <f t="shared" ref="I30" si="69">F30</f>
        <v>0</v>
      </c>
      <c r="J30" s="3102"/>
      <c r="K30" s="3103"/>
      <c r="L30" s="3104">
        <f t="shared" ref="L30" si="70">E30/100</f>
        <v>0</v>
      </c>
      <c r="M30" s="3104">
        <f t="shared" ref="M30" si="71">F30/100</f>
        <v>0</v>
      </c>
      <c r="N30" s="3104">
        <f t="shared" ref="N30" si="72">G30/100</f>
        <v>0</v>
      </c>
      <c r="O30" s="3104"/>
      <c r="P30" s="3104">
        <f>M30</f>
        <v>0</v>
      </c>
      <c r="Q30" s="3102"/>
      <c r="R30" s="3113"/>
      <c r="S30" s="3113">
        <f>ROUND(IF(项目基本情况!$B$8="出让",SUMPRODUCT(PRODUCT(1+L30:L$46)),SUMPRODUCT(PRODUCT(1+L30:L$45))),4)</f>
        <v>1.0364</v>
      </c>
      <c r="T30" s="3113">
        <f>ROUND(IF(项目基本情况!$B$8="出让",SUMPRODUCT(PRODUCT(1+M30:M$46)),SUMPRODUCT(PRODUCT(1+M30:M$45))),4)</f>
        <v>1.0244</v>
      </c>
      <c r="U30" s="3113">
        <f>ROUND(IF(项目基本情况!$B$8="出让",SUMPRODUCT(PRODUCT(1+N30:N$46)),SUMPRODUCT(PRODUCT(1+N30:N$45))),4)</f>
        <v>1.048</v>
      </c>
      <c r="V30" s="3113"/>
      <c r="W30" s="3113">
        <f>T30</f>
        <v>1.0244</v>
      </c>
      <c r="X30" s="3102"/>
      <c r="Y30" s="3104"/>
      <c r="Z30" s="3122">
        <f t="shared" ref="Z30" si="73">IF(E30=0,0,ROUND(AVERAGE(E30:E43)/100,4))</f>
        <v>0</v>
      </c>
      <c r="AA30" s="3122">
        <f t="shared" ref="AA30" si="74">IF(F30=0,0,ROUND(AVERAGE(F30:F43)/100,4))</f>
        <v>0</v>
      </c>
      <c r="AB30" s="3122">
        <f t="shared" ref="AB30" si="75">IF(G30=0,0,ROUND(AVERAGE(G30:G43)/100,4))</f>
        <v>0</v>
      </c>
      <c r="AC30" s="3124"/>
      <c r="AD30" s="3104">
        <f>IF(I30=0,0,ROUND(AVERAGE(I30:I43)/100,4))</f>
        <v>0</v>
      </c>
    </row>
    <row r="31" spans="1:30">
      <c r="A31" s="3086" t="s">
        <v>3259</v>
      </c>
      <c r="B31" s="3137">
        <v>2024</v>
      </c>
      <c r="C31" s="3138">
        <v>4</v>
      </c>
      <c r="D31" s="3138"/>
      <c r="E31" s="3138">
        <v>0</v>
      </c>
      <c r="F31" s="3138">
        <v>0</v>
      </c>
      <c r="G31" s="3138">
        <v>0</v>
      </c>
      <c r="H31" s="3139"/>
      <c r="I31" s="3140">
        <f t="shared" ref="I31" si="76">F31</f>
        <v>0</v>
      </c>
      <c r="J31" s="3105"/>
      <c r="K31" s="3106"/>
      <c r="L31" s="3107">
        <f t="shared" ref="L31" si="77">E31/100</f>
        <v>0</v>
      </c>
      <c r="M31" s="3107">
        <f t="shared" ref="M31" si="78">F31/100</f>
        <v>0</v>
      </c>
      <c r="N31" s="3107">
        <f t="shared" ref="N31" si="79">G31/100</f>
        <v>0</v>
      </c>
      <c r="O31" s="3107"/>
      <c r="P31" s="3107">
        <f>M31</f>
        <v>0</v>
      </c>
      <c r="Q31" s="3105"/>
      <c r="R31" s="3105"/>
      <c r="S31" s="3105">
        <f>ROUND(IF(项目基本情况!$B$8="出让",SUMPRODUCT(PRODUCT(1+L31:L$46)),SUMPRODUCT(PRODUCT(1+L31:L$45))),4)</f>
        <v>1.0364</v>
      </c>
      <c r="T31" s="3105">
        <f>ROUND(IF(项目基本情况!$B$8="出让",SUMPRODUCT(PRODUCT(1+M31:M$46)),SUMPRODUCT(PRODUCT(1+M31:M$45))),4)</f>
        <v>1.0244</v>
      </c>
      <c r="U31" s="3105">
        <f>ROUND(IF(项目基本情况!$B$8="出让",SUMPRODUCT(PRODUCT(1+N31:N$46)),SUMPRODUCT(PRODUCT(1+N31:N$45))),4)</f>
        <v>1.048</v>
      </c>
      <c r="V31" s="3105"/>
      <c r="W31" s="3105">
        <f>T31</f>
        <v>1.0244</v>
      </c>
      <c r="X31" s="3105"/>
      <c r="Y31" s="3107"/>
      <c r="Z31" s="3125">
        <f t="shared" ref="Z31" si="80">IF(E31=0,0,ROUND(AVERAGE(E31:E44)/100,4))</f>
        <v>0</v>
      </c>
      <c r="AA31" s="3126">
        <f t="shared" ref="AA31" si="81">IF(F31=0,0,ROUND(AVERAGE(F31:F44)/100,4))</f>
        <v>0</v>
      </c>
      <c r="AB31" s="3107">
        <f t="shared" ref="AB31" si="82">IF(G31=0,0,ROUND(AVERAGE(G31:G44)/100,4))</f>
        <v>0</v>
      </c>
      <c r="AC31" s="3127"/>
      <c r="AD31" s="3107">
        <f>IF(I31=0,0,ROUND(AVERAGE(I31:I44)/100,4))</f>
        <v>0</v>
      </c>
    </row>
    <row r="32" spans="1:30">
      <c r="A32" s="3387" t="s">
        <v>3251</v>
      </c>
      <c r="B32" s="3134">
        <v>2024</v>
      </c>
      <c r="C32" s="3135">
        <v>3</v>
      </c>
      <c r="D32" s="3135"/>
      <c r="E32" s="3135">
        <v>-0.66</v>
      </c>
      <c r="F32" s="3135">
        <v>-0.52</v>
      </c>
      <c r="G32" s="3135">
        <v>-2.87</v>
      </c>
      <c r="H32" s="3135"/>
      <c r="I32" s="3136">
        <f t="shared" ref="I32" si="83">F32</f>
        <v>-0.52</v>
      </c>
      <c r="J32" s="3102"/>
      <c r="K32" s="3103"/>
      <c r="L32" s="3104">
        <f t="shared" ref="L32" si="84">E32/100</f>
        <v>-6.6E-3</v>
      </c>
      <c r="M32" s="3104">
        <f t="shared" ref="M32" si="85">F32/100</f>
        <v>-5.1999999999999998E-3</v>
      </c>
      <c r="N32" s="3104">
        <f t="shared" ref="N32" si="86">G32/100</f>
        <v>-2.87E-2</v>
      </c>
      <c r="O32" s="3104"/>
      <c r="P32" s="3104">
        <f>M32</f>
        <v>-5.1999999999999998E-3</v>
      </c>
      <c r="Q32" s="3102"/>
      <c r="R32" s="3113"/>
      <c r="S32" s="3113">
        <f>ROUND(IF(项目基本情况!$B$8="出让",SUMPRODUCT(PRODUCT(1+L32:L$46)),SUMPRODUCT(PRODUCT(1+L32:L$45))),4)</f>
        <v>1.0364</v>
      </c>
      <c r="T32" s="3113">
        <f>ROUND(IF(项目基本情况!$B$8="出让",SUMPRODUCT(PRODUCT(1+M32:M$46)),SUMPRODUCT(PRODUCT(1+M32:M$45))),4)</f>
        <v>1.0244</v>
      </c>
      <c r="U32" s="3113">
        <f>ROUND(IF(项目基本情况!$B$8="出让",SUMPRODUCT(PRODUCT(1+N32:N$46)),SUMPRODUCT(PRODUCT(1+N32:N$45))),4)</f>
        <v>1.048</v>
      </c>
      <c r="V32" s="3113"/>
      <c r="W32" s="3113">
        <f>T32</f>
        <v>1.0244</v>
      </c>
      <c r="X32" s="3102"/>
      <c r="Y32" s="3104"/>
      <c r="Z32" s="3122">
        <f t="shared" ref="Z32:AB33" si="87">IF(E32=0,0,ROUND(AVERAGE(E32:E45)/100,4))</f>
        <v>2.5999999999999999E-3</v>
      </c>
      <c r="AA32" s="3122">
        <f t="shared" si="87"/>
        <v>1.6999999999999999E-3</v>
      </c>
      <c r="AB32" s="3122">
        <f t="shared" si="87"/>
        <v>3.3999999999999998E-3</v>
      </c>
      <c r="AC32" s="3124"/>
      <c r="AD32" s="3104">
        <f>IF(I32=0,0,ROUND(AVERAGE(I32:I45)/100,4))</f>
        <v>1.6999999999999999E-3</v>
      </c>
    </row>
    <row r="33" spans="1:30">
      <c r="A33" s="3085" t="s">
        <v>3260</v>
      </c>
      <c r="B33" s="3134">
        <v>2024</v>
      </c>
      <c r="C33" s="3135">
        <v>2</v>
      </c>
      <c r="D33" s="3135"/>
      <c r="E33" s="3135">
        <v>-0.31</v>
      </c>
      <c r="F33" s="3135">
        <v>-0.39</v>
      </c>
      <c r="G33" s="3135">
        <v>1.23</v>
      </c>
      <c r="H33" s="3141"/>
      <c r="I33" s="3136">
        <f t="shared" ref="I33:I46" si="88">F33</f>
        <v>-0.39</v>
      </c>
      <c r="J33" s="3102"/>
      <c r="K33" s="3103"/>
      <c r="L33" s="3104">
        <f t="shared" ref="L33:N46" si="89">E33/100</f>
        <v>-3.0999999999999999E-3</v>
      </c>
      <c r="M33" s="3104">
        <f t="shared" si="89"/>
        <v>-3.9000000000000003E-3</v>
      </c>
      <c r="N33" s="3104">
        <f t="shared" si="89"/>
        <v>1.23E-2</v>
      </c>
      <c r="O33" s="3104"/>
      <c r="P33" s="3104">
        <f>M33</f>
        <v>-3.9000000000000003E-3</v>
      </c>
      <c r="Q33" s="3102"/>
      <c r="R33" s="3113"/>
      <c r="S33" s="3113">
        <f>ROUND(IF(项目基本情况!$B$8="出让",SUMPRODUCT(PRODUCT(1+L33:L$46)),SUMPRODUCT(PRODUCT(1+L33:L$45))),4)</f>
        <v>1.0432999999999999</v>
      </c>
      <c r="T33" s="3113">
        <f>ROUND(IF(项目基本情况!$B$8="出让",SUMPRODUCT(PRODUCT(1+M33:M$46)),SUMPRODUCT(PRODUCT(1+M33:M$45))),4)</f>
        <v>1.0298</v>
      </c>
      <c r="U33" s="3113">
        <f>ROUND(IF(项目基本情况!$B$8="出让",SUMPRODUCT(PRODUCT(1+N33:N$46)),SUMPRODUCT(PRODUCT(1+N33:N$45))),4)</f>
        <v>1.079</v>
      </c>
      <c r="V33" s="3113"/>
      <c r="W33" s="3113">
        <f>T33</f>
        <v>1.0298</v>
      </c>
      <c r="X33" s="3102"/>
      <c r="Y33" s="3104"/>
      <c r="Z33" s="3122">
        <f t="shared" si="87"/>
        <v>3.3E-3</v>
      </c>
      <c r="AA33" s="3123">
        <f t="shared" si="87"/>
        <v>2.3999999999999998E-3</v>
      </c>
      <c r="AB33" s="3104">
        <f t="shared" si="87"/>
        <v>6.1999999999999998E-3</v>
      </c>
      <c r="AC33" s="3124"/>
      <c r="AD33" s="3104">
        <f>IF(I33=0,0,ROUND(AVERAGE(I33:I46)/100,4))</f>
        <v>2.3999999999999998E-3</v>
      </c>
    </row>
    <row r="34" spans="1:30">
      <c r="A34" s="3085" t="s">
        <v>3253</v>
      </c>
      <c r="B34" s="3134">
        <v>2024</v>
      </c>
      <c r="C34" s="3135">
        <v>1</v>
      </c>
      <c r="D34" s="3135"/>
      <c r="E34" s="3135">
        <v>0.25</v>
      </c>
      <c r="F34" s="3135">
        <v>0.4</v>
      </c>
      <c r="G34" s="3135">
        <v>-0.63</v>
      </c>
      <c r="H34" s="3141"/>
      <c r="I34" s="3136">
        <f t="shared" si="88"/>
        <v>0.4</v>
      </c>
      <c r="J34" s="3102"/>
      <c r="K34" s="3103"/>
      <c r="L34" s="3104">
        <f t="shared" ref="L34" si="90">E34/100</f>
        <v>2.5000000000000001E-3</v>
      </c>
      <c r="M34" s="3104">
        <f t="shared" ref="M34" si="91">F34/100</f>
        <v>4.0000000000000001E-3</v>
      </c>
      <c r="N34" s="3104">
        <f t="shared" ref="N34" si="92">G34/100</f>
        <v>-6.3E-3</v>
      </c>
      <c r="O34" s="3104"/>
      <c r="P34" s="3104">
        <f t="shared" ref="P34" si="93">M34</f>
        <v>4.0000000000000001E-3</v>
      </c>
      <c r="Q34" s="3102"/>
      <c r="R34" s="3113"/>
      <c r="S34" s="3113">
        <f>ROUND(IF(项目基本情况!$B$8="出让",SUMPRODUCT(PRODUCT(1+L34:L$46)),SUMPRODUCT(PRODUCT(1+L34:L$45))),4)</f>
        <v>1.0465</v>
      </c>
      <c r="T34" s="3113">
        <f>ROUND(IF(项目基本情况!$B$8="出让",SUMPRODUCT(PRODUCT(1+M34:M$46)),SUMPRODUCT(PRODUCT(1+M34:M$45))),4)</f>
        <v>1.0338000000000001</v>
      </c>
      <c r="U34" s="3113">
        <f>ROUND(IF(项目基本情况!$B$8="出让",SUMPRODUCT(PRODUCT(1+N34:N$46)),SUMPRODUCT(PRODUCT(1+N34:N$45))),4)</f>
        <v>1.0659000000000001</v>
      </c>
      <c r="V34" s="3113"/>
      <c r="W34" s="3113">
        <f t="shared" ref="W34" si="94">T34</f>
        <v>1.0338000000000001</v>
      </c>
      <c r="X34" s="3102"/>
      <c r="Y34" s="3104"/>
      <c r="Z34" s="3122">
        <f t="shared" ref="Z34" si="95">IF(E34=0,0,ROUND(AVERAGE(E34:E45)/100,4))</f>
        <v>3.8E-3</v>
      </c>
      <c r="AA34" s="3123">
        <f t="shared" ref="AA34" si="96">IF(F34=0,0,ROUND(AVERAGE(F34:F45)/100,4))</f>
        <v>2.8E-3</v>
      </c>
      <c r="AB34" s="3104">
        <f t="shared" ref="AB34" si="97">IF(G34=0,0,ROUND(AVERAGE(G34:G45)/100,4))</f>
        <v>5.3E-3</v>
      </c>
      <c r="AC34" s="3124"/>
      <c r="AD34" s="3104">
        <f t="shared" ref="AD34" si="98">IF(I34=0,0,ROUND(AVERAGE(I34:I45)/100,4))</f>
        <v>2.8E-3</v>
      </c>
    </row>
    <row r="35" spans="1:30">
      <c r="A35" s="3085" t="s">
        <v>3249</v>
      </c>
      <c r="B35" s="3134">
        <v>2023</v>
      </c>
      <c r="C35" s="3135">
        <v>4</v>
      </c>
      <c r="D35" s="3135"/>
      <c r="E35" s="3135">
        <v>7.0000000000000007E-2</v>
      </c>
      <c r="F35" s="3135">
        <v>0.09</v>
      </c>
      <c r="G35" s="3135">
        <v>0.03</v>
      </c>
      <c r="H35" s="3141"/>
      <c r="I35" s="3136">
        <f t="shared" ref="I35" si="99">F35</f>
        <v>0.09</v>
      </c>
      <c r="J35" s="3102"/>
      <c r="K35" s="3103"/>
      <c r="L35" s="3104">
        <f t="shared" si="89"/>
        <v>7.000000000000001E-4</v>
      </c>
      <c r="M35" s="3104">
        <f t="shared" si="89"/>
        <v>8.9999999999999998E-4</v>
      </c>
      <c r="N35" s="3104">
        <f t="shared" si="89"/>
        <v>2.9999999999999997E-4</v>
      </c>
      <c r="O35" s="3104"/>
      <c r="P35" s="3104">
        <f t="shared" ref="P35" si="100">M35</f>
        <v>8.9999999999999998E-4</v>
      </c>
      <c r="Q35" s="3102"/>
      <c r="R35" s="3113"/>
      <c r="S35" s="3113">
        <f>ROUND(IF(项目基本情况!$B$8="出让",SUMPRODUCT(PRODUCT(1+L35:L$46)),SUMPRODUCT(PRODUCT(1+L35:L$45))),4)</f>
        <v>1.0439000000000001</v>
      </c>
      <c r="T35" s="3113">
        <f>ROUND(IF(项目基本情况!$B$8="出让",SUMPRODUCT(PRODUCT(1+M35:M$46)),SUMPRODUCT(PRODUCT(1+M35:M$45))),4)</f>
        <v>1.0297000000000001</v>
      </c>
      <c r="U35" s="3113">
        <f>ROUND(IF(项目基本情况!$B$8="出让",SUMPRODUCT(PRODUCT(1+N35:N$46)),SUMPRODUCT(PRODUCT(1+N35:N$45))),4)</f>
        <v>1.0727</v>
      </c>
      <c r="V35" s="3113"/>
      <c r="W35" s="3113">
        <f t="shared" ref="W35" si="101">T35</f>
        <v>1.0297000000000001</v>
      </c>
      <c r="X35" s="3102"/>
      <c r="Y35" s="3104"/>
      <c r="Z35" s="3122">
        <f t="shared" ref="Z35" si="102">IF(E35=0,0,ROUND(AVERAGE(E35:E46)/100,4))</f>
        <v>3.8999999999999998E-3</v>
      </c>
      <c r="AA35" s="3123">
        <f t="shared" ref="AA35" si="103">IF(F35=0,0,ROUND(AVERAGE(F35:F46)/100,4))</f>
        <v>2.8E-3</v>
      </c>
      <c r="AB35" s="3104">
        <f t="shared" ref="AB35" si="104">IF(G35=0,0,ROUND(AVERAGE(G35:G46)/100,4))</f>
        <v>6.7000000000000002E-3</v>
      </c>
      <c r="AC35" s="3124"/>
      <c r="AD35" s="3104">
        <f t="shared" ref="AD35" si="105">IF(I35=0,0,ROUND(AVERAGE(I35:I46)/100,4))</f>
        <v>2.8E-3</v>
      </c>
    </row>
    <row r="36" spans="1:30">
      <c r="A36" s="3085" t="s">
        <v>3247</v>
      </c>
      <c r="B36" s="3134">
        <v>2023</v>
      </c>
      <c r="C36" s="3135">
        <v>3</v>
      </c>
      <c r="D36" s="3135"/>
      <c r="E36" s="3135">
        <v>0.35</v>
      </c>
      <c r="F36" s="3135">
        <v>0.17</v>
      </c>
      <c r="G36" s="3135">
        <v>0.52</v>
      </c>
      <c r="H36" s="3141"/>
      <c r="I36" s="3136">
        <f t="shared" si="88"/>
        <v>0.17</v>
      </c>
      <c r="J36" s="3102"/>
      <c r="K36" s="3103"/>
      <c r="L36" s="3104">
        <f t="shared" ref="L36:L38" si="106">E36/100</f>
        <v>3.4999999999999996E-3</v>
      </c>
      <c r="M36" s="3104">
        <f t="shared" ref="M36:M38" si="107">F36/100</f>
        <v>1.7000000000000001E-3</v>
      </c>
      <c r="N36" s="3104">
        <f t="shared" ref="N36:N38" si="108">G36/100</f>
        <v>5.1999999999999998E-3</v>
      </c>
      <c r="O36" s="3104"/>
      <c r="P36" s="3104">
        <f t="shared" ref="P36:P38" si="109">M36</f>
        <v>1.7000000000000001E-3</v>
      </c>
      <c r="Q36" s="3102"/>
      <c r="R36" s="3113"/>
      <c r="S36" s="3113">
        <f>ROUND(IF(项目基本情况!$B$8="出让",SUMPRODUCT(PRODUCT(1+L36:L$46)),SUMPRODUCT(PRODUCT(1+L36:L$45))),4)</f>
        <v>1.0431999999999999</v>
      </c>
      <c r="T36" s="3113">
        <f>ROUND(IF(项目基本情况!$B$8="出让",SUMPRODUCT(PRODUCT(1+M36:M$46)),SUMPRODUCT(PRODUCT(1+M36:M$45))),4)</f>
        <v>1.0286999999999999</v>
      </c>
      <c r="U36" s="3113">
        <f>ROUND(IF(项目基本情况!$B$8="出让",SUMPRODUCT(PRODUCT(1+N36:N$46)),SUMPRODUCT(PRODUCT(1+N36:N$45))),4)</f>
        <v>1.0723</v>
      </c>
      <c r="V36" s="3113"/>
      <c r="W36" s="3113">
        <f t="shared" ref="W36:W38" si="110">T36</f>
        <v>1.0286999999999999</v>
      </c>
      <c r="X36" s="3102"/>
      <c r="Y36" s="3104"/>
      <c r="Z36" s="3122">
        <f t="shared" ref="Z36:AB36" si="111">IF(E36=0,0,ROUND(AVERAGE(E36:E47)/100,4))</f>
        <v>4.1999999999999997E-3</v>
      </c>
      <c r="AA36" s="3123">
        <f t="shared" si="111"/>
        <v>3.0000000000000001E-3</v>
      </c>
      <c r="AB36" s="3104">
        <f t="shared" si="111"/>
        <v>7.3000000000000001E-3</v>
      </c>
      <c r="AC36" s="3124"/>
      <c r="AD36" s="3104">
        <f t="shared" ref="AD36:AD38" si="112">IF(I36=0,0,ROUND(AVERAGE(I36:I47)/100,4))</f>
        <v>3.0000000000000001E-3</v>
      </c>
    </row>
    <row r="37" spans="1:30">
      <c r="A37" s="3085" t="s">
        <v>3246</v>
      </c>
      <c r="B37" s="3134">
        <v>2023</v>
      </c>
      <c r="C37" s="3135">
        <v>2</v>
      </c>
      <c r="D37" s="3135"/>
      <c r="E37" s="3135">
        <v>0.5</v>
      </c>
      <c r="F37" s="3135">
        <v>0.45</v>
      </c>
      <c r="G37" s="3135">
        <v>0.89</v>
      </c>
      <c r="H37" s="3141"/>
      <c r="I37" s="3136">
        <f t="shared" si="88"/>
        <v>0.45</v>
      </c>
      <c r="J37" s="3102"/>
      <c r="K37" s="3103"/>
      <c r="L37" s="3104">
        <f t="shared" si="106"/>
        <v>5.0000000000000001E-3</v>
      </c>
      <c r="M37" s="3104">
        <f t="shared" si="107"/>
        <v>4.5000000000000005E-3</v>
      </c>
      <c r="N37" s="3104">
        <f t="shared" si="108"/>
        <v>8.8999999999999999E-3</v>
      </c>
      <c r="O37" s="3104"/>
      <c r="P37" s="3104">
        <f t="shared" si="109"/>
        <v>4.5000000000000005E-3</v>
      </c>
      <c r="Q37" s="3102"/>
      <c r="R37" s="3113"/>
      <c r="S37" s="3113">
        <f>ROUND(IF(项目基本情况!$B$8="出让",SUMPRODUCT(PRODUCT(1+L37:L$46)),SUMPRODUCT(PRODUCT(1+L37:L$45))),4)</f>
        <v>1.0396000000000001</v>
      </c>
      <c r="T37" s="3113">
        <f>ROUND(IF(项目基本情况!$B$8="出让",SUMPRODUCT(PRODUCT(1+M37:M$46)),SUMPRODUCT(PRODUCT(1+M37:M$45))),4)</f>
        <v>1.0269999999999999</v>
      </c>
      <c r="U37" s="3113">
        <f>ROUND(IF(项目基本情况!$B$8="出让",SUMPRODUCT(PRODUCT(1+N37:N$46)),SUMPRODUCT(PRODUCT(1+N37:N$45))),4)</f>
        <v>1.0668</v>
      </c>
      <c r="V37" s="3113"/>
      <c r="W37" s="3113">
        <f t="shared" si="110"/>
        <v>1.0269999999999999</v>
      </c>
      <c r="X37" s="3102"/>
      <c r="Y37" s="3104"/>
      <c r="Z37" s="3122">
        <f t="shared" ref="Z37:AB37" si="113">IF(E37=0,0,ROUND(AVERAGE(E37:E48)/100,4))</f>
        <v>4.1999999999999997E-3</v>
      </c>
      <c r="AA37" s="3123">
        <f t="shared" si="113"/>
        <v>3.2000000000000002E-3</v>
      </c>
      <c r="AB37" s="3104">
        <f t="shared" si="113"/>
        <v>7.4999999999999997E-3</v>
      </c>
      <c r="AC37" s="3124"/>
      <c r="AD37" s="3104">
        <f t="shared" si="112"/>
        <v>3.2000000000000002E-3</v>
      </c>
    </row>
    <row r="38" spans="1:30">
      <c r="A38" s="3085" t="s">
        <v>3244</v>
      </c>
      <c r="B38" s="3134">
        <v>2023</v>
      </c>
      <c r="C38" s="3135">
        <v>1</v>
      </c>
      <c r="D38" s="3135"/>
      <c r="E38" s="3135">
        <v>0.55000000000000004</v>
      </c>
      <c r="F38" s="3135">
        <v>0.59</v>
      </c>
      <c r="G38" s="3135">
        <v>0.64</v>
      </c>
      <c r="H38" s="3141"/>
      <c r="I38" s="3136">
        <f t="shared" si="88"/>
        <v>0.59</v>
      </c>
      <c r="J38" s="3102"/>
      <c r="K38" s="3103"/>
      <c r="L38" s="3104">
        <f t="shared" si="106"/>
        <v>5.5000000000000005E-3</v>
      </c>
      <c r="M38" s="3104">
        <f t="shared" si="107"/>
        <v>5.8999999999999999E-3</v>
      </c>
      <c r="N38" s="3104">
        <f t="shared" si="108"/>
        <v>6.4000000000000003E-3</v>
      </c>
      <c r="O38" s="3104"/>
      <c r="P38" s="3104">
        <f t="shared" si="109"/>
        <v>5.8999999999999999E-3</v>
      </c>
      <c r="Q38" s="3102"/>
      <c r="R38" s="3113"/>
      <c r="S38" s="3113">
        <f>ROUND(IF(项目基本情况!$B$8="出让",SUMPRODUCT(PRODUCT(1+L38:L$46)),SUMPRODUCT(PRODUCT(1+L38:L$45))),4)</f>
        <v>1.0344</v>
      </c>
      <c r="T38" s="3113">
        <f>ROUND(IF(项目基本情况!$B$8="出让",SUMPRODUCT(PRODUCT(1+M38:M$46)),SUMPRODUCT(PRODUCT(1+M38:M$45))),4)</f>
        <v>1.0224</v>
      </c>
      <c r="U38" s="3113">
        <f>ROUND(IF(项目基本情况!$B$8="出让",SUMPRODUCT(PRODUCT(1+N38:N$46)),SUMPRODUCT(PRODUCT(1+N38:N$45))),4)</f>
        <v>1.0573999999999999</v>
      </c>
      <c r="V38" s="3113"/>
      <c r="W38" s="3113">
        <f t="shared" si="110"/>
        <v>1.0224</v>
      </c>
      <c r="X38" s="3102"/>
      <c r="Y38" s="3104"/>
      <c r="Z38" s="3122">
        <f t="shared" ref="Z38:AB38" si="114">IF(E38=0,0,ROUND(AVERAGE(E38:E49)/100,4))</f>
        <v>4.1999999999999997E-3</v>
      </c>
      <c r="AA38" s="3123">
        <f t="shared" si="114"/>
        <v>3.0000000000000001E-3</v>
      </c>
      <c r="AB38" s="3104">
        <f t="shared" si="114"/>
        <v>7.3000000000000001E-3</v>
      </c>
      <c r="AC38" s="3124"/>
      <c r="AD38" s="3104">
        <f t="shared" si="112"/>
        <v>3.0000000000000001E-3</v>
      </c>
    </row>
    <row r="39" spans="1:30">
      <c r="A39" s="3085" t="s">
        <v>3242</v>
      </c>
      <c r="B39" s="3134">
        <v>2022</v>
      </c>
      <c r="C39" s="3135">
        <v>4</v>
      </c>
      <c r="D39" s="3135"/>
      <c r="E39" s="3135">
        <v>0.45</v>
      </c>
      <c r="F39" s="3135">
        <v>0.2</v>
      </c>
      <c r="G39" s="3135">
        <v>0.38</v>
      </c>
      <c r="H39" s="3141"/>
      <c r="I39" s="3136">
        <f t="shared" si="88"/>
        <v>0.2</v>
      </c>
      <c r="J39" s="3102"/>
      <c r="K39" s="3103"/>
      <c r="L39" s="3104">
        <f t="shared" si="89"/>
        <v>4.5000000000000005E-3</v>
      </c>
      <c r="M39" s="3104">
        <f t="shared" si="89"/>
        <v>2E-3</v>
      </c>
      <c r="N39" s="3104">
        <f t="shared" si="89"/>
        <v>3.8E-3</v>
      </c>
      <c r="O39" s="3104"/>
      <c r="P39" s="3104">
        <f t="shared" ref="P39:P46" si="115">M39</f>
        <v>2E-3</v>
      </c>
      <c r="Q39" s="3102"/>
      <c r="R39" s="3113"/>
      <c r="S39" s="3113">
        <f>ROUND(IF(项目基本情况!$B$8="出让",SUMPRODUCT(PRODUCT(1+L39:L$46)),SUMPRODUCT(PRODUCT(1+L39:L$45))),4)</f>
        <v>1.0286999999999999</v>
      </c>
      <c r="T39" s="3113">
        <f>ROUND(IF(项目基本情况!$B$8="出让",SUMPRODUCT(PRODUCT(1+M39:M$46)),SUMPRODUCT(PRODUCT(1+M39:M$45))),4)</f>
        <v>1.0164</v>
      </c>
      <c r="U39" s="3113">
        <f>ROUND(IF(项目基本情况!$B$8="出让",SUMPRODUCT(PRODUCT(1+N39:N$46)),SUMPRODUCT(PRODUCT(1+N39:N$45))),4)</f>
        <v>1.0506</v>
      </c>
      <c r="V39" s="3113"/>
      <c r="W39" s="3113">
        <f t="shared" ref="W39:W46" si="116">T39</f>
        <v>1.0164</v>
      </c>
      <c r="X39" s="3102"/>
      <c r="Y39" s="3104"/>
      <c r="Z39" s="3122">
        <f t="shared" ref="Z39:AD46" si="117">IF(E39=0,0,ROUND(AVERAGE(E39:E47)/100,4))</f>
        <v>4.0000000000000001E-3</v>
      </c>
      <c r="AA39" s="3123">
        <f t="shared" si="117"/>
        <v>2.5999999999999999E-3</v>
      </c>
      <c r="AB39" s="3104">
        <f t="shared" si="117"/>
        <v>7.4000000000000003E-3</v>
      </c>
      <c r="AC39" s="3124"/>
      <c r="AD39" s="3104">
        <f t="shared" si="117"/>
        <v>2.5999999999999999E-3</v>
      </c>
    </row>
    <row r="40" spans="1:30">
      <c r="A40" s="3085" t="s">
        <v>3240</v>
      </c>
      <c r="B40" s="3134">
        <v>2022</v>
      </c>
      <c r="C40" s="3135">
        <v>3</v>
      </c>
      <c r="D40" s="3135"/>
      <c r="E40" s="3135">
        <v>0.3</v>
      </c>
      <c r="F40" s="3135">
        <v>0.28999999999999998</v>
      </c>
      <c r="G40" s="3135">
        <v>0.83</v>
      </c>
      <c r="H40" s="3141"/>
      <c r="I40" s="3136">
        <f t="shared" si="88"/>
        <v>0.28999999999999998</v>
      </c>
      <c r="J40" s="3102"/>
      <c r="K40" s="3103"/>
      <c r="L40" s="3104">
        <f t="shared" si="89"/>
        <v>3.0000000000000001E-3</v>
      </c>
      <c r="M40" s="3104">
        <f t="shared" si="89"/>
        <v>2.8999999999999998E-3</v>
      </c>
      <c r="N40" s="3104">
        <f t="shared" si="89"/>
        <v>8.3000000000000001E-3</v>
      </c>
      <c r="O40" s="3104"/>
      <c r="P40" s="3104">
        <f t="shared" si="115"/>
        <v>2.8999999999999998E-3</v>
      </c>
      <c r="Q40" s="3102"/>
      <c r="R40" s="3113"/>
      <c r="S40" s="3113">
        <f>ROUND(IF(项目基本情况!$B$8="出让",SUMPRODUCT(PRODUCT(1+L40:L$46)),SUMPRODUCT(PRODUCT(1+L40:L$45))),4)</f>
        <v>1.0241</v>
      </c>
      <c r="T40" s="3113">
        <f>ROUND(IF(项目基本情况!$B$8="出让",SUMPRODUCT(PRODUCT(1+M40:M$46)),SUMPRODUCT(PRODUCT(1+M40:M$45))),4)</f>
        <v>1.0144</v>
      </c>
      <c r="U40" s="3113">
        <f>ROUND(IF(项目基本情况!$B$8="出让",SUMPRODUCT(PRODUCT(1+N40:N$46)),SUMPRODUCT(PRODUCT(1+N40:N$45))),4)</f>
        <v>1.0467</v>
      </c>
      <c r="V40" s="3113"/>
      <c r="W40" s="3113">
        <f t="shared" si="116"/>
        <v>1.0144</v>
      </c>
      <c r="X40" s="3102"/>
      <c r="Y40" s="3104"/>
      <c r="Z40" s="3122">
        <f t="shared" si="117"/>
        <v>3.8999999999999998E-3</v>
      </c>
      <c r="AA40" s="3123">
        <f t="shared" si="117"/>
        <v>2.7000000000000001E-3</v>
      </c>
      <c r="AB40" s="3104">
        <f t="shared" si="117"/>
        <v>7.9000000000000008E-3</v>
      </c>
      <c r="AC40" s="3124"/>
      <c r="AD40" s="3104">
        <f t="shared" si="117"/>
        <v>2.7000000000000001E-3</v>
      </c>
    </row>
    <row r="41" spans="1:30">
      <c r="A41" s="3085" t="s">
        <v>3239</v>
      </c>
      <c r="B41" s="3134">
        <v>2022</v>
      </c>
      <c r="C41" s="3135">
        <v>2</v>
      </c>
      <c r="D41" s="3135"/>
      <c r="E41" s="3135">
        <v>-0.11</v>
      </c>
      <c r="F41" s="3135">
        <v>-0.13</v>
      </c>
      <c r="G41" s="3135">
        <v>0.53</v>
      </c>
      <c r="H41" s="3141"/>
      <c r="I41" s="3136">
        <f t="shared" si="88"/>
        <v>-0.13</v>
      </c>
      <c r="J41" s="3102"/>
      <c r="K41" s="3103"/>
      <c r="L41" s="3104">
        <f t="shared" si="89"/>
        <v>-1.1000000000000001E-3</v>
      </c>
      <c r="M41" s="3104">
        <f t="shared" si="89"/>
        <v>-1.2999999999999999E-3</v>
      </c>
      <c r="N41" s="3104">
        <f t="shared" si="89"/>
        <v>5.3E-3</v>
      </c>
      <c r="O41" s="3104"/>
      <c r="P41" s="3104">
        <f t="shared" si="115"/>
        <v>-1.2999999999999999E-3</v>
      </c>
      <c r="Q41" s="3102"/>
      <c r="R41" s="3113"/>
      <c r="S41" s="3113">
        <f>ROUND(IF(项目基本情况!$B$8="出让",SUMPRODUCT(PRODUCT(1+L41:L$46)),SUMPRODUCT(PRODUCT(1+L41:L$45))),4)</f>
        <v>1.0210999999999999</v>
      </c>
      <c r="T41" s="3113">
        <f>ROUND(IF(项目基本情况!$B$8="出让",SUMPRODUCT(PRODUCT(1+M41:M$46)),SUMPRODUCT(PRODUCT(1+M41:M$45))),4)</f>
        <v>1.0114000000000001</v>
      </c>
      <c r="U41" s="3113">
        <f>ROUND(IF(项目基本情况!$B$8="出让",SUMPRODUCT(PRODUCT(1+N41:N$46)),SUMPRODUCT(PRODUCT(1+N41:N$45))),4)</f>
        <v>1.0381</v>
      </c>
      <c r="V41" s="3113"/>
      <c r="W41" s="3113">
        <f t="shared" si="116"/>
        <v>1.0114000000000001</v>
      </c>
      <c r="X41" s="3102"/>
      <c r="Y41" s="3104"/>
      <c r="Z41" s="3122">
        <f t="shared" si="117"/>
        <v>4.1000000000000003E-3</v>
      </c>
      <c r="AA41" s="3123">
        <f t="shared" si="117"/>
        <v>2.7000000000000001E-3</v>
      </c>
      <c r="AB41" s="3104">
        <f t="shared" si="117"/>
        <v>7.9000000000000008E-3</v>
      </c>
      <c r="AC41" s="3124"/>
      <c r="AD41" s="3104">
        <f t="shared" si="117"/>
        <v>2.7000000000000001E-3</v>
      </c>
    </row>
    <row r="42" spans="1:30">
      <c r="A42" s="3085" t="s">
        <v>2775</v>
      </c>
      <c r="B42" s="3134">
        <v>2022</v>
      </c>
      <c r="C42" s="3135">
        <v>1</v>
      </c>
      <c r="D42" s="3135"/>
      <c r="E42" s="3135">
        <v>0.6</v>
      </c>
      <c r="F42" s="3135">
        <v>0.45</v>
      </c>
      <c r="G42" s="3135">
        <v>0.53</v>
      </c>
      <c r="H42" s="3141"/>
      <c r="I42" s="3136">
        <f t="shared" si="88"/>
        <v>0.45</v>
      </c>
      <c r="J42" s="3102"/>
      <c r="K42" s="3103"/>
      <c r="L42" s="3104">
        <f t="shared" si="89"/>
        <v>6.0000000000000001E-3</v>
      </c>
      <c r="M42" s="3104">
        <f t="shared" si="89"/>
        <v>4.5000000000000005E-3</v>
      </c>
      <c r="N42" s="3104">
        <f t="shared" si="89"/>
        <v>5.3E-3</v>
      </c>
      <c r="O42" s="3104"/>
      <c r="P42" s="3104">
        <f t="shared" si="115"/>
        <v>4.5000000000000005E-3</v>
      </c>
      <c r="Q42" s="3102"/>
      <c r="R42" s="3113"/>
      <c r="S42" s="3113">
        <f>ROUND(IF(项目基本情况!$B$8="出让",SUMPRODUCT(PRODUCT(1+L42:L$46)),SUMPRODUCT(PRODUCT(1+L42:L$45))),4)</f>
        <v>1.0222</v>
      </c>
      <c r="T42" s="3113">
        <f>ROUND(IF(项目基本情况!$B$8="出让",SUMPRODUCT(PRODUCT(1+M42:M$46)),SUMPRODUCT(PRODUCT(1+M42:M$45))),4)</f>
        <v>1.0127999999999999</v>
      </c>
      <c r="U42" s="3113">
        <f>ROUND(IF(项目基本情况!$B$8="出让",SUMPRODUCT(PRODUCT(1+N42:N$46)),SUMPRODUCT(PRODUCT(1+N42:N$45))),4)</f>
        <v>1.0326</v>
      </c>
      <c r="V42" s="3113"/>
      <c r="W42" s="3113">
        <f t="shared" si="116"/>
        <v>1.0127999999999999</v>
      </c>
      <c r="X42" s="3102"/>
      <c r="Y42" s="3104"/>
      <c r="Z42" s="3122">
        <f t="shared" si="117"/>
        <v>5.1000000000000004E-3</v>
      </c>
      <c r="AA42" s="3123">
        <f t="shared" si="117"/>
        <v>3.5000000000000001E-3</v>
      </c>
      <c r="AB42" s="3104">
        <f t="shared" si="117"/>
        <v>8.3999999999999995E-3</v>
      </c>
      <c r="AC42" s="3124"/>
      <c r="AD42" s="3104">
        <f t="shared" si="117"/>
        <v>3.5000000000000001E-3</v>
      </c>
    </row>
    <row r="43" spans="1:30">
      <c r="A43" s="3085" t="s">
        <v>2776</v>
      </c>
      <c r="B43" s="3134">
        <v>2021</v>
      </c>
      <c r="C43" s="3135">
        <v>4</v>
      </c>
      <c r="D43" s="3135"/>
      <c r="E43" s="3135">
        <v>0.57999999999999996</v>
      </c>
      <c r="F43" s="3135">
        <v>0.08</v>
      </c>
      <c r="G43" s="3135">
        <v>0.68</v>
      </c>
      <c r="H43" s="3141"/>
      <c r="I43" s="3136">
        <f t="shared" si="88"/>
        <v>0.08</v>
      </c>
      <c r="J43" s="3102"/>
      <c r="K43" s="3103"/>
      <c r="L43" s="3104">
        <f t="shared" si="89"/>
        <v>5.7999999999999996E-3</v>
      </c>
      <c r="M43" s="3104">
        <f t="shared" si="89"/>
        <v>8.0000000000000004E-4</v>
      </c>
      <c r="N43" s="3104">
        <f t="shared" si="89"/>
        <v>6.8000000000000005E-3</v>
      </c>
      <c r="O43" s="3104"/>
      <c r="P43" s="3104">
        <f t="shared" si="115"/>
        <v>8.0000000000000004E-4</v>
      </c>
      <c r="Q43" s="3102"/>
      <c r="R43" s="3113"/>
      <c r="S43" s="3113">
        <f>ROUND(IF(项目基本情况!$B$8="出让",SUMPRODUCT(PRODUCT(1+L43:L$46)),SUMPRODUCT(PRODUCT(1+L43:L$45))),4)</f>
        <v>1.0161</v>
      </c>
      <c r="T43" s="3113">
        <f>ROUND(IF(项目基本情况!$B$8="出让",SUMPRODUCT(PRODUCT(1+M43:M$46)),SUMPRODUCT(PRODUCT(1+M43:M$45))),4)</f>
        <v>1.0082</v>
      </c>
      <c r="U43" s="3113">
        <f>ROUND(IF(项目基本情况!$B$8="出让",SUMPRODUCT(PRODUCT(1+N43:N$46)),SUMPRODUCT(PRODUCT(1+N43:N$45))),4)</f>
        <v>1.0270999999999999</v>
      </c>
      <c r="V43" s="3113"/>
      <c r="W43" s="3113">
        <f t="shared" si="116"/>
        <v>1.0082</v>
      </c>
      <c r="X43" s="3102"/>
      <c r="Y43" s="3104"/>
      <c r="Z43" s="3122">
        <f t="shared" si="117"/>
        <v>4.8999999999999998E-3</v>
      </c>
      <c r="AA43" s="3123">
        <f t="shared" si="117"/>
        <v>3.3E-3</v>
      </c>
      <c r="AB43" s="3104">
        <f t="shared" si="117"/>
        <v>9.1999999999999998E-3</v>
      </c>
      <c r="AC43" s="3124"/>
      <c r="AD43" s="3104">
        <f t="shared" si="117"/>
        <v>3.3E-3</v>
      </c>
    </row>
    <row r="44" spans="1:30">
      <c r="A44" s="3085" t="s">
        <v>2777</v>
      </c>
      <c r="B44" s="3134">
        <v>2021</v>
      </c>
      <c r="C44" s="3135">
        <v>3</v>
      </c>
      <c r="D44" s="3135"/>
      <c r="E44" s="3135">
        <v>0.47</v>
      </c>
      <c r="F44" s="3135">
        <v>0.28000000000000003</v>
      </c>
      <c r="G44" s="3135">
        <v>0.91</v>
      </c>
      <c r="H44" s="3141"/>
      <c r="I44" s="3136">
        <f t="shared" si="88"/>
        <v>0.28000000000000003</v>
      </c>
      <c r="J44" s="3102"/>
      <c r="K44" s="3103"/>
      <c r="L44" s="3104">
        <f t="shared" si="89"/>
        <v>4.6999999999999993E-3</v>
      </c>
      <c r="M44" s="3104">
        <f t="shared" si="89"/>
        <v>2.8000000000000004E-3</v>
      </c>
      <c r="N44" s="3104">
        <f t="shared" si="89"/>
        <v>9.1000000000000004E-3</v>
      </c>
      <c r="O44" s="3104"/>
      <c r="P44" s="3104">
        <f t="shared" si="115"/>
        <v>2.8000000000000004E-3</v>
      </c>
      <c r="Q44" s="3102"/>
      <c r="R44" s="3113"/>
      <c r="S44" s="3113">
        <f>ROUND(IF(项目基本情况!$B$8="出让",SUMPRODUCT(PRODUCT(1+L44:L$46)),SUMPRODUCT(PRODUCT(1+L44:L$45))),4)</f>
        <v>1.0102</v>
      </c>
      <c r="T44" s="3113">
        <f>ROUND(IF(项目基本情况!$B$8="出让",SUMPRODUCT(PRODUCT(1+M44:M$46)),SUMPRODUCT(PRODUCT(1+M44:M$45))),4)</f>
        <v>1.0074000000000001</v>
      </c>
      <c r="U44" s="3113">
        <f>ROUND(IF(项目基本情况!$B$8="出让",SUMPRODUCT(PRODUCT(1+N44:N$46)),SUMPRODUCT(PRODUCT(1+N44:N$45))),4)</f>
        <v>1.0202</v>
      </c>
      <c r="V44" s="3113"/>
      <c r="W44" s="3113">
        <f t="shared" si="116"/>
        <v>1.0074000000000001</v>
      </c>
      <c r="X44" s="3102"/>
      <c r="Y44" s="3104"/>
      <c r="Z44" s="3122">
        <f t="shared" si="117"/>
        <v>4.5999999999999999E-3</v>
      </c>
      <c r="AA44" s="3123">
        <f t="shared" si="117"/>
        <v>4.1000000000000003E-3</v>
      </c>
      <c r="AB44" s="3104">
        <f t="shared" si="117"/>
        <v>0.01</v>
      </c>
      <c r="AC44" s="3124"/>
      <c r="AD44" s="3104">
        <f t="shared" si="117"/>
        <v>4.1000000000000003E-3</v>
      </c>
    </row>
    <row r="45" spans="1:30">
      <c r="A45" s="3085" t="s">
        <v>2781</v>
      </c>
      <c r="B45" s="3134">
        <v>2021</v>
      </c>
      <c r="C45" s="3135">
        <v>2</v>
      </c>
      <c r="D45" s="3135"/>
      <c r="E45" s="3135">
        <v>0.55000000000000004</v>
      </c>
      <c r="F45" s="3135">
        <v>0.46</v>
      </c>
      <c r="G45" s="3135">
        <v>1.1000000000000001</v>
      </c>
      <c r="H45" s="3141"/>
      <c r="I45" s="3136">
        <f t="shared" si="88"/>
        <v>0.46</v>
      </c>
      <c r="J45" s="3102"/>
      <c r="K45" s="3103"/>
      <c r="L45" s="3104">
        <f t="shared" si="89"/>
        <v>5.5000000000000005E-3</v>
      </c>
      <c r="M45" s="3104">
        <f t="shared" si="89"/>
        <v>4.5999999999999999E-3</v>
      </c>
      <c r="N45" s="3104">
        <f t="shared" si="89"/>
        <v>1.1000000000000001E-2</v>
      </c>
      <c r="O45" s="3104"/>
      <c r="P45" s="3104">
        <f t="shared" si="115"/>
        <v>4.5999999999999999E-3</v>
      </c>
      <c r="Q45" s="3102"/>
      <c r="R45" s="3113"/>
      <c r="S45" s="3113">
        <f>ROUND(IF(项目基本情况!$B$8="出让",SUMPRODUCT(PRODUCT(1+L45:L$46)),SUMPRODUCT(PRODUCT(1+L45:L$45))),4)</f>
        <v>1.0055000000000001</v>
      </c>
      <c r="T45" s="3113">
        <f>ROUND(IF(项目基本情况!$B$8="出让",SUMPRODUCT(PRODUCT(1+M45:M$46)),SUMPRODUCT(PRODUCT(1+M45:M$45))),4)</f>
        <v>1.0045999999999999</v>
      </c>
      <c r="U45" s="3113">
        <f>ROUND(IF(项目基本情况!$B$8="出让",SUMPRODUCT(PRODUCT(1+N45:N$46)),SUMPRODUCT(PRODUCT(1+N45:N$45))),4)</f>
        <v>1.0109999999999999</v>
      </c>
      <c r="V45" s="3113"/>
      <c r="W45" s="3113">
        <f t="shared" si="116"/>
        <v>1.0045999999999999</v>
      </c>
      <c r="X45" s="3102"/>
      <c r="Y45" s="3104"/>
      <c r="Z45" s="3122">
        <f t="shared" si="117"/>
        <v>4.4999999999999997E-3</v>
      </c>
      <c r="AA45" s="3123">
        <f t="shared" si="117"/>
        <v>4.7000000000000002E-3</v>
      </c>
      <c r="AB45" s="3104">
        <f t="shared" si="117"/>
        <v>1.04E-2</v>
      </c>
      <c r="AC45" s="3124"/>
      <c r="AD45" s="3104">
        <f t="shared" si="117"/>
        <v>4.7000000000000002E-3</v>
      </c>
    </row>
    <row r="46" spans="1:30" ht="14.25" thickBot="1">
      <c r="A46" s="3087" t="s">
        <v>2782</v>
      </c>
      <c r="B46" s="3142">
        <v>2021</v>
      </c>
      <c r="C46" s="3143">
        <v>1</v>
      </c>
      <c r="D46" s="3143"/>
      <c r="E46" s="3143">
        <v>0.35</v>
      </c>
      <c r="F46" s="3143">
        <v>0.48</v>
      </c>
      <c r="G46" s="3143">
        <v>0.98</v>
      </c>
      <c r="H46" s="3144"/>
      <c r="I46" s="3145">
        <f t="shared" si="88"/>
        <v>0.48</v>
      </c>
      <c r="J46" s="3108"/>
      <c r="K46" s="3109"/>
      <c r="L46" s="3110">
        <f t="shared" si="89"/>
        <v>3.4999999999999996E-3</v>
      </c>
      <c r="M46" s="3110">
        <f>F46/100</f>
        <v>4.7999999999999996E-3</v>
      </c>
      <c r="N46" s="3110">
        <f t="shared" si="89"/>
        <v>9.7999999999999997E-3</v>
      </c>
      <c r="O46" s="3110"/>
      <c r="P46" s="3110">
        <f t="shared" si="115"/>
        <v>4.7999999999999996E-3</v>
      </c>
      <c r="Q46" s="3108"/>
      <c r="R46" s="3117"/>
      <c r="S46" s="3117">
        <v>1</v>
      </c>
      <c r="T46" s="3117">
        <v>1</v>
      </c>
      <c r="U46" s="3117">
        <v>1</v>
      </c>
      <c r="V46" s="3117"/>
      <c r="W46" s="3117">
        <f t="shared" si="116"/>
        <v>1</v>
      </c>
      <c r="X46" s="3108"/>
      <c r="Y46" s="3110"/>
      <c r="Z46" s="3128">
        <f t="shared" si="117"/>
        <v>3.5000000000000001E-3</v>
      </c>
      <c r="AA46" s="3129">
        <f t="shared" si="117"/>
        <v>4.7999999999999996E-3</v>
      </c>
      <c r="AB46" s="3110">
        <f t="shared" si="117"/>
        <v>9.7999999999999997E-3</v>
      </c>
      <c r="AC46" s="3130"/>
      <c r="AD46" s="3110">
        <f t="shared" si="117"/>
        <v>4.7999999999999996E-3</v>
      </c>
    </row>
    <row r="47" spans="1:30" ht="14.25" thickTop="1"/>
    <row r="48" spans="1:30">
      <c r="A48" s="3386" t="s">
        <v>3264</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1726</v>
      </c>
      <c r="F1" s="1948">
        <f ca="1">J54</f>
        <v>-2</v>
      </c>
      <c r="G1" s="709">
        <f>MATCH(C1,'数据-取费表'!A6:A16,0)+5</f>
        <v>11</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1800</v>
      </c>
      <c r="C7" s="49">
        <f ca="1">C8+C12+C14</f>
        <v>0</v>
      </c>
      <c r="D7" s="2001" t="s">
        <v>1803</v>
      </c>
      <c r="E7" s="1995"/>
      <c r="F7" s="1996"/>
      <c r="G7" s="1144"/>
      <c r="H7" s="716">
        <v>1</v>
      </c>
      <c r="I7" s="717" t="s">
        <v>1800</v>
      </c>
      <c r="J7" s="49">
        <f ca="1">J8+J12+J14</f>
        <v>0</v>
      </c>
      <c r="K7" s="2001" t="s">
        <v>1803</v>
      </c>
      <c r="L7" s="1995"/>
      <c r="M7" s="1996"/>
    </row>
    <row r="8" spans="1:25" ht="18" customHeight="1">
      <c r="A8" s="1521" t="s">
        <v>1353</v>
      </c>
      <c r="B8" s="3675" t="s">
        <v>1805</v>
      </c>
      <c r="C8" s="1516">
        <f ca="1">ROUND(F8*F10*F9*(1-F11)/10000,0)</f>
        <v>0</v>
      </c>
      <c r="D8" s="317" t="s">
        <v>1815</v>
      </c>
      <c r="E8" s="57" t="s">
        <v>585</v>
      </c>
      <c r="F8" s="720">
        <f ca="1">INDIRECT("'数据-取费表'!u"&amp;$G$1)</f>
        <v>0</v>
      </c>
      <c r="G8" s="1144"/>
      <c r="H8" s="2009" t="s">
        <v>1353</v>
      </c>
      <c r="I8" s="3675" t="s">
        <v>1805</v>
      </c>
      <c r="J8" s="718">
        <f ca="1">ROUND(M8*M10*M9*(1-M11)/10000,0)</f>
        <v>0</v>
      </c>
      <c r="K8" s="315" t="s">
        <v>1815</v>
      </c>
      <c r="L8" s="719" t="s">
        <v>1267</v>
      </c>
      <c r="M8" s="720">
        <f ca="1">INDIRECT("'数据-取费表'!z"&amp;$G$1)</f>
        <v>0</v>
      </c>
    </row>
    <row r="9" spans="1:25" ht="18" customHeight="1">
      <c r="A9" s="2005"/>
      <c r="B9" s="3676"/>
      <c r="C9" s="1517"/>
      <c r="D9" s="330"/>
      <c r="E9" s="57" t="s">
        <v>586</v>
      </c>
      <c r="F9" s="720">
        <f ca="1">IF(INDIRECT("'数据-取费表'!ah"&amp;$G$1)="",INDIRECT("'数据-取费表'!k"&amp;$G$1),INDIRECT("'数据-取费表'!ah"&amp;$G$1))</f>
        <v>0</v>
      </c>
      <c r="G9" s="1144"/>
      <c r="H9" s="1994"/>
      <c r="I9" s="3676"/>
      <c r="J9" s="723"/>
      <c r="K9" s="724"/>
      <c r="L9" s="719" t="s">
        <v>1268</v>
      </c>
      <c r="M9" s="720">
        <f ca="1">F9</f>
        <v>0</v>
      </c>
    </row>
    <row r="10" spans="1:25" ht="18" customHeight="1">
      <c r="A10" s="1998"/>
      <c r="B10" s="3677"/>
      <c r="C10" s="1517"/>
      <c r="D10" s="330"/>
      <c r="E10" s="57" t="s">
        <v>587</v>
      </c>
      <c r="F10" s="720">
        <f ca="1">INDIRECT("'数据-取费表'!ai"&amp;$G$1)</f>
        <v>0</v>
      </c>
      <c r="G10" s="1144"/>
      <c r="H10" s="1994"/>
      <c r="I10" s="3677"/>
      <c r="J10" s="723"/>
      <c r="K10" s="724"/>
      <c r="L10" s="719" t="s">
        <v>1269</v>
      </c>
      <c r="M10" s="720">
        <f ca="1">INDIRECT("'数据-取费表'!ai"&amp;$G$1)</f>
        <v>0</v>
      </c>
    </row>
    <row r="11" spans="1:25" ht="18" customHeight="1">
      <c r="A11" s="721"/>
      <c r="B11" s="3678"/>
      <c r="C11" s="1517"/>
      <c r="D11" s="330"/>
      <c r="E11" s="57" t="s">
        <v>588</v>
      </c>
      <c r="F11" s="729">
        <f ca="1">INDIRECT("'数据-取费表'!w"&amp;$G$1)</f>
        <v>0</v>
      </c>
      <c r="G11" s="1144"/>
      <c r="H11" s="2010"/>
      <c r="I11" s="3677"/>
      <c r="J11" s="723"/>
      <c r="K11" s="724"/>
      <c r="L11" s="730" t="s">
        <v>1270</v>
      </c>
      <c r="M11" s="731">
        <f ca="1">INDIRECT("'数据-取费表'!ab"&amp;$G$1)</f>
        <v>0</v>
      </c>
    </row>
    <row r="12" spans="1:25" ht="18" customHeight="1">
      <c r="A12" s="1521" t="s">
        <v>1354</v>
      </c>
      <c r="B12" s="1999" t="s">
        <v>1801</v>
      </c>
      <c r="C12" s="734">
        <f ca="1">ROUND(IF(F12="押一",C8/12*F13,IF(F12="押二",C8/12*2*F13,IF(F12="押三",C8/12*3*F13,C13*F13))),0)</f>
        <v>0</v>
      </c>
      <c r="D12" s="2006" t="s">
        <v>2225</v>
      </c>
      <c r="E12" s="2003" t="s">
        <v>1806</v>
      </c>
      <c r="F12" s="2076"/>
      <c r="G12" s="1144"/>
      <c r="H12" s="2037" t="s">
        <v>1354</v>
      </c>
      <c r="I12" s="2041" t="s">
        <v>1801</v>
      </c>
      <c r="J12" s="718">
        <f ca="1">ROUND(IF(M12="押一",J8/12*M13,IF(M12="押二",J8/12*2*M13,IF(M12="押三",J8/12*3*M13,J13*M13))),0)</f>
        <v>0</v>
      </c>
      <c r="K12" s="2006" t="s">
        <v>2225</v>
      </c>
      <c r="L12" s="2003" t="s">
        <v>1806</v>
      </c>
      <c r="M12" s="2076"/>
    </row>
    <row r="13" spans="1:25" ht="18" customHeight="1">
      <c r="A13" s="725"/>
      <c r="B13" s="2000" t="s">
        <v>1854</v>
      </c>
      <c r="C13" s="2004"/>
      <c r="D13" s="724"/>
      <c r="E13" s="2003" t="s">
        <v>1799</v>
      </c>
      <c r="F13" s="731">
        <f ca="1">'数据-取费表'!B39</f>
        <v>1.4999999999999999E-2</v>
      </c>
      <c r="G13" s="1144"/>
      <c r="H13" s="2038"/>
      <c r="I13" s="2000" t="s">
        <v>1854</v>
      </c>
      <c r="J13" s="2004"/>
      <c r="K13" s="287"/>
      <c r="L13" s="2003" t="s">
        <v>1799</v>
      </c>
      <c r="M13" s="1997">
        <f ca="1">'数据-取费表'!B39</f>
        <v>1.4999999999999999E-2</v>
      </c>
    </row>
    <row r="14" spans="1:25" ht="18" customHeight="1" thickBot="1">
      <c r="A14" s="2013" t="s">
        <v>1809</v>
      </c>
      <c r="B14" s="2014" t="s">
        <v>1802</v>
      </c>
      <c r="C14" s="2015"/>
      <c r="D14" s="2016"/>
      <c r="E14" s="2017"/>
      <c r="F14" s="2018"/>
      <c r="G14" s="1144"/>
      <c r="H14" s="2027" t="s">
        <v>1809</v>
      </c>
      <c r="I14" s="2039" t="s">
        <v>1802</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1585</v>
      </c>
      <c r="I16" s="1825" t="s">
        <v>2100</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1586</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1585</v>
      </c>
      <c r="I19" s="719"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3237</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0.03</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1586</v>
      </c>
      <c r="I24" s="719" t="s">
        <v>623</v>
      </c>
      <c r="J24" s="49">
        <f ca="1">ROUND(J16*M24,0)</f>
        <v>0</v>
      </c>
      <c r="K24" s="906" t="s">
        <v>624</v>
      </c>
      <c r="L24" s="719" t="s">
        <v>597</v>
      </c>
      <c r="M24" s="751">
        <f ca="1">INDIRECT("'数据-取费表'!Ak"&amp;$G$1)</f>
        <v>0</v>
      </c>
    </row>
    <row r="25" spans="1:25" s="1676" customFormat="1" ht="18" customHeight="1">
      <c r="A25" s="738" t="s">
        <v>1400</v>
      </c>
      <c r="B25" s="719" t="s">
        <v>1782</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8.9999999999999998E-4</v>
      </c>
      <c r="D26" s="2044" t="str">
        <f>IF(F25&lt;=1,"销售费用×利率×(建设周期÷2)","销售费用×((1+利率)^(建设周期÷2)-1)")</f>
        <v>销售费用×((1+利率)^(建设周期÷2)-1)</v>
      </c>
      <c r="E26" s="719" t="s">
        <v>629</v>
      </c>
      <c r="F26" s="753">
        <f ca="1">'数据-取费表'!B40</f>
        <v>3.1E-2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7" t="s">
        <v>2097</v>
      </c>
      <c r="J27" s="734">
        <f ca="1">J7-J18</f>
        <v>0</v>
      </c>
      <c r="K27" s="905" t="s">
        <v>647</v>
      </c>
      <c r="L27" s="903"/>
      <c r="M27" s="754"/>
    </row>
    <row r="28" spans="1:25" ht="18" customHeight="1">
      <c r="A28" s="738" t="s">
        <v>1400</v>
      </c>
      <c r="B28" s="719" t="s">
        <v>1783</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2098</v>
      </c>
      <c r="C31" s="2020">
        <f ca="1">ROUND((C21+C22+C25+C28)/(1-F23-C26-C29-C30),0)</f>
        <v>0</v>
      </c>
      <c r="D31" s="2021"/>
      <c r="E31" s="2022"/>
      <c r="F31" s="2023"/>
      <c r="G31" s="1325"/>
      <c r="H31" s="757" t="s">
        <v>1397</v>
      </c>
      <c r="I31" s="2298" t="s">
        <v>2099</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8"/>
      <c r="H33" s="2756" t="s">
        <v>2274</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3237</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728"/>
      <c r="J36" s="1690"/>
      <c r="K36" s="1691"/>
      <c r="L36" s="1690"/>
      <c r="M36" s="1690"/>
    </row>
    <row r="37" spans="1:18" ht="18" customHeight="1">
      <c r="A37" s="749"/>
      <c r="B37" s="728"/>
      <c r="C37" s="65"/>
      <c r="D37" s="750"/>
      <c r="E37" s="719" t="s">
        <v>621</v>
      </c>
      <c r="F37" s="720">
        <f ca="1">INDIRECT("'数据-取费表'!r"&amp;$G$1)</f>
        <v>0</v>
      </c>
      <c r="G37" s="1668"/>
      <c r="H37" s="1677"/>
      <c r="I37" s="3728"/>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59" t="s">
        <v>2215</v>
      </c>
      <c r="F43" s="2360">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1" t="s">
        <v>2218</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1695</v>
      </c>
      <c r="J47" s="1940"/>
      <c r="K47" s="1941"/>
      <c r="L47" s="2374" t="e">
        <f ca="1">IF(M48="住宅",0,IF(L49&gt;J52,L61,J61))</f>
        <v>#DIV/0!</v>
      </c>
      <c r="O47" s="1953" t="s">
        <v>1762</v>
      </c>
      <c r="P47" s="1144"/>
      <c r="Q47" s="1330"/>
      <c r="R47" s="1144"/>
    </row>
    <row r="48" spans="1:18" s="1672" customFormat="1" ht="18" customHeight="1" thickBot="1">
      <c r="A48" s="1694"/>
      <c r="C48" s="1697"/>
      <c r="D48" s="1695"/>
      <c r="E48" s="1695"/>
      <c r="F48" s="1698"/>
      <c r="G48" s="1699"/>
      <c r="I48" s="2366" t="s">
        <v>1696</v>
      </c>
      <c r="J48" s="1942"/>
      <c r="K48" s="2371" t="s">
        <v>1701</v>
      </c>
      <c r="L48" s="2375">
        <f ca="1">INDIRECT("'数据-取费表'!d"&amp;$G$1)</f>
        <v>0</v>
      </c>
      <c r="M48" s="2358" t="str">
        <f>IF(ISNUMBER(FIND("住宅",C1)),"住宅","非住宅")</f>
        <v>非住宅</v>
      </c>
      <c r="O48" s="1954" t="s">
        <v>1727</v>
      </c>
      <c r="P48" s="1955" t="s">
        <v>1728</v>
      </c>
      <c r="Q48" s="1956" t="s">
        <v>1729</v>
      </c>
      <c r="R48" s="1955" t="s">
        <v>1730</v>
      </c>
    </row>
    <row r="49" spans="1:18" s="1672" customFormat="1" ht="18" customHeight="1" thickBot="1">
      <c r="A49" s="1694"/>
      <c r="D49" s="1700"/>
      <c r="E49" s="1701"/>
      <c r="F49" s="1698"/>
      <c r="G49" s="1699"/>
      <c r="H49" s="1702"/>
      <c r="I49" s="2363" t="s">
        <v>1697</v>
      </c>
      <c r="J49" s="1943"/>
      <c r="K49" s="2372" t="s">
        <v>1703</v>
      </c>
      <c r="L49" s="1567">
        <f ca="1">INDIRECT("'数据-取费表'!f"&amp;$G$1)</f>
        <v>0</v>
      </c>
      <c r="O49" s="1957" t="s">
        <v>1731</v>
      </c>
      <c r="P49" s="1958" t="s">
        <v>1757</v>
      </c>
      <c r="Q49" s="1959">
        <f ca="1">C41+J31</f>
        <v>0</v>
      </c>
      <c r="R49" s="1958" t="s">
        <v>1732</v>
      </c>
    </row>
    <row r="50" spans="1:18" s="1672" customFormat="1" ht="18" customHeight="1" thickBot="1">
      <c r="A50" s="1694"/>
      <c r="D50" s="1703"/>
      <c r="E50" s="1703"/>
      <c r="F50" s="1695"/>
      <c r="H50" s="1702"/>
      <c r="I50" s="2363" t="s">
        <v>1698</v>
      </c>
      <c r="J50" s="1944"/>
      <c r="K50" s="2373" t="s">
        <v>1704</v>
      </c>
      <c r="L50" s="1566"/>
      <c r="O50" s="1957" t="s">
        <v>1733</v>
      </c>
      <c r="P50" s="1958" t="s">
        <v>1758</v>
      </c>
      <c r="Q50" s="1959" t="e">
        <f ca="1">J61</f>
        <v>#DIV/0!</v>
      </c>
      <c r="R50" s="1958" t="s">
        <v>1734</v>
      </c>
    </row>
    <row r="51" spans="1:18" s="1672" customFormat="1" ht="18" customHeight="1" thickBot="1">
      <c r="A51" s="1704"/>
      <c r="D51" s="1703"/>
      <c r="E51" s="1703"/>
      <c r="F51" s="1695"/>
      <c r="H51" s="1702"/>
      <c r="I51" s="2363" t="s">
        <v>1699</v>
      </c>
      <c r="J51" s="2370">
        <f>SUMPRODUCT((I64:I66=J48)*(J63:L63=J49)*(J64:L66))</f>
        <v>0</v>
      </c>
      <c r="K51" s="2373" t="s">
        <v>1705</v>
      </c>
      <c r="L51" s="1566"/>
      <c r="O51" s="1960" t="s">
        <v>1735</v>
      </c>
      <c r="P51" s="1958" t="s">
        <v>1759</v>
      </c>
      <c r="Q51" s="1959">
        <f ca="1">C31</f>
        <v>0</v>
      </c>
      <c r="R51" s="1958" t="s">
        <v>1732</v>
      </c>
    </row>
    <row r="52" spans="1:18" s="1672" customFormat="1" ht="18" customHeight="1" thickBot="1">
      <c r="A52" s="1704"/>
      <c r="F52" s="1695"/>
      <c r="I52" s="2367" t="s">
        <v>1700</v>
      </c>
      <c r="J52" s="1567">
        <f>IF(J50="",J51,J50+J51-YEAR('数据-取费表'!B3))</f>
        <v>0</v>
      </c>
      <c r="K52" s="2363" t="s">
        <v>1706</v>
      </c>
      <c r="L52" s="2376">
        <f ca="1">C45</f>
        <v>0</v>
      </c>
      <c r="O52" s="1960" t="s">
        <v>1736</v>
      </c>
      <c r="P52" s="1958" t="s">
        <v>1737</v>
      </c>
      <c r="Q52" s="1961" t="e">
        <f ca="1">J59</f>
        <v>#DIV/0!</v>
      </c>
      <c r="R52" s="1962"/>
    </row>
    <row r="53" spans="1:18" s="1672" customFormat="1" ht="18" customHeight="1" thickBot="1">
      <c r="A53" s="1704"/>
      <c r="F53" s="1695"/>
      <c r="I53" s="2368" t="s">
        <v>1773</v>
      </c>
      <c r="J53" s="1945"/>
      <c r="K53" s="2368" t="s">
        <v>1772</v>
      </c>
      <c r="L53" s="1945"/>
      <c r="O53" s="1960" t="s">
        <v>1738</v>
      </c>
      <c r="P53" s="1958" t="s">
        <v>1739</v>
      </c>
      <c r="Q53" s="1961">
        <f>J53</f>
        <v>0</v>
      </c>
      <c r="R53" s="1962"/>
    </row>
    <row r="54" spans="1:18" s="1672" customFormat="1" ht="29.25" thickBot="1">
      <c r="A54" s="1704"/>
      <c r="I54" s="2369" t="s">
        <v>2229</v>
      </c>
      <c r="J54" s="2415">
        <f ca="1">IF(M48="住宅",MAX(J52,L49-'数据-取费表'!B20),MIN(J52,L49-'数据-取费表'!B20))</f>
        <v>-2</v>
      </c>
      <c r="K54" s="3729"/>
      <c r="L54" s="3730"/>
      <c r="O54" s="1960" t="s">
        <v>1740</v>
      </c>
      <c r="P54" s="1958" t="s">
        <v>1741</v>
      </c>
      <c r="Q54" s="1959">
        <f ca="1">J54</f>
        <v>-2</v>
      </c>
      <c r="R54" s="1958" t="s">
        <v>1742</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1743</v>
      </c>
      <c r="P55" s="1958" t="s">
        <v>1760</v>
      </c>
      <c r="Q55" s="1959" t="e">
        <f ca="1">Q49+Q50</f>
        <v>#DIV/0!</v>
      </c>
      <c r="R55" s="1962" t="s">
        <v>1744</v>
      </c>
    </row>
    <row r="56" spans="1:18" s="1672" customFormat="1" ht="16.5" thickBot="1">
      <c r="A56" s="1704"/>
      <c r="B56" s="1705"/>
      <c r="C56" s="1705"/>
      <c r="I56" s="2379" t="s">
        <v>1707</v>
      </c>
      <c r="J56" s="2352" t="e">
        <f ca="1">ROUND(IF(J48="钢混",J58/J51,1-(1-2%)*(J51-J58)/J51),3)</f>
        <v>#DIV/0!</v>
      </c>
      <c r="K56" s="2380" t="s">
        <v>1708</v>
      </c>
      <c r="L56" s="1946"/>
      <c r="O56" s="1963" t="s">
        <v>1763</v>
      </c>
      <c r="P56" s="1144"/>
      <c r="Q56" s="1330"/>
      <c r="R56" s="1144"/>
    </row>
    <row r="57" spans="1:18" s="1672" customFormat="1" ht="43.5" thickBot="1">
      <c r="A57" s="1704"/>
      <c r="B57" s="1705"/>
      <c r="C57" s="1705"/>
      <c r="I57" s="2381" t="s">
        <v>1709</v>
      </c>
      <c r="J57" s="2391"/>
      <c r="K57" s="2363" t="s">
        <v>1714</v>
      </c>
      <c r="L57" s="1567">
        <f ca="1">IF(L49&lt;J52,"——",L49-J52)</f>
        <v>0</v>
      </c>
      <c r="O57" s="1954" t="s">
        <v>1727</v>
      </c>
      <c r="P57" s="1955" t="s">
        <v>1728</v>
      </c>
      <c r="Q57" s="1956" t="s">
        <v>1729</v>
      </c>
      <c r="R57" s="1955" t="s">
        <v>1730</v>
      </c>
    </row>
    <row r="58" spans="1:18" s="1672" customFormat="1" ht="29.25" thickBot="1">
      <c r="A58" s="1704"/>
      <c r="B58" s="1705"/>
      <c r="C58" s="1705"/>
      <c r="I58" s="2382" t="s">
        <v>1710</v>
      </c>
      <c r="J58" s="2383">
        <f ca="1">IF(OR(M48="住宅",J52&lt;L49,J57="是"),"——",J52-L49)</f>
        <v>0</v>
      </c>
      <c r="K58" s="2363" t="s">
        <v>1715</v>
      </c>
      <c r="L58" s="1567">
        <f ca="1">IF(L49&lt;J52,"——",IF(L56="比较法",L50,IF(L56="基准地价",L51,L52)))</f>
        <v>0</v>
      </c>
      <c r="O58" s="1957" t="s">
        <v>1731</v>
      </c>
      <c r="P58" s="1958" t="s">
        <v>1757</v>
      </c>
      <c r="Q58" s="1959">
        <f ca="1">C41+J31</f>
        <v>0</v>
      </c>
      <c r="R58" s="1958" t="s">
        <v>1732</v>
      </c>
    </row>
    <row r="59" spans="1:18" s="1672" customFormat="1" ht="29.25" thickBot="1">
      <c r="A59" s="1704"/>
      <c r="B59" s="1705"/>
      <c r="C59" s="1705"/>
      <c r="I59" s="2382" t="s">
        <v>1711</v>
      </c>
      <c r="J59" s="2353" t="e">
        <f ca="1">IF(J56&lt;0.4,0.4,J56)</f>
        <v>#DIV/0!</v>
      </c>
      <c r="K59" s="2363" t="s">
        <v>1716</v>
      </c>
      <c r="L59" s="1567">
        <f ca="1">IF(ISERROR(POWER(1+L53,L48-L49)*(POWER(1+L53,L49)-1)/(POWER(1+L53,L48)-1)),0,POWER(1+L53,L48-L49)*(POWER(1+L53,L49)-1)/(POWER(1+L53,L48)-1))</f>
        <v>0</v>
      </c>
      <c r="O59" s="1957" t="s">
        <v>1733</v>
      </c>
      <c r="P59" s="1958" t="s">
        <v>1764</v>
      </c>
      <c r="Q59" s="1959" t="e">
        <f ca="1">L61</f>
        <v>#DIV/0!</v>
      </c>
      <c r="R59" s="1962" t="s">
        <v>1766</v>
      </c>
    </row>
    <row r="60" spans="1:18" s="1672" customFormat="1" ht="29.25" thickBot="1">
      <c r="A60" s="1704"/>
      <c r="B60" s="1705"/>
      <c r="C60" s="1705"/>
      <c r="I60" s="2382" t="s">
        <v>1712</v>
      </c>
      <c r="J60" s="2383" t="e">
        <f ca="1">IF(OR(M48="住宅",J52&lt;L49,J57="是"),"——",ROUND(C30*J59,0))</f>
        <v>#DIV/0!</v>
      </c>
      <c r="K60" s="2363" t="s">
        <v>1717</v>
      </c>
      <c r="L60" s="1567">
        <f ca="1">IF(ISERROR(POWER(1+L53,L48-J52)*(POWER(1+L53,J52)-1)/(POWER(1+L53,L48)-1)),0,POWER(1+L53,L48-J52)*(POWER(1+L53,J52)-1)/(POWER(1+L53,L48)-1))</f>
        <v>0</v>
      </c>
      <c r="O60" s="1960" t="s">
        <v>1735</v>
      </c>
      <c r="P60" s="1958" t="s">
        <v>1765</v>
      </c>
      <c r="Q60" s="1959">
        <f>IF(L56="比较法",L50,IF(L56="基准地价",L51,0))</f>
        <v>0</v>
      </c>
      <c r="R60" s="1958" t="s">
        <v>1732</v>
      </c>
    </row>
    <row r="61" spans="1:18" s="1672" customFormat="1" ht="15.75" thickBot="1">
      <c r="A61" s="1704"/>
      <c r="B61" s="1705"/>
      <c r="C61" s="1705"/>
      <c r="I61" s="2384" t="s">
        <v>1713</v>
      </c>
      <c r="J61" s="2385" t="e">
        <f ca="1">IF(OR(M48="住宅",J52&lt;L49,J57="是"),"0",ROUND(J60/(1+J53)^J54,0))</f>
        <v>#DIV/0!</v>
      </c>
      <c r="K61" s="2386" t="s">
        <v>1718</v>
      </c>
      <c r="L61" s="2385" t="e">
        <f ca="1">IF(OR(M48="住宅",L49&lt;J52),0,ROUND(L58*(L59/L60-1),0))</f>
        <v>#DIV/0!</v>
      </c>
      <c r="O61" s="1960" t="s">
        <v>1736</v>
      </c>
      <c r="P61" s="1958" t="s">
        <v>1745</v>
      </c>
      <c r="Q61" s="1961">
        <f>L53</f>
        <v>0</v>
      </c>
      <c r="R61" s="1962"/>
    </row>
    <row r="62" spans="1:18" s="1672" customFormat="1" ht="20.25" thickBot="1">
      <c r="A62" s="1704"/>
      <c r="B62" s="1705"/>
      <c r="C62" s="1705"/>
      <c r="K62" s="1696"/>
      <c r="O62" s="1960" t="s">
        <v>1738</v>
      </c>
      <c r="P62" s="1958" t="s">
        <v>1746</v>
      </c>
      <c r="Q62" s="1959">
        <f ca="1">L59</f>
        <v>0</v>
      </c>
      <c r="R62" s="1962" t="s">
        <v>1747</v>
      </c>
    </row>
    <row r="63" spans="1:18" s="1672" customFormat="1" ht="20.25" thickBot="1">
      <c r="A63" s="1704"/>
      <c r="B63" s="1705"/>
      <c r="C63" s="1705"/>
      <c r="I63" s="2387" t="s">
        <v>1719</v>
      </c>
      <c r="J63" s="2388" t="s">
        <v>1720</v>
      </c>
      <c r="K63" s="2388" t="s">
        <v>1721</v>
      </c>
      <c r="L63" s="2388" t="s">
        <v>1702</v>
      </c>
      <c r="M63" s="2389" t="s">
        <v>2198</v>
      </c>
      <c r="O63" s="1960" t="s">
        <v>1740</v>
      </c>
      <c r="P63" s="1958" t="s">
        <v>1748</v>
      </c>
      <c r="Q63" s="1959">
        <f ca="1">L60</f>
        <v>0</v>
      </c>
      <c r="R63" s="1962" t="s">
        <v>1749</v>
      </c>
    </row>
    <row r="64" spans="1:18" s="1672" customFormat="1" ht="15.75" thickBot="1">
      <c r="A64" s="1704"/>
      <c r="B64" s="1705"/>
      <c r="C64" s="1705"/>
      <c r="I64" s="2387" t="s">
        <v>1722</v>
      </c>
      <c r="J64" s="2388">
        <v>70</v>
      </c>
      <c r="K64" s="2388">
        <v>50</v>
      </c>
      <c r="L64" s="2388">
        <v>80</v>
      </c>
      <c r="M64" s="2390">
        <v>0.02</v>
      </c>
      <c r="O64" s="1957" t="s">
        <v>1743</v>
      </c>
      <c r="P64" s="1958" t="s">
        <v>1760</v>
      </c>
      <c r="Q64" s="1959" t="e">
        <f ca="1">Q58+Q59</f>
        <v>#DIV/0!</v>
      </c>
      <c r="R64" s="1962" t="s">
        <v>1744</v>
      </c>
    </row>
    <row r="65" spans="1:18" s="1672" customFormat="1" ht="16.5" thickBot="1">
      <c r="A65" s="1704"/>
      <c r="B65" s="1705"/>
      <c r="C65" s="1705"/>
      <c r="I65" s="2387" t="s">
        <v>1723</v>
      </c>
      <c r="J65" s="2388">
        <v>50</v>
      </c>
      <c r="K65" s="2388">
        <v>35</v>
      </c>
      <c r="L65" s="2388">
        <v>60</v>
      </c>
      <c r="M65" s="780">
        <v>0</v>
      </c>
      <c r="O65" s="1963" t="s">
        <v>1767</v>
      </c>
      <c r="P65" s="1144"/>
      <c r="Q65" s="1330"/>
      <c r="R65" s="1144"/>
    </row>
    <row r="66" spans="1:18" s="1672" customFormat="1" ht="15.75" thickBot="1">
      <c r="A66" s="1704"/>
      <c r="B66" s="1705"/>
      <c r="C66" s="1705"/>
      <c r="I66" s="2387" t="s">
        <v>1724</v>
      </c>
      <c r="J66" s="2388">
        <v>40</v>
      </c>
      <c r="K66" s="2388">
        <v>30</v>
      </c>
      <c r="L66" s="2388">
        <v>50</v>
      </c>
      <c r="M66" s="2390">
        <v>0.02</v>
      </c>
      <c r="O66" s="1954" t="s">
        <v>1727</v>
      </c>
      <c r="P66" s="1955" t="s">
        <v>1728</v>
      </c>
      <c r="Q66" s="1956" t="s">
        <v>1729</v>
      </c>
      <c r="R66" s="1955" t="s">
        <v>1730</v>
      </c>
    </row>
    <row r="67" spans="1:18" s="1672" customFormat="1" ht="15.75" thickBot="1">
      <c r="A67" s="1704"/>
      <c r="B67" s="1705"/>
      <c r="C67" s="1705"/>
      <c r="K67" s="1696"/>
      <c r="O67" s="1957" t="s">
        <v>1731</v>
      </c>
      <c r="P67" s="1958" t="s">
        <v>1757</v>
      </c>
      <c r="Q67" s="1959">
        <f ca="1">C41+J31</f>
        <v>0</v>
      </c>
      <c r="R67" s="1958" t="s">
        <v>1732</v>
      </c>
    </row>
    <row r="68" spans="1:18" s="1672" customFormat="1" ht="20.25" thickBot="1">
      <c r="A68" s="1704"/>
      <c r="B68" s="1705"/>
      <c r="C68" s="1705"/>
      <c r="K68" s="1696"/>
      <c r="O68" s="1957" t="s">
        <v>1733</v>
      </c>
      <c r="P68" s="1958" t="s">
        <v>1764</v>
      </c>
      <c r="Q68" s="1959" t="e">
        <f ca="1">L61</f>
        <v>#DIV/0!</v>
      </c>
      <c r="R68" s="1962" t="s">
        <v>1766</v>
      </c>
    </row>
    <row r="69" spans="1:18" s="1672" customFormat="1" ht="21.75" thickBot="1">
      <c r="A69" s="1704"/>
      <c r="B69" s="1705"/>
      <c r="C69" s="1705"/>
      <c r="K69" s="1696"/>
      <c r="O69" s="1960" t="s">
        <v>1735</v>
      </c>
      <c r="P69" s="1958" t="s">
        <v>1765</v>
      </c>
      <c r="Q69" s="1964">
        <f ca="1">L52</f>
        <v>0</v>
      </c>
      <c r="R69" s="1965" t="s">
        <v>1768</v>
      </c>
    </row>
    <row r="70" spans="1:18" s="1672" customFormat="1" ht="20.25" thickBot="1">
      <c r="A70" s="1704"/>
      <c r="B70" s="1705"/>
      <c r="C70" s="1705"/>
      <c r="K70" s="1696"/>
      <c r="O70" s="1960" t="s">
        <v>1736</v>
      </c>
      <c r="P70" s="1966" t="s">
        <v>1750</v>
      </c>
      <c r="Q70" s="1959">
        <f ca="1">ROUND(Q71-Q72*Q73,0)</f>
        <v>0</v>
      </c>
      <c r="R70" s="1962"/>
    </row>
    <row r="71" spans="1:18" s="1672" customFormat="1" ht="15.75" thickBot="1">
      <c r="A71" s="1704"/>
      <c r="B71" s="1705"/>
      <c r="C71" s="1705"/>
      <c r="K71" s="1696"/>
      <c r="O71" s="1960" t="s">
        <v>1751</v>
      </c>
      <c r="P71" s="1966" t="s">
        <v>1752</v>
      </c>
      <c r="Q71" s="1959">
        <f ca="1">C42</f>
        <v>0</v>
      </c>
      <c r="R71" s="1958" t="s">
        <v>1732</v>
      </c>
    </row>
    <row r="72" spans="1:18" s="1672" customFormat="1" ht="15.75" thickBot="1">
      <c r="A72" s="1704"/>
      <c r="B72" s="1705"/>
      <c r="C72" s="1705"/>
      <c r="K72" s="1696"/>
      <c r="O72" s="1960" t="s">
        <v>1753</v>
      </c>
      <c r="P72" s="1966" t="s">
        <v>1754</v>
      </c>
      <c r="Q72" s="1959">
        <f ca="1">C15</f>
        <v>0</v>
      </c>
      <c r="R72" s="1958" t="s">
        <v>1732</v>
      </c>
    </row>
    <row r="73" spans="1:18" s="1672" customFormat="1" ht="15.75" thickBot="1">
      <c r="A73" s="1704"/>
      <c r="B73" s="1705"/>
      <c r="C73" s="1705"/>
      <c r="K73" s="1696"/>
      <c r="O73" s="1960" t="s">
        <v>1755</v>
      </c>
      <c r="P73" s="1966" t="s">
        <v>1756</v>
      </c>
      <c r="Q73" s="1961">
        <f ca="1">F43</f>
        <v>0</v>
      </c>
      <c r="R73" s="1962"/>
    </row>
    <row r="74" spans="1:18" s="1672" customFormat="1" ht="15.75" thickBot="1">
      <c r="A74" s="1704"/>
      <c r="B74" s="1705"/>
      <c r="C74" s="1705"/>
      <c r="K74" s="1696"/>
      <c r="O74" s="1960" t="s">
        <v>1738</v>
      </c>
      <c r="P74" s="1958" t="s">
        <v>1745</v>
      </c>
      <c r="Q74" s="1961">
        <f>L53</f>
        <v>0</v>
      </c>
      <c r="R74" s="1962"/>
    </row>
    <row r="75" spans="1:18" s="1672" customFormat="1" ht="20.25" thickBot="1">
      <c r="A75" s="1704"/>
      <c r="B75" s="1705"/>
      <c r="C75" s="1705"/>
      <c r="K75" s="1696"/>
      <c r="O75" s="1960" t="s">
        <v>1740</v>
      </c>
      <c r="P75" s="1958" t="s">
        <v>1746</v>
      </c>
      <c r="Q75" s="1959">
        <f ca="1">L59</f>
        <v>0</v>
      </c>
      <c r="R75" s="1962" t="s">
        <v>1747</v>
      </c>
    </row>
    <row r="76" spans="1:18" s="1672" customFormat="1" ht="20.25" thickBot="1">
      <c r="A76" s="1704"/>
      <c r="B76" s="1705"/>
      <c r="C76" s="1705"/>
      <c r="K76" s="1696"/>
      <c r="O76" s="1960" t="s">
        <v>1769</v>
      </c>
      <c r="P76" s="1958" t="s">
        <v>1748</v>
      </c>
      <c r="Q76" s="1959">
        <f ca="1">L60</f>
        <v>0</v>
      </c>
      <c r="R76" s="1962" t="s">
        <v>1749</v>
      </c>
    </row>
    <row r="77" spans="1:18" s="1672" customFormat="1" ht="15.75" thickBot="1">
      <c r="A77" s="1704"/>
      <c r="B77" s="1705"/>
      <c r="C77" s="1705"/>
      <c r="K77" s="1696"/>
      <c r="O77" s="1957" t="s">
        <v>1743</v>
      </c>
      <c r="P77" s="1958" t="s">
        <v>1760</v>
      </c>
      <c r="Q77" s="1959" t="e">
        <f ca="1">Q67+Q68</f>
        <v>#DIV/0!</v>
      </c>
      <c r="R77" s="1962" t="s">
        <v>1744</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2" priority="6">
      <formula>$F$12="自定义"</formula>
    </cfRule>
  </conditionalFormatting>
  <conditionalFormatting sqref="I56">
    <cfRule type="expression" dxfId="81" priority="4">
      <formula>$J$51&gt;$L$48</formula>
    </cfRule>
  </conditionalFormatting>
  <conditionalFormatting sqref="I61">
    <cfRule type="expression" dxfId="80" priority="2">
      <formula>$J$51&gt;$L$48</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K61">
    <cfRule type="expression" dxfId="77" priority="1">
      <formula>$L$48&gt;$J$51</formula>
    </cfRule>
  </conditionalFormatting>
  <dataValidations count="5">
    <dataValidation type="list" allowBlank="1" showInputMessage="1" showErrorMessage="1" sqref="C1" xr:uid="{00000000-0002-0000-2600-000000000000}">
      <formula1>项目类型</formula1>
    </dataValidation>
    <dataValidation type="list" allowBlank="1" showInputMessage="1" showErrorMessage="1" sqref="D35" xr:uid="{00000000-0002-0000-2600-000001000000}">
      <formula1>"按租金收入计税,按房产原值计税,按票据"</formula1>
    </dataValidation>
    <dataValidation type="list" allowBlank="1" showInputMessage="1" showErrorMessage="1" sqref="K21" xr:uid="{00000000-0002-0000-2600-000002000000}">
      <formula1>"按租金收入计税,按房产原值计税"</formula1>
    </dataValidation>
    <dataValidation type="list" allowBlank="1" showInputMessage="1" showErrorMessage="1" sqref="F12 M12" xr:uid="{00000000-0002-0000-2600-000003000000}">
      <formula1>"押一,押二,押三,自定义"</formula1>
    </dataValidation>
    <dataValidation type="list" allowBlank="1" showInputMessage="1" showErrorMessage="1" sqref="J57" xr:uid="{00000000-0002-0000-2600-000004000000}">
      <formula1>估价范围判定</formula1>
    </dataValidation>
  </dataValidations>
  <pageMargins left="0.7" right="0.7" top="0.75" bottom="0.75" header="0.3" footer="0.3"/>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华夏：</v>
      </c>
    </row>
    <row r="4" spans="1:4" ht="56.25">
      <c r="A4" s="1488"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91" t="s">
        <v>1429</v>
      </c>
    </row>
    <row r="6" spans="1:4" ht="112.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93.75">
      <c r="A7" s="2178" t="s">
        <v>2028</v>
      </c>
    </row>
    <row r="8" spans="1:4" ht="18.75">
      <c r="A8" s="1491" t="s">
        <v>1430</v>
      </c>
    </row>
    <row r="9" spans="1:4" ht="112.5">
      <c r="A9" s="1488"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3" t="s">
        <v>1542</v>
      </c>
    </row>
    <row r="11" spans="1:4" ht="18.75">
      <c r="A11" s="1477" t="str">
        <f>TEXT(项目基本情况!D3,"yyyy年m月d日;;")&amp;IF(项目基本情况!B3=项目基本情况!D3,"（评估专业人员勘察现场之日）","")</f>
        <v>2024年11月21日（评估专业人员勘察现场之日）</v>
      </c>
    </row>
    <row r="12" spans="1:4" ht="18.75">
      <c r="A12" s="1493" t="s">
        <v>1541</v>
      </c>
    </row>
    <row r="13" spans="1:4" ht="18.75">
      <c r="A13" s="1488" t="s">
        <v>1587</v>
      </c>
    </row>
    <row r="14" spans="1:4" ht="18.75">
      <c r="A14" s="1488" t="str">
        <f>"根据"&amp;项目基本情况!F12&amp;"，本次评估估价对象证载（地类）用途为"&amp;项目基本情况!B12&amp;"。"</f>
        <v>根据《国有土地使用证》[]，本次评估估价对象证载（地类）用途为F1。</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1588</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1589</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1590</v>
      </c>
    </row>
    <row r="23" spans="1:1" ht="18.75">
      <c r="A23" s="2180" t="s">
        <v>2029</v>
      </c>
    </row>
    <row r="24" spans="1:1" ht="18.75">
      <c r="A24" s="1488" t="s">
        <v>1591</v>
      </c>
    </row>
    <row r="25" spans="1:1" ht="93.75">
      <c r="A25" s="1488"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1543</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R123"/>
  <sheetViews>
    <sheetView view="pageBreakPreview" zoomScale="80" zoomScaleNormal="60" zoomScaleSheetLayoutView="80" workbookViewId="0">
      <selection activeCell="G50" sqref="G50:G58"/>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915</v>
      </c>
      <c r="D1" s="1267">
        <f>SUM(D33:D34,D37:D42)</f>
        <v>5896.96</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1174</v>
      </c>
      <c r="T1" s="2231" t="s">
        <v>2059</v>
      </c>
      <c r="U1" s="2231" t="s">
        <v>2060</v>
      </c>
      <c r="V1" s="2231" t="s">
        <v>916</v>
      </c>
      <c r="W1" s="1789"/>
      <c r="X1" s="1789"/>
      <c r="Y1" s="1789"/>
      <c r="Z1" s="1789"/>
      <c r="AA1" s="1789"/>
      <c r="AB1" s="1789"/>
      <c r="AC1" s="1790"/>
    </row>
    <row r="2" spans="1:39" ht="15.75">
      <c r="A2" s="1190" t="s">
        <v>848</v>
      </c>
      <c r="B2" s="940">
        <f>C30</f>
        <v>2658</v>
      </c>
      <c r="C2" s="1191" t="s">
        <v>849</v>
      </c>
      <c r="D2" s="1192" t="s">
        <v>833</v>
      </c>
      <c r="E2" s="1193" t="s">
        <v>2732</v>
      </c>
      <c r="F2" s="1192" t="s">
        <v>834</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6949</v>
      </c>
      <c r="U2" s="2222"/>
      <c r="V2" s="2232">
        <f>ROUND(T2*U2/10000,0)</f>
        <v>0</v>
      </c>
      <c r="W2" s="1789"/>
      <c r="X2" s="1789"/>
      <c r="Y2" s="1789"/>
      <c r="Z2" s="1789"/>
      <c r="AA2" s="1789"/>
      <c r="AB2" s="1789"/>
      <c r="AC2" s="1790"/>
    </row>
    <row r="3" spans="1:39" ht="15.75">
      <c r="A3" s="1194" t="s">
        <v>1220</v>
      </c>
      <c r="B3" s="940">
        <f>ROUND(B2*10000/D1,0)</f>
        <v>4507</v>
      </c>
      <c r="C3" s="1191" t="s">
        <v>855</v>
      </c>
      <c r="D3" s="1192" t="s">
        <v>856</v>
      </c>
      <c r="E3" s="1195" t="s">
        <v>2460</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5356</v>
      </c>
      <c r="U3" s="2222"/>
      <c r="V3" s="2232">
        <f t="shared" ref="V3:V16" si="1">ROUND(T3*U3/10000,0)</f>
        <v>0</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4369</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4842</v>
      </c>
      <c r="D5" s="2357">
        <f>ROUND(C6*C17+C20,0)</f>
        <v>4842</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3709</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4870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3380</v>
      </c>
      <c r="U6" s="2222"/>
      <c r="V6" s="2232">
        <f t="shared" si="1"/>
        <v>0</v>
      </c>
      <c r="W6" s="1789"/>
      <c r="X6" s="1789"/>
      <c r="Y6" s="1789"/>
      <c r="Z6" s="1789"/>
      <c r="AA6" s="1789"/>
      <c r="AB6" s="1789"/>
      <c r="AC6" s="1791"/>
      <c r="AD6" s="1201"/>
      <c r="AE6" s="1201"/>
      <c r="AF6" s="1201"/>
      <c r="AG6" s="1201"/>
      <c r="AH6" s="1201"/>
      <c r="AI6" s="1201"/>
      <c r="AJ6" s="1202"/>
    </row>
    <row r="7" spans="1:39" ht="24.75" thickBot="1">
      <c r="A7" s="3253" t="s">
        <v>1396</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82" t="s">
        <v>2058</v>
      </c>
      <c r="X8" s="3683"/>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4870</v>
      </c>
      <c r="N9" s="1546">
        <f>SUMPRODUCT((因素修正幅度!B277:B326=I2)*(因素修正幅度!C3:G3=E2)*(因素修正幅度!C277:G326))</f>
        <v>0.126</v>
      </c>
      <c r="O9" s="1789"/>
      <c r="P9" s="1789"/>
      <c r="Q9" s="1789"/>
      <c r="R9" s="2232">
        <v>8</v>
      </c>
      <c r="S9" s="2222"/>
      <c r="T9" s="2232">
        <f t="shared" si="0"/>
        <v>0</v>
      </c>
      <c r="U9" s="2222"/>
      <c r="V9" s="2232">
        <f t="shared" si="1"/>
        <v>0</v>
      </c>
      <c r="W9" s="3681"/>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1"/>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1367</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1368</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1369</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0.88249999999999995</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92" t="s">
        <v>1370</v>
      </c>
      <c r="B20" s="1205" t="s">
        <v>875</v>
      </c>
      <c r="C20" s="947">
        <f>ROUND(IF(F21="与级别开发程度一致",0,(G21-E21)/C21),0)</f>
        <v>-28</v>
      </c>
      <c r="D20" s="3687" t="s">
        <v>879</v>
      </c>
      <c r="E20" s="3688"/>
      <c r="F20" s="3687" t="s">
        <v>876</v>
      </c>
      <c r="G20" s="3688"/>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93"/>
      <c r="B21" s="2411" t="s">
        <v>878</v>
      </c>
      <c r="C21" s="2412">
        <f>IF(E3="M4科研用地",SUMPRODUCT((修正!A2:A7=E3)*(修正!B1:M1=G2)*(修正!B2:M7)),SUMPRODUCT((修正!A2:A7=E2)*(修正!B1:M1=G2)*(修正!B2:M7)))</f>
        <v>2</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1355</v>
      </c>
      <c r="B22" s="2406" t="s">
        <v>880</v>
      </c>
      <c r="C22" s="2407">
        <f>SUMIF(修正!C20:C51,E3,修正!E20:E51)</f>
        <v>0.9</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1356</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258</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1357</v>
      </c>
      <c r="B24" s="2096" t="s">
        <v>896</v>
      </c>
      <c r="C24" s="2097">
        <f>ROUND(POWER(1+G24,J24-I24)*(POWER(1+G24,I24)-1)/(POWER(1+G24,J24)-1),4)</f>
        <v>0.99319999999999997</v>
      </c>
      <c r="D24" s="2098" t="s">
        <v>897</v>
      </c>
      <c r="E24" s="2349">
        <f>存贷款利率!E27/100</f>
        <v>4.3499999999999997E-2</v>
      </c>
      <c r="F24" s="2098" t="s">
        <v>898</v>
      </c>
      <c r="G24" s="2099">
        <f>SUMIF(M30:Q30,E2,M33:Q33)</f>
        <v>5.5E-2</v>
      </c>
      <c r="H24" s="2098" t="s">
        <v>899</v>
      </c>
      <c r="I24" s="2094">
        <f>SUMIF('数据-取费表'!C6:C15,E2,'数据-取费表'!F6:F15)/COUNTIF('数据-取费表'!C6:C15,E2)</f>
        <v>39.07</v>
      </c>
      <c r="J24" s="2100">
        <f>IF(E2="住宅",70,IF(E2="商业",40,50))</f>
        <v>40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2270</v>
      </c>
      <c r="C25" s="1003">
        <f>IF(B25="容积率修正",IF(G3&lt;10,D26,J26),C27)</f>
        <v>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1.0047999999999999</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2658</v>
      </c>
      <c r="D30" s="1238"/>
      <c r="E30" s="1185"/>
      <c r="F30" s="1239"/>
      <c r="G30" s="1185"/>
      <c r="H30" s="1185"/>
      <c r="I30" s="1185"/>
      <c r="J30" s="1240"/>
      <c r="K30" s="1789"/>
      <c r="L30" s="1326" t="s">
        <v>833</v>
      </c>
      <c r="M30" s="1206" t="s">
        <v>900</v>
      </c>
      <c r="N30" s="1206" t="s">
        <v>902</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f>E34+SUM(I37:I42)</f>
        <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4507</v>
      </c>
      <c r="D33" s="1252">
        <f>'数据-汇总表'!F20</f>
        <v>5896.96</v>
      </c>
      <c r="E33" s="1538">
        <f>ROUND(C33*D33/10000,0)</f>
        <v>2658</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f>ROUND(IF(E2="工业",C33*M42,IF(B25="楼层修正",SUM(V2:V16)*M41*10000/D34,C33*M41)),0)</f>
        <v>1127</v>
      </c>
      <c r="D34" s="1257"/>
      <c r="E34" s="1538">
        <f>ROUND(IF(B25="楼层修正",SUM(V2:V16)*#REF!,C34*D34/10000),0)</f>
        <v>0</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89"/>
      <c r="B37" s="1270" t="s">
        <v>923</v>
      </c>
      <c r="C37" s="954">
        <f>ROUND(D5*C22*C23*C24*C28*F37,0)</f>
        <v>2254</v>
      </c>
      <c r="D37" s="1282"/>
      <c r="E37" s="945">
        <f>ROUND(C37*D37/10000,0)</f>
        <v>0</v>
      </c>
      <c r="F37" s="945">
        <f>SUMIF(修正!A57:A68,G2,修正!B57:B68)</f>
        <v>0.5</v>
      </c>
      <c r="G37" s="945">
        <f>ROUND(IF(E2="工业",C37*$M$42,C37*$M$41),0)</f>
        <v>564</v>
      </c>
      <c r="H37" s="945">
        <f>D37</f>
        <v>0</v>
      </c>
      <c r="I37" s="945">
        <f>ROUND(G37*H37/10000,0)</f>
        <v>0</v>
      </c>
      <c r="J37" s="3689"/>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90"/>
      <c r="B38" s="1215" t="s">
        <v>924</v>
      </c>
      <c r="C38" s="954">
        <f>ROUND(D5*C22*C23*C24*C28*F38,0)</f>
        <v>901</v>
      </c>
      <c r="D38" s="1282"/>
      <c r="E38" s="945">
        <f t="shared" ref="E38:E42" si="4">ROUND(C38*D38/10000,0)</f>
        <v>0</v>
      </c>
      <c r="F38" s="945">
        <f>SUMIF(修正!A57:A68,G2,修正!C57:C68)</f>
        <v>0.2</v>
      </c>
      <c r="G38" s="945">
        <f>ROUND(IF(E2="工业",C38*$M$42,C38*$M$41),0)</f>
        <v>225</v>
      </c>
      <c r="H38" s="945">
        <f t="shared" ref="H38:H42" si="5">D38</f>
        <v>0</v>
      </c>
      <c r="I38" s="945">
        <f t="shared" ref="I38:I42" si="6">ROUND(G38*H38/10000,0)</f>
        <v>0</v>
      </c>
      <c r="J38" s="3690"/>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90"/>
      <c r="B39" s="3297" t="s">
        <v>3207</v>
      </c>
      <c r="C39" s="954">
        <f>ROUND(D5*C22*C23*C24*C28*F39,0)</f>
        <v>901</v>
      </c>
      <c r="D39" s="1282"/>
      <c r="E39" s="945">
        <f t="shared" si="4"/>
        <v>0</v>
      </c>
      <c r="F39" s="945">
        <f>SUMIF(修正!A57:A68,G2,修正!D57:D68)</f>
        <v>0.2</v>
      </c>
      <c r="G39" s="945">
        <f>ROUND(IF(E2="工业",C39*$M$42,C39*$M$41),0)</f>
        <v>225</v>
      </c>
      <c r="H39" s="945">
        <f t="shared" si="5"/>
        <v>0</v>
      </c>
      <c r="I39" s="945">
        <f t="shared" si="6"/>
        <v>0</v>
      </c>
      <c r="J39" s="3690"/>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901</v>
      </c>
      <c r="D40" s="1282"/>
      <c r="E40" s="945">
        <f t="shared" si="4"/>
        <v>0</v>
      </c>
      <c r="F40" s="954">
        <f>SUMIF(修正!A57:A68,G2,修正!E57:E68)</f>
        <v>0.2</v>
      </c>
      <c r="G40" s="945">
        <f>ROUND(IF(E2="工业",C40*$M$42,C40*$M$41),0)</f>
        <v>225</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904</v>
      </c>
      <c r="D41" s="1282"/>
      <c r="E41" s="945">
        <f t="shared" si="4"/>
        <v>0</v>
      </c>
      <c r="F41" s="954">
        <f>SUMIF(修正!A57:A68,G2,修正!F57:F68)</f>
        <v>0.2</v>
      </c>
      <c r="G41" s="945">
        <f>ROUND(IF(E2="工业",C41*$M$42,C41*$M$41),0)</f>
        <v>226</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452</v>
      </c>
      <c r="D42" s="1282"/>
      <c r="E42" s="946">
        <f t="shared" si="4"/>
        <v>0</v>
      </c>
      <c r="F42" s="956">
        <f>SUMIF(修正!A57:A68,G2,修正!G57:G68)</f>
        <v>0.1</v>
      </c>
      <c r="G42" s="946">
        <f>ROUND(IF(E2="工业",C42*$M$42,C42*$M$41),0)</f>
        <v>113</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0.99629999999999996</v>
      </c>
      <c r="D44" s="348" t="s">
        <v>2234</v>
      </c>
      <c r="E44" s="2394">
        <f>G24</f>
        <v>5.5E-2</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900</v>
      </c>
      <c r="B48" s="3373">
        <f>1+E50</f>
        <v>1.0047999999999999</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t="s">
        <v>3344</v>
      </c>
      <c r="D50" s="3324">
        <f t="shared" ref="D50:D58" si="7">SUMIF($J$49:$N$49,C50,J50:N50)</f>
        <v>-1.89E-2</v>
      </c>
      <c r="E50" s="3325">
        <f>ROUND(SUM(D50:D58),4)</f>
        <v>4.7999999999999996E-3</v>
      </c>
      <c r="F50" s="3326">
        <f>IF(E2="商业",SUMIF(L1:L12,G2,N1:N12),"——")</f>
        <v>0.126</v>
      </c>
      <c r="G50" s="3327">
        <v>1.89E-2</v>
      </c>
      <c r="H50" s="3328">
        <f t="shared" ref="H50:H58" si="8">IFERROR(ROUNDDOWN(($F$50*I50/2),4),"——")</f>
        <v>1.89E-2</v>
      </c>
      <c r="I50" s="3303">
        <v>0.3</v>
      </c>
      <c r="J50" s="3329">
        <f t="shared" ref="J50:J58" si="9">K50+$G50</f>
        <v>3.78E-2</v>
      </c>
      <c r="K50" s="3329">
        <f t="shared" ref="K50:K58" si="10">$L50+$G50</f>
        <v>1.89E-2</v>
      </c>
      <c r="L50" s="3329">
        <v>0</v>
      </c>
      <c r="M50" s="3329">
        <f t="shared" ref="M50:N58" si="11">L50-$G50</f>
        <v>-1.89E-2</v>
      </c>
      <c r="N50" s="3329">
        <f t="shared" si="11"/>
        <v>-3.78E-2</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t="s">
        <v>3343</v>
      </c>
      <c r="D51" s="3324">
        <f t="shared" si="7"/>
        <v>0</v>
      </c>
      <c r="E51" s="3330"/>
      <c r="F51" s="3326"/>
      <c r="G51" s="3327">
        <v>1.38E-2</v>
      </c>
      <c r="H51" s="3328">
        <f t="shared" si="8"/>
        <v>1.38E-2</v>
      </c>
      <c r="I51" s="3303">
        <v>0.22</v>
      </c>
      <c r="J51" s="3329">
        <f t="shared" si="9"/>
        <v>2.76E-2</v>
      </c>
      <c r="K51" s="3329">
        <f t="shared" si="10"/>
        <v>1.38E-2</v>
      </c>
      <c r="L51" s="3329">
        <v>0</v>
      </c>
      <c r="M51" s="3329">
        <f t="shared" si="11"/>
        <v>-1.38E-2</v>
      </c>
      <c r="N51" s="3329">
        <f t="shared" si="11"/>
        <v>-2.76E-2</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t="s">
        <v>3348</v>
      </c>
      <c r="D52" s="3324">
        <f t="shared" si="7"/>
        <v>7.4999999999999997E-3</v>
      </c>
      <c r="E52" s="3330"/>
      <c r="F52" s="3326"/>
      <c r="G52" s="3327">
        <v>7.4999999999999997E-3</v>
      </c>
      <c r="H52" s="3328">
        <f t="shared" si="8"/>
        <v>7.4999999999999997E-3</v>
      </c>
      <c r="I52" s="3303">
        <v>0.12</v>
      </c>
      <c r="J52" s="3329">
        <f t="shared" si="9"/>
        <v>1.4999999999999999E-2</v>
      </c>
      <c r="K52" s="3329">
        <f t="shared" si="10"/>
        <v>7.4999999999999997E-3</v>
      </c>
      <c r="L52" s="3329">
        <v>0</v>
      </c>
      <c r="M52" s="3329">
        <f t="shared" si="11"/>
        <v>-7.4999999999999997E-3</v>
      </c>
      <c r="N52" s="3329">
        <f t="shared" si="11"/>
        <v>-1.4999999999999999E-2</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t="s">
        <v>3348</v>
      </c>
      <c r="D53" s="3324">
        <f t="shared" si="7"/>
        <v>3.0999999999999999E-3</v>
      </c>
      <c r="E53" s="3330"/>
      <c r="F53" s="3326"/>
      <c r="G53" s="3327">
        <v>3.0999999999999999E-3</v>
      </c>
      <c r="H53" s="3328">
        <f t="shared" si="8"/>
        <v>3.0999999999999999E-3</v>
      </c>
      <c r="I53" s="3303">
        <v>0.05</v>
      </c>
      <c r="J53" s="3329">
        <f t="shared" si="9"/>
        <v>6.1999999999999998E-3</v>
      </c>
      <c r="K53" s="3329">
        <f t="shared" si="10"/>
        <v>3.0999999999999999E-3</v>
      </c>
      <c r="L53" s="3329">
        <v>0</v>
      </c>
      <c r="M53" s="3329">
        <f t="shared" si="11"/>
        <v>-3.0999999999999999E-3</v>
      </c>
      <c r="N53" s="3329">
        <f t="shared" si="11"/>
        <v>-6.1999999999999998E-3</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t="s">
        <v>3343</v>
      </c>
      <c r="D54" s="3324">
        <f t="shared" si="7"/>
        <v>0</v>
      </c>
      <c r="E54" s="3330"/>
      <c r="F54" s="3326"/>
      <c r="G54" s="3327">
        <v>5.0000000000000001E-3</v>
      </c>
      <c r="H54" s="3328">
        <f t="shared" si="8"/>
        <v>5.0000000000000001E-3</v>
      </c>
      <c r="I54" s="3303">
        <v>0.08</v>
      </c>
      <c r="J54" s="3329">
        <f t="shared" si="9"/>
        <v>0.01</v>
      </c>
      <c r="K54" s="3329">
        <f t="shared" si="10"/>
        <v>5.0000000000000001E-3</v>
      </c>
      <c r="L54" s="3329">
        <v>0</v>
      </c>
      <c r="M54" s="3329">
        <f t="shared" si="11"/>
        <v>-5.0000000000000001E-3</v>
      </c>
      <c r="N54" s="3329">
        <f t="shared" si="11"/>
        <v>-0.01</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t="s">
        <v>3348</v>
      </c>
      <c r="D55" s="3324">
        <f t="shared" si="7"/>
        <v>3.0999999999999999E-3</v>
      </c>
      <c r="E55" s="3330"/>
      <c r="F55" s="3326"/>
      <c r="G55" s="3327">
        <v>3.0999999999999999E-3</v>
      </c>
      <c r="H55" s="3328">
        <f t="shared" si="8"/>
        <v>3.0999999999999999E-3</v>
      </c>
      <c r="I55" s="3303">
        <v>0.05</v>
      </c>
      <c r="J55" s="3329">
        <f t="shared" si="9"/>
        <v>6.1999999999999998E-3</v>
      </c>
      <c r="K55" s="3329">
        <f t="shared" si="10"/>
        <v>3.0999999999999999E-3</v>
      </c>
      <c r="L55" s="3329">
        <v>0</v>
      </c>
      <c r="M55" s="3329">
        <f t="shared" si="11"/>
        <v>-3.0999999999999999E-3</v>
      </c>
      <c r="N55" s="3329">
        <f t="shared" si="11"/>
        <v>-6.1999999999999998E-3</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t="s">
        <v>3343</v>
      </c>
      <c r="D56" s="3324">
        <f t="shared" si="7"/>
        <v>0</v>
      </c>
      <c r="E56" s="3330"/>
      <c r="F56" s="3326"/>
      <c r="G56" s="3327">
        <v>3.0999999999999999E-3</v>
      </c>
      <c r="H56" s="3328">
        <f t="shared" si="8"/>
        <v>3.0999999999999999E-3</v>
      </c>
      <c r="I56" s="3303">
        <v>0.05</v>
      </c>
      <c r="J56" s="3329">
        <f t="shared" si="9"/>
        <v>6.1999999999999998E-3</v>
      </c>
      <c r="K56" s="3329">
        <f t="shared" si="10"/>
        <v>3.0999999999999999E-3</v>
      </c>
      <c r="L56" s="3329">
        <v>0</v>
      </c>
      <c r="M56" s="3329">
        <f t="shared" si="11"/>
        <v>-3.0999999999999999E-3</v>
      </c>
      <c r="N56" s="3329">
        <f t="shared" si="11"/>
        <v>-6.1999999999999998E-3</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t="s">
        <v>3354</v>
      </c>
      <c r="D57" s="3324">
        <f t="shared" si="7"/>
        <v>0.01</v>
      </c>
      <c r="E57" s="3330"/>
      <c r="F57" s="3326"/>
      <c r="G57" s="3327">
        <v>5.0000000000000001E-3</v>
      </c>
      <c r="H57" s="3328">
        <f t="shared" si="8"/>
        <v>5.0000000000000001E-3</v>
      </c>
      <c r="I57" s="3303">
        <v>0.08</v>
      </c>
      <c r="J57" s="3329">
        <f t="shared" si="9"/>
        <v>0.01</v>
      </c>
      <c r="K57" s="3329">
        <f t="shared" si="10"/>
        <v>5.0000000000000001E-3</v>
      </c>
      <c r="L57" s="3329">
        <v>0</v>
      </c>
      <c r="M57" s="3329">
        <f t="shared" si="11"/>
        <v>-5.0000000000000001E-3</v>
      </c>
      <c r="N57" s="3329">
        <f t="shared" si="11"/>
        <v>-0.01</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t="s">
        <v>3343</v>
      </c>
      <c r="D58" s="3324">
        <f t="shared" si="7"/>
        <v>0</v>
      </c>
      <c r="E58" s="3337"/>
      <c r="F58" s="3326"/>
      <c r="G58" s="3327">
        <v>3.0999999999999999E-3</v>
      </c>
      <c r="H58" s="3328">
        <f t="shared" si="8"/>
        <v>3.0999999999999999E-3</v>
      </c>
      <c r="I58" s="3305">
        <v>0.05</v>
      </c>
      <c r="J58" s="3329">
        <f t="shared" si="9"/>
        <v>6.1999999999999998E-3</v>
      </c>
      <c r="K58" s="3329">
        <f t="shared" si="10"/>
        <v>3.0999999999999999E-3</v>
      </c>
      <c r="L58" s="3329">
        <v>0</v>
      </c>
      <c r="M58" s="3329">
        <f t="shared" si="11"/>
        <v>-3.0999999999999999E-3</v>
      </c>
      <c r="N58" s="3329">
        <f t="shared" si="11"/>
        <v>-6.1999999999999998E-3</v>
      </c>
      <c r="P58" s="1798"/>
      <c r="Q58" s="1798"/>
      <c r="R58" s="1798"/>
      <c r="S58" s="1798"/>
      <c r="T58" s="1798"/>
      <c r="U58" s="1798"/>
      <c r="V58" s="1798"/>
      <c r="W58" s="1798"/>
      <c r="X58" s="1798"/>
      <c r="Y58" s="1798"/>
      <c r="Z58" s="1798"/>
      <c r="AA58" s="1798"/>
      <c r="AB58" s="1798"/>
      <c r="AC58" s="1798"/>
      <c r="AD58" s="1798"/>
    </row>
    <row r="59" spans="1:30" s="3310" customFormat="1" ht="15">
      <c r="A59" s="3311" t="s">
        <v>902</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1607</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2193</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835</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1607</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t="str">
        <f>IF(E2="住宅",SUMIF(L1:L12,G2,N1:N12),"——")</f>
        <v>——</v>
      </c>
      <c r="G72" s="3341">
        <v>1.41E-2</v>
      </c>
      <c r="H72" s="3342" t="str">
        <f t="shared" ref="H72:H80" si="18">IFERROR(ROUNDDOWN($F$72*I72/2,4),"——")</f>
        <v>——</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943</v>
      </c>
      <c r="B73" s="3316" t="str">
        <f>估价对象房地状况!C18</f>
        <v>较差</v>
      </c>
      <c r="C73" s="3340" t="s">
        <v>3343</v>
      </c>
      <c r="D73" s="3324">
        <f t="shared" si="17"/>
        <v>0</v>
      </c>
      <c r="E73" s="3330"/>
      <c r="F73" s="3326"/>
      <c r="G73" s="3341">
        <v>1.83E-2</v>
      </c>
      <c r="H73" s="3342" t="str">
        <f t="shared" si="18"/>
        <v>——</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t="str">
        <f t="shared" si="18"/>
        <v>——</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t="str">
        <f t="shared" si="18"/>
        <v>——</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t="str">
        <f t="shared" si="18"/>
        <v>——</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t="str">
        <f t="shared" si="18"/>
        <v>——</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t="str">
        <f t="shared" si="18"/>
        <v>——</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t="str">
        <f t="shared" si="18"/>
        <v>——</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t="str">
        <f t="shared" si="18"/>
        <v>——</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909</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1607</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943</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2448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101"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si="28"/>
        <v>0</v>
      </c>
      <c r="N94" s="3353">
        <f t="shared" si="28"/>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1">K95+$G95</f>
        <v>0</v>
      </c>
      <c r="K95" s="3353">
        <f t="shared" si="27"/>
        <v>0</v>
      </c>
      <c r="L95" s="3353">
        <v>0</v>
      </c>
      <c r="M95" s="3353">
        <f t="shared" si="28"/>
        <v>0</v>
      </c>
      <c r="N95" s="3353">
        <f t="shared" si="28"/>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1"/>
        <v>0</v>
      </c>
      <c r="K96" s="3353">
        <f t="shared" si="27"/>
        <v>0</v>
      </c>
      <c r="L96" s="3353">
        <v>0</v>
      </c>
      <c r="M96" s="3353">
        <f>L96-$G96</f>
        <v>0</v>
      </c>
      <c r="N96" s="3353">
        <f t="shared" si="28"/>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1"/>
        <v>0</v>
      </c>
      <c r="K97" s="3353">
        <f t="shared" si="27"/>
        <v>0</v>
      </c>
      <c r="L97" s="3353">
        <v>0</v>
      </c>
      <c r="M97" s="3353">
        <f t="shared" si="28"/>
        <v>0</v>
      </c>
      <c r="N97" s="3353">
        <f t="shared" si="28"/>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1"/>
        <v>0</v>
      </c>
      <c r="K98" s="3353">
        <f t="shared" si="27"/>
        <v>0</v>
      </c>
      <c r="L98" s="3353">
        <v>0</v>
      </c>
      <c r="M98" s="3353">
        <f t="shared" si="28"/>
        <v>0</v>
      </c>
      <c r="N98" s="3353">
        <f t="shared" si="28"/>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1"/>
        <v>0</v>
      </c>
      <c r="K99" s="3353">
        <f t="shared" si="27"/>
        <v>0</v>
      </c>
      <c r="L99" s="3353">
        <v>0</v>
      </c>
      <c r="M99" s="3353">
        <f t="shared" si="28"/>
        <v>0</v>
      </c>
      <c r="N99" s="3353">
        <f t="shared" si="28"/>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1"/>
        <v>0</v>
      </c>
      <c r="K100" s="3353">
        <f t="shared" si="27"/>
        <v>0</v>
      </c>
      <c r="L100" s="3353">
        <v>0</v>
      </c>
      <c r="M100" s="3353">
        <f t="shared" si="28"/>
        <v>0</v>
      </c>
      <c r="N100" s="3353">
        <f t="shared" si="28"/>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1"/>
        <v>0</v>
      </c>
      <c r="K101" s="3353">
        <f t="shared" si="27"/>
        <v>0</v>
      </c>
      <c r="L101" s="3353">
        <v>0</v>
      </c>
      <c r="M101" s="3353">
        <f t="shared" si="28"/>
        <v>0</v>
      </c>
      <c r="N101" s="3353">
        <f t="shared" si="28"/>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94" t="s">
        <v>1172</v>
      </c>
      <c r="B104" s="3694"/>
      <c r="C104" s="3694"/>
      <c r="D104" s="3694"/>
      <c r="E104" s="3694"/>
      <c r="F104" s="3694"/>
      <c r="G104" s="3694"/>
      <c r="H104" s="3694"/>
      <c r="I104" s="3694"/>
      <c r="J104" s="3694"/>
      <c r="K104" s="1000"/>
      <c r="L104" s="1000"/>
      <c r="M104" s="1000"/>
      <c r="N104" s="1000"/>
    </row>
    <row r="105" spans="1:36">
      <c r="A105" s="3695" t="s">
        <v>833</v>
      </c>
      <c r="B105" s="3695" t="s">
        <v>1173</v>
      </c>
      <c r="C105" s="988" t="s">
        <v>1174</v>
      </c>
      <c r="D105" s="989"/>
      <c r="E105" s="989"/>
      <c r="F105" s="989"/>
      <c r="G105" s="989"/>
      <c r="H105" s="989"/>
      <c r="I105" s="989"/>
      <c r="J105" s="990"/>
      <c r="K105" s="983"/>
      <c r="L105" s="983"/>
      <c r="M105" s="983"/>
      <c r="N105" s="983"/>
    </row>
    <row r="106" spans="1:36">
      <c r="A106" s="3695"/>
      <c r="B106" s="3695"/>
      <c r="C106" s="999" t="s">
        <v>819</v>
      </c>
      <c r="D106" s="999" t="s">
        <v>820</v>
      </c>
      <c r="E106" s="999" t="s">
        <v>821</v>
      </c>
      <c r="F106" s="999" t="s">
        <v>822</v>
      </c>
      <c r="G106" s="999" t="s">
        <v>823</v>
      </c>
      <c r="H106" s="999" t="s">
        <v>824</v>
      </c>
      <c r="I106" s="999" t="s">
        <v>825</v>
      </c>
      <c r="J106" s="999" t="s">
        <v>826</v>
      </c>
      <c r="K106" s="999" t="s">
        <v>827</v>
      </c>
      <c r="L106" s="999" t="s">
        <v>828</v>
      </c>
      <c r="M106" s="999" t="s">
        <v>829</v>
      </c>
      <c r="N106" s="999" t="s">
        <v>830</v>
      </c>
    </row>
    <row r="107" spans="1:36">
      <c r="A107" s="3684"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85"/>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85"/>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85"/>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85"/>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85"/>
      <c r="B112" s="991" t="s">
        <v>3225</v>
      </c>
      <c r="C112" s="993">
        <f>$I$3</f>
        <v>0</v>
      </c>
      <c r="D112" s="993">
        <f t="shared" ref="D112:N112" si="32">$I$3</f>
        <v>0</v>
      </c>
      <c r="E112" s="993">
        <f t="shared" si="32"/>
        <v>0</v>
      </c>
      <c r="F112" s="993">
        <f t="shared" si="32"/>
        <v>0</v>
      </c>
      <c r="G112" s="993">
        <f t="shared" si="32"/>
        <v>0</v>
      </c>
      <c r="H112" s="993">
        <f t="shared" si="32"/>
        <v>0</v>
      </c>
      <c r="I112" s="993">
        <f t="shared" si="32"/>
        <v>0</v>
      </c>
      <c r="J112" s="993">
        <f t="shared" si="32"/>
        <v>0</v>
      </c>
      <c r="K112" s="993">
        <f t="shared" si="32"/>
        <v>0</v>
      </c>
      <c r="L112" s="993">
        <f t="shared" si="32"/>
        <v>0</v>
      </c>
      <c r="M112" s="993">
        <f t="shared" si="32"/>
        <v>0</v>
      </c>
      <c r="N112" s="993">
        <f t="shared" si="32"/>
        <v>0</v>
      </c>
    </row>
    <row r="113" spans="1:14">
      <c r="A113" s="3686"/>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91" t="s">
        <v>1175</v>
      </c>
      <c r="B114" s="3691"/>
      <c r="C114" s="3691"/>
      <c r="D114" s="3691"/>
      <c r="E114" s="3691"/>
      <c r="F114" s="3691"/>
      <c r="G114" s="3691"/>
      <c r="H114" s="3691"/>
      <c r="I114" s="3691"/>
      <c r="J114" s="3691"/>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商业</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3">I119</f>
        <v>0.81259999999999999</v>
      </c>
      <c r="K119" s="3301">
        <f t="shared" si="33"/>
        <v>0.81259999999999999</v>
      </c>
      <c r="L119" s="3301">
        <f t="shared" si="33"/>
        <v>0.81259999999999999</v>
      </c>
      <c r="M119" s="3360">
        <f t="shared" si="33"/>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4">D120</f>
        <v>0.91310000000000002</v>
      </c>
      <c r="F120" s="3301">
        <f t="shared" si="34"/>
        <v>0.91310000000000002</v>
      </c>
      <c r="G120" s="3301">
        <f t="shared" si="34"/>
        <v>0.91310000000000002</v>
      </c>
      <c r="H120" s="3301">
        <f t="shared" si="34"/>
        <v>0.91310000000000002</v>
      </c>
      <c r="I120" s="3301">
        <f>ROUND(0.838-0.0182*B117,4)</f>
        <v>0.80159999999999998</v>
      </c>
      <c r="J120" s="3301">
        <f t="shared" si="33"/>
        <v>0.80159999999999998</v>
      </c>
      <c r="K120" s="3301">
        <f t="shared" si="33"/>
        <v>0.80159999999999998</v>
      </c>
      <c r="L120" s="3301">
        <f t="shared" si="33"/>
        <v>0.80159999999999998</v>
      </c>
      <c r="M120" s="3360">
        <f t="shared" si="33"/>
        <v>0.80159999999999998</v>
      </c>
    </row>
    <row r="121" spans="1:14" ht="12.75">
      <c r="A121" s="3357" t="s">
        <v>3228</v>
      </c>
      <c r="B121" s="3301">
        <f>ROUND(0.9448-0.0115*B117,4)</f>
        <v>0.92179999999999995</v>
      </c>
      <c r="C121" s="3301">
        <f>B121</f>
        <v>0.92179999999999995</v>
      </c>
      <c r="D121" s="3301">
        <f>ROUND(0.937-0.0145*B117,4)</f>
        <v>0.90800000000000003</v>
      </c>
      <c r="E121" s="3301">
        <f t="shared" si="34"/>
        <v>0.90800000000000003</v>
      </c>
      <c r="F121" s="3301">
        <f t="shared" si="34"/>
        <v>0.90800000000000003</v>
      </c>
      <c r="G121" s="3301">
        <f t="shared" si="34"/>
        <v>0.90800000000000003</v>
      </c>
      <c r="H121" s="3301">
        <f t="shared" si="34"/>
        <v>0.90800000000000003</v>
      </c>
      <c r="I121" s="3301">
        <f>ROUND(0.7965-0.0185*B117,4)</f>
        <v>0.75949999999999995</v>
      </c>
      <c r="J121" s="3301">
        <f t="shared" si="33"/>
        <v>0.75949999999999995</v>
      </c>
      <c r="K121" s="3301">
        <f t="shared" si="33"/>
        <v>0.75949999999999995</v>
      </c>
      <c r="L121" s="3301">
        <f t="shared" si="33"/>
        <v>0.75949999999999995</v>
      </c>
      <c r="M121" s="3360">
        <f t="shared" si="33"/>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3"/>
        <v>0.55249999999999999</v>
      </c>
      <c r="K122" s="3361">
        <f t="shared" si="33"/>
        <v>0.55249999999999999</v>
      </c>
      <c r="L122" s="3361">
        <f t="shared" si="33"/>
        <v>0.55249999999999999</v>
      </c>
      <c r="M122" s="3362">
        <f t="shared" si="33"/>
        <v>0.55249999999999999</v>
      </c>
    </row>
    <row r="123" spans="1:14" ht="12.75">
      <c r="A123" s="3359" t="s">
        <v>2448</v>
      </c>
      <c r="B123" s="3301">
        <f>ROUND(0.9404-0.0106*B117,4)</f>
        <v>0.91920000000000002</v>
      </c>
      <c r="C123" s="3301">
        <f>B123</f>
        <v>0.91920000000000002</v>
      </c>
      <c r="D123" s="3301">
        <f>ROUND(0.8955-0.0135*B117,4)</f>
        <v>0.86850000000000005</v>
      </c>
      <c r="E123" s="3301">
        <f t="shared" ref="E123:H123" si="35">D123</f>
        <v>0.86850000000000005</v>
      </c>
      <c r="F123" s="3301">
        <f t="shared" si="35"/>
        <v>0.86850000000000005</v>
      </c>
      <c r="G123" s="3301">
        <f t="shared" si="35"/>
        <v>0.86850000000000005</v>
      </c>
      <c r="H123" s="3301">
        <f t="shared" si="35"/>
        <v>0.86850000000000005</v>
      </c>
      <c r="I123" s="3301">
        <f>ROUND(0.7632-0.0166*B117,4)</f>
        <v>0.73</v>
      </c>
      <c r="J123" s="3301">
        <f t="shared" si="33"/>
        <v>0.73</v>
      </c>
      <c r="K123" s="3301">
        <f t="shared" si="33"/>
        <v>0.73</v>
      </c>
      <c r="L123" s="3301">
        <f t="shared" si="33"/>
        <v>0.73</v>
      </c>
      <c r="M123" s="3360">
        <f t="shared" si="33"/>
        <v>0.73</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76" priority="5" stopIfTrue="1" operator="notEqual">
      <formula>"——"</formula>
    </cfRule>
  </conditionalFormatting>
  <conditionalFormatting sqref="F61">
    <cfRule type="cellIs" dxfId="75" priority="4" stopIfTrue="1" operator="notEqual">
      <formula>"——"</formula>
    </cfRule>
  </conditionalFormatting>
  <conditionalFormatting sqref="F72">
    <cfRule type="cellIs" dxfId="74" priority="3" stopIfTrue="1" operator="notEqual">
      <formula>"——"</formula>
    </cfRule>
  </conditionalFormatting>
  <conditionalFormatting sqref="F83">
    <cfRule type="cellIs" dxfId="73" priority="2" stopIfTrue="1" operator="notEqual">
      <formula>"——"</formula>
    </cfRule>
  </conditionalFormatting>
  <conditionalFormatting sqref="H50:H58 H61:H69 H72:H80 H83:H91 H93:H102">
    <cfRule type="cellIs" dxfId="72" priority="1" operator="notEqual">
      <formula>"——"</formula>
    </cfRule>
  </conditionalFormatting>
  <dataValidations count="12">
    <dataValidation type="list" allowBlank="1" showInputMessage="1" showErrorMessage="1" sqref="J23" xr:uid="{00000000-0002-0000-2700-000000000000}">
      <formula1>"不用分区数据,中心城区,中心城区以外"</formula1>
    </dataValidation>
    <dataValidation type="list" allowBlank="1" showInputMessage="1" showErrorMessage="1" sqref="H20:O20" xr:uid="{00000000-0002-0000-2700-000001000000}">
      <formula1>七通一平</formula1>
    </dataValidation>
    <dataValidation type="list" allowBlank="1" showInputMessage="1" showErrorMessage="1" sqref="C50:C58 C61:C69 C93:C102 C72:C80 C83:C90" xr:uid="{00000000-0002-0000-2700-000002000000}">
      <formula1>五等判定</formula1>
    </dataValidation>
    <dataValidation type="list" allowBlank="1" showInputMessage="1" showErrorMessage="1" sqref="E3" xr:uid="{00000000-0002-0000-2700-000003000000}">
      <formula1>二级分类</formula1>
    </dataValidation>
    <dataValidation type="list" allowBlank="1" showInputMessage="1" showErrorMessage="1" sqref="C8" xr:uid="{00000000-0002-0000-2700-000004000000}">
      <formula1>商业街名称</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H23" xr:uid="{00000000-0002-0000-2700-000006000000}">
      <formula1>"地价指数,季度增幅（自定义）,按公示增长率计算"</formula1>
    </dataValidation>
    <dataValidation type="list" allowBlank="1" showInputMessage="1" showErrorMessage="1" sqref="E15" xr:uid="{00000000-0002-0000-2700-000007000000}">
      <formula1>"500米范围内,500-1000米,1000米以外"</formula1>
    </dataValidation>
    <dataValidation type="list" allowBlank="1" showInputMessage="1" showErrorMessage="1" sqref="C15:D15" xr:uid="{00000000-0002-0000-2700-000008000000}">
      <formula1>"有,无"</formula1>
    </dataValidation>
    <dataValidation type="list" allowBlank="1" showInputMessage="1" showErrorMessage="1" sqref="B25" xr:uid="{00000000-0002-0000-2700-000009000000}">
      <formula1>"容积率修正,楼层修正"</formula1>
    </dataValidation>
    <dataValidation type="list" allowBlank="1" showInputMessage="1" showErrorMessage="1" sqref="F21" xr:uid="{00000000-0002-0000-2700-00000A000000}">
      <formula1>"与级别开发程度一致,与级别开发程度不一致"</formula1>
    </dataValidation>
    <dataValidation type="list" allowBlank="1" showInputMessage="1" showErrorMessage="1" sqref="E2" xr:uid="{00000000-0002-0000-27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R123"/>
  <sheetViews>
    <sheetView view="pageBreakPreview" zoomScale="80" zoomScaleNormal="60" zoomScaleSheetLayoutView="80" workbookViewId="0">
      <selection activeCell="C6" sqref="C6"/>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915</v>
      </c>
      <c r="D1" s="1267">
        <f>SUM(D33:D34,D37:D42)</f>
        <v>2172.2399999999998</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1174</v>
      </c>
      <c r="T1" s="2231" t="s">
        <v>2059</v>
      </c>
      <c r="U1" s="2231" t="s">
        <v>2060</v>
      </c>
      <c r="V1" s="2231" t="s">
        <v>916</v>
      </c>
      <c r="W1" s="1789"/>
      <c r="X1" s="1789"/>
      <c r="Y1" s="1789"/>
      <c r="Z1" s="1789"/>
      <c r="AA1" s="1789"/>
      <c r="AB1" s="1789"/>
      <c r="AC1" s="1790"/>
    </row>
    <row r="2" spans="1:39" ht="15.75">
      <c r="A2" s="1190" t="s">
        <v>848</v>
      </c>
      <c r="B2" s="940">
        <f>C30</f>
        <v>1485</v>
      </c>
      <c r="C2" s="1191" t="s">
        <v>849</v>
      </c>
      <c r="D2" s="1192" t="s">
        <v>833</v>
      </c>
      <c r="E2" s="1193" t="s">
        <v>2732</v>
      </c>
      <c r="F2" s="1192" t="s">
        <v>834</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7721</v>
      </c>
      <c r="U2" s="2222">
        <f>'数据-汇总表'!F21/2</f>
        <v>1086.1199999999999</v>
      </c>
      <c r="V2" s="2232">
        <f>ROUND(T2*U2/10000,0)</f>
        <v>839</v>
      </c>
      <c r="W2" s="1789"/>
      <c r="X2" s="1789"/>
      <c r="Y2" s="1789"/>
      <c r="Z2" s="1789"/>
      <c r="AA2" s="1789"/>
      <c r="AB2" s="1789"/>
      <c r="AC2" s="1790"/>
    </row>
    <row r="3" spans="1:39" ht="15.75">
      <c r="A3" s="1194" t="s">
        <v>1220</v>
      </c>
      <c r="B3" s="940">
        <f>ROUND(B2*10000/D1,0)</f>
        <v>6836</v>
      </c>
      <c r="C3" s="1191" t="s">
        <v>855</v>
      </c>
      <c r="D3" s="1192" t="s">
        <v>856</v>
      </c>
      <c r="E3" s="1195" t="s">
        <v>2454</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5952</v>
      </c>
      <c r="U3" s="2222">
        <f>'数据-汇总表'!F21-'基准地价 (3)'!U2</f>
        <v>1086.1199999999999</v>
      </c>
      <c r="V3" s="2232">
        <f t="shared" ref="V3:V16" si="1">ROUND(T3*U3/10000,0)</f>
        <v>646</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4855</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4842</v>
      </c>
      <c r="D5" s="2357">
        <f>ROUND(C6*C17+C20,0)</f>
        <v>4842</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4122</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4870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3755</v>
      </c>
      <c r="U6" s="2222"/>
      <c r="V6" s="2232">
        <f t="shared" si="1"/>
        <v>0</v>
      </c>
      <c r="W6" s="1789"/>
      <c r="X6" s="1789"/>
      <c r="Y6" s="1789"/>
      <c r="Z6" s="1789"/>
      <c r="AA6" s="1789"/>
      <c r="AB6" s="1789"/>
      <c r="AC6" s="1791"/>
      <c r="AD6" s="1201"/>
      <c r="AE6" s="1201"/>
      <c r="AF6" s="1201"/>
      <c r="AG6" s="1201"/>
      <c r="AH6" s="1201"/>
      <c r="AI6" s="1201"/>
      <c r="AJ6" s="1202"/>
    </row>
    <row r="7" spans="1:39" ht="24.75" thickBot="1">
      <c r="A7" s="3253" t="s">
        <v>1396</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82" t="s">
        <v>2058</v>
      </c>
      <c r="X8" s="3683"/>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4870</v>
      </c>
      <c r="N9" s="1546">
        <f>SUMPRODUCT((因素修正幅度!B277:B326=I2)*(因素修正幅度!C3:G3=E2)*(因素修正幅度!C277:G326))</f>
        <v>0.126</v>
      </c>
      <c r="O9" s="1789"/>
      <c r="P9" s="1789"/>
      <c r="Q9" s="1789"/>
      <c r="R9" s="2232">
        <v>8</v>
      </c>
      <c r="S9" s="2222"/>
      <c r="T9" s="2232">
        <f t="shared" si="0"/>
        <v>0</v>
      </c>
      <c r="U9" s="2222"/>
      <c r="V9" s="2232">
        <f t="shared" si="1"/>
        <v>0</v>
      </c>
      <c r="W9" s="3681"/>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1"/>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1367</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1368</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1369</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0.88249999999999995</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92" t="s">
        <v>1370</v>
      </c>
      <c r="B20" s="1205" t="s">
        <v>875</v>
      </c>
      <c r="C20" s="947">
        <f>ROUND(IF(F21="与级别开发程度一致",0,(G21-E21)/C21),0)</f>
        <v>-28</v>
      </c>
      <c r="D20" s="3687" t="s">
        <v>879</v>
      </c>
      <c r="E20" s="3688"/>
      <c r="F20" s="3687" t="s">
        <v>876</v>
      </c>
      <c r="G20" s="3688"/>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93"/>
      <c r="B21" s="2411" t="s">
        <v>878</v>
      </c>
      <c r="C21" s="2412">
        <f>IF(E3="M4科研用地",SUMPRODUCT((修正!A2:A7=E3)*(修正!B1:M1=G2)*(修正!B2:M7)),SUMPRODUCT((修正!A2:A7=E2)*(修正!B1:M1=G2)*(修正!B2:M7)))</f>
        <v>2</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1355</v>
      </c>
      <c r="B22" s="2406" t="s">
        <v>880</v>
      </c>
      <c r="C22" s="2407">
        <f>SUMIF(修正!C20:C51,E3,修正!E20:E51)</f>
        <v>1</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1356</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258</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1357</v>
      </c>
      <c r="B24" s="2096" t="s">
        <v>896</v>
      </c>
      <c r="C24" s="2097">
        <f>ROUND(POWER(1+G24,J24-I24)*(POWER(1+G24,I24)-1)/(POWER(1+G24,J24)-1),4)</f>
        <v>0.99319999999999997</v>
      </c>
      <c r="D24" s="2098" t="s">
        <v>897</v>
      </c>
      <c r="E24" s="2349">
        <f>存贷款利率!E27/100</f>
        <v>4.3499999999999997E-2</v>
      </c>
      <c r="F24" s="2098" t="s">
        <v>898</v>
      </c>
      <c r="G24" s="2099">
        <f>SUMIF(M30:Q30,E2,M33:Q33)</f>
        <v>5.5E-2</v>
      </c>
      <c r="H24" s="2098" t="s">
        <v>899</v>
      </c>
      <c r="I24" s="2094">
        <f>SUMIF('数据-取费表'!C6:C15,E2,'数据-取费表'!F6:F15)/COUNTIF('数据-取费表'!C6:C15,E2)</f>
        <v>39.07</v>
      </c>
      <c r="J24" s="2100">
        <f>IF(E2="住宅",70,IF(E2="商业",40,50))</f>
        <v>40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3356</v>
      </c>
      <c r="C25" s="1003">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1.0047999999999999</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1485</v>
      </c>
      <c r="D30" s="1238"/>
      <c r="E30" s="1185"/>
      <c r="F30" s="1239"/>
      <c r="G30" s="1185"/>
      <c r="H30" s="1185"/>
      <c r="I30" s="1185"/>
      <c r="J30" s="1240"/>
      <c r="K30" s="1789"/>
      <c r="L30" s="1326" t="s">
        <v>833</v>
      </c>
      <c r="M30" s="1206" t="s">
        <v>900</v>
      </c>
      <c r="N30" s="1206" t="s">
        <v>902</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#REF!</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0</v>
      </c>
      <c r="D33" s="1252">
        <f>'数据-汇总表'!E21</f>
        <v>2172.2399999999998</v>
      </c>
      <c r="E33" s="1538">
        <f>ROUND(C33*D33/10000,0)</f>
        <v>0</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#REF!</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89"/>
      <c r="B37" s="1270" t="s">
        <v>923</v>
      </c>
      <c r="C37" s="954">
        <f>ROUND(D5*C22*C23*C24*C28*F37,0)</f>
        <v>2504</v>
      </c>
      <c r="D37" s="1282"/>
      <c r="E37" s="945">
        <f>ROUND(C37*D37/10000,0)</f>
        <v>0</v>
      </c>
      <c r="F37" s="945">
        <f>SUMIF(修正!A57:A68,G2,修正!B57:B68)</f>
        <v>0.5</v>
      </c>
      <c r="G37" s="945">
        <f>ROUND(IF(E2="工业",C37*$M$42,C37*$M$41),0)</f>
        <v>626</v>
      </c>
      <c r="H37" s="945">
        <f>D37</f>
        <v>0</v>
      </c>
      <c r="I37" s="945">
        <f>ROUND(G37*H37/10000,0)</f>
        <v>0</v>
      </c>
      <c r="J37" s="3689"/>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90"/>
      <c r="B38" s="1215" t="s">
        <v>924</v>
      </c>
      <c r="C38" s="954">
        <f>ROUND(D5*C22*C23*C24*C28*F38,0)</f>
        <v>1002</v>
      </c>
      <c r="D38" s="1282"/>
      <c r="E38" s="945">
        <f t="shared" ref="E38:E42" si="4">ROUND(C38*D38/10000,0)</f>
        <v>0</v>
      </c>
      <c r="F38" s="945">
        <f>SUMIF(修正!A57:A68,G2,修正!C57:C68)</f>
        <v>0.2</v>
      </c>
      <c r="G38" s="945">
        <f>ROUND(IF(E2="工业",C38*$M$42,C38*$M$41),0)</f>
        <v>251</v>
      </c>
      <c r="H38" s="945">
        <f t="shared" ref="H38:H42" si="5">D38</f>
        <v>0</v>
      </c>
      <c r="I38" s="945">
        <f t="shared" ref="I38:I42" si="6">ROUND(G38*H38/10000,0)</f>
        <v>0</v>
      </c>
      <c r="J38" s="3690"/>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90"/>
      <c r="B39" s="3297" t="s">
        <v>3207</v>
      </c>
      <c r="C39" s="954">
        <f>ROUND(D5*C22*C23*C24*C28*F39,0)</f>
        <v>1002</v>
      </c>
      <c r="D39" s="1282"/>
      <c r="E39" s="945">
        <f t="shared" si="4"/>
        <v>0</v>
      </c>
      <c r="F39" s="945">
        <f>SUMIF(修正!A57:A68,G2,修正!D57:D68)</f>
        <v>0.2</v>
      </c>
      <c r="G39" s="945">
        <f>ROUND(IF(E2="工业",C39*$M$42,C39*$M$41),0)</f>
        <v>251</v>
      </c>
      <c r="H39" s="945">
        <f t="shared" si="5"/>
        <v>0</v>
      </c>
      <c r="I39" s="945">
        <f t="shared" si="6"/>
        <v>0</v>
      </c>
      <c r="J39" s="3690"/>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1002</v>
      </c>
      <c r="D40" s="1282"/>
      <c r="E40" s="945">
        <f t="shared" si="4"/>
        <v>0</v>
      </c>
      <c r="F40" s="954">
        <f>SUMIF(修正!A57:A68,G2,修正!E57:E68)</f>
        <v>0.2</v>
      </c>
      <c r="G40" s="945">
        <f>ROUND(IF(E2="工业",C40*$M$42,C40*$M$41),0)</f>
        <v>251</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1005</v>
      </c>
      <c r="D41" s="1282"/>
      <c r="E41" s="945">
        <f t="shared" si="4"/>
        <v>0</v>
      </c>
      <c r="F41" s="954">
        <f>SUMIF(修正!A57:A68,G2,修正!F57:F68)</f>
        <v>0.2</v>
      </c>
      <c r="G41" s="945">
        <f>ROUND(IF(E2="工业",C41*$M$42,C41*$M$41),0)</f>
        <v>251</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502</v>
      </c>
      <c r="D42" s="1282"/>
      <c r="E42" s="946">
        <f t="shared" si="4"/>
        <v>0</v>
      </c>
      <c r="F42" s="956">
        <f>SUMIF(修正!A57:A68,G2,修正!G57:G68)</f>
        <v>0.1</v>
      </c>
      <c r="G42" s="946">
        <f>ROUND(IF(E2="工业",C42*$M$42,C42*$M$41),0)</f>
        <v>126</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0.99629999999999996</v>
      </c>
      <c r="D44" s="348" t="s">
        <v>2234</v>
      </c>
      <c r="E44" s="2394">
        <f>G24</f>
        <v>5.5E-2</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900</v>
      </c>
      <c r="B48" s="3373">
        <f>1+E50</f>
        <v>1.0047999999999999</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t="s">
        <v>3344</v>
      </c>
      <c r="D50" s="3324">
        <f t="shared" ref="D50:D58" si="7">SUMIF($J$49:$N$49,C50,J50:N50)</f>
        <v>-1.89E-2</v>
      </c>
      <c r="E50" s="3325">
        <f>ROUND(SUM(D50:D58),4)</f>
        <v>4.7999999999999996E-3</v>
      </c>
      <c r="F50" s="3326">
        <f>IF(E2="商业",SUMIF(L1:L12,G2,N1:N12),"——")</f>
        <v>0.126</v>
      </c>
      <c r="G50" s="3327">
        <v>1.89E-2</v>
      </c>
      <c r="H50" s="3328">
        <f t="shared" ref="H50:H58" si="8">IFERROR(ROUNDDOWN(($F$50*I50/2),4),"——")</f>
        <v>1.89E-2</v>
      </c>
      <c r="I50" s="3303">
        <v>0.3</v>
      </c>
      <c r="J50" s="3329">
        <f t="shared" ref="J50:J58" si="9">K50+$G50</f>
        <v>3.78E-2</v>
      </c>
      <c r="K50" s="3329">
        <f t="shared" ref="K50:K58" si="10">$L50+$G50</f>
        <v>1.89E-2</v>
      </c>
      <c r="L50" s="3329">
        <v>0</v>
      </c>
      <c r="M50" s="3329">
        <f t="shared" ref="M50:N58" si="11">L50-$G50</f>
        <v>-1.89E-2</v>
      </c>
      <c r="N50" s="3329">
        <f t="shared" si="11"/>
        <v>-3.78E-2</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t="s">
        <v>3343</v>
      </c>
      <c r="D51" s="3324">
        <f t="shared" si="7"/>
        <v>0</v>
      </c>
      <c r="E51" s="3330"/>
      <c r="F51" s="3326"/>
      <c r="G51" s="3327">
        <v>1.38E-2</v>
      </c>
      <c r="H51" s="3328">
        <f t="shared" si="8"/>
        <v>1.38E-2</v>
      </c>
      <c r="I51" s="3303">
        <v>0.22</v>
      </c>
      <c r="J51" s="3329">
        <f t="shared" si="9"/>
        <v>2.76E-2</v>
      </c>
      <c r="K51" s="3329">
        <f t="shared" si="10"/>
        <v>1.38E-2</v>
      </c>
      <c r="L51" s="3329">
        <v>0</v>
      </c>
      <c r="M51" s="3329">
        <f t="shared" si="11"/>
        <v>-1.38E-2</v>
      </c>
      <c r="N51" s="3329">
        <f t="shared" si="11"/>
        <v>-2.76E-2</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t="s">
        <v>3348</v>
      </c>
      <c r="D52" s="3324">
        <f t="shared" si="7"/>
        <v>7.4999999999999997E-3</v>
      </c>
      <c r="E52" s="3330"/>
      <c r="F52" s="3326"/>
      <c r="G52" s="3327">
        <v>7.4999999999999997E-3</v>
      </c>
      <c r="H52" s="3328">
        <f t="shared" si="8"/>
        <v>7.4999999999999997E-3</v>
      </c>
      <c r="I52" s="3303">
        <v>0.12</v>
      </c>
      <c r="J52" s="3329">
        <f t="shared" si="9"/>
        <v>1.4999999999999999E-2</v>
      </c>
      <c r="K52" s="3329">
        <f t="shared" si="10"/>
        <v>7.4999999999999997E-3</v>
      </c>
      <c r="L52" s="3329">
        <v>0</v>
      </c>
      <c r="M52" s="3329">
        <f t="shared" si="11"/>
        <v>-7.4999999999999997E-3</v>
      </c>
      <c r="N52" s="3329">
        <f t="shared" si="11"/>
        <v>-1.4999999999999999E-2</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t="s">
        <v>3348</v>
      </c>
      <c r="D53" s="3324">
        <f t="shared" si="7"/>
        <v>3.0999999999999999E-3</v>
      </c>
      <c r="E53" s="3330"/>
      <c r="F53" s="3326"/>
      <c r="G53" s="3327">
        <v>3.0999999999999999E-3</v>
      </c>
      <c r="H53" s="3328">
        <f t="shared" si="8"/>
        <v>3.0999999999999999E-3</v>
      </c>
      <c r="I53" s="3303">
        <v>0.05</v>
      </c>
      <c r="J53" s="3329">
        <f t="shared" si="9"/>
        <v>6.1999999999999998E-3</v>
      </c>
      <c r="K53" s="3329">
        <f t="shared" si="10"/>
        <v>3.0999999999999999E-3</v>
      </c>
      <c r="L53" s="3329">
        <v>0</v>
      </c>
      <c r="M53" s="3329">
        <f t="shared" si="11"/>
        <v>-3.0999999999999999E-3</v>
      </c>
      <c r="N53" s="3329">
        <f t="shared" si="11"/>
        <v>-6.1999999999999998E-3</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t="s">
        <v>3343</v>
      </c>
      <c r="D54" s="3324">
        <f t="shared" si="7"/>
        <v>0</v>
      </c>
      <c r="E54" s="3330"/>
      <c r="F54" s="3326"/>
      <c r="G54" s="3327">
        <v>5.0000000000000001E-3</v>
      </c>
      <c r="H54" s="3328">
        <f t="shared" si="8"/>
        <v>5.0000000000000001E-3</v>
      </c>
      <c r="I54" s="3303">
        <v>0.08</v>
      </c>
      <c r="J54" s="3329">
        <f t="shared" si="9"/>
        <v>0.01</v>
      </c>
      <c r="K54" s="3329">
        <f t="shared" si="10"/>
        <v>5.0000000000000001E-3</v>
      </c>
      <c r="L54" s="3329">
        <v>0</v>
      </c>
      <c r="M54" s="3329">
        <f t="shared" si="11"/>
        <v>-5.0000000000000001E-3</v>
      </c>
      <c r="N54" s="3329">
        <f t="shared" si="11"/>
        <v>-0.01</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t="s">
        <v>3348</v>
      </c>
      <c r="D55" s="3324">
        <f t="shared" si="7"/>
        <v>3.0999999999999999E-3</v>
      </c>
      <c r="E55" s="3330"/>
      <c r="F55" s="3326"/>
      <c r="G55" s="3327">
        <v>3.0999999999999999E-3</v>
      </c>
      <c r="H55" s="3328">
        <f t="shared" si="8"/>
        <v>3.0999999999999999E-3</v>
      </c>
      <c r="I55" s="3303">
        <v>0.05</v>
      </c>
      <c r="J55" s="3329">
        <f t="shared" si="9"/>
        <v>6.1999999999999998E-3</v>
      </c>
      <c r="K55" s="3329">
        <f t="shared" si="10"/>
        <v>3.0999999999999999E-3</v>
      </c>
      <c r="L55" s="3329">
        <v>0</v>
      </c>
      <c r="M55" s="3329">
        <f t="shared" si="11"/>
        <v>-3.0999999999999999E-3</v>
      </c>
      <c r="N55" s="3329">
        <f t="shared" si="11"/>
        <v>-6.1999999999999998E-3</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t="s">
        <v>3343</v>
      </c>
      <c r="D56" s="3324">
        <f t="shared" si="7"/>
        <v>0</v>
      </c>
      <c r="E56" s="3330"/>
      <c r="F56" s="3326"/>
      <c r="G56" s="3327">
        <v>3.0999999999999999E-3</v>
      </c>
      <c r="H56" s="3328">
        <f t="shared" si="8"/>
        <v>3.0999999999999999E-3</v>
      </c>
      <c r="I56" s="3303">
        <v>0.05</v>
      </c>
      <c r="J56" s="3329">
        <f t="shared" si="9"/>
        <v>6.1999999999999998E-3</v>
      </c>
      <c r="K56" s="3329">
        <f t="shared" si="10"/>
        <v>3.0999999999999999E-3</v>
      </c>
      <c r="L56" s="3329">
        <v>0</v>
      </c>
      <c r="M56" s="3329">
        <f t="shared" si="11"/>
        <v>-3.0999999999999999E-3</v>
      </c>
      <c r="N56" s="3329">
        <f t="shared" si="11"/>
        <v>-6.1999999999999998E-3</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t="s">
        <v>3354</v>
      </c>
      <c r="D57" s="3324">
        <f t="shared" si="7"/>
        <v>0.01</v>
      </c>
      <c r="E57" s="3330"/>
      <c r="F57" s="3326"/>
      <c r="G57" s="3327">
        <v>5.0000000000000001E-3</v>
      </c>
      <c r="H57" s="3328">
        <f t="shared" si="8"/>
        <v>5.0000000000000001E-3</v>
      </c>
      <c r="I57" s="3303">
        <v>0.08</v>
      </c>
      <c r="J57" s="3329">
        <f t="shared" si="9"/>
        <v>0.01</v>
      </c>
      <c r="K57" s="3329">
        <f t="shared" si="10"/>
        <v>5.0000000000000001E-3</v>
      </c>
      <c r="L57" s="3329">
        <v>0</v>
      </c>
      <c r="M57" s="3329">
        <f t="shared" si="11"/>
        <v>-5.0000000000000001E-3</v>
      </c>
      <c r="N57" s="3329">
        <f t="shared" si="11"/>
        <v>-0.01</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t="s">
        <v>3343</v>
      </c>
      <c r="D58" s="3324">
        <f t="shared" si="7"/>
        <v>0</v>
      </c>
      <c r="E58" s="3337"/>
      <c r="F58" s="3326"/>
      <c r="G58" s="3327">
        <v>3.0999999999999999E-3</v>
      </c>
      <c r="H58" s="3328">
        <f t="shared" si="8"/>
        <v>3.0999999999999999E-3</v>
      </c>
      <c r="I58" s="3305">
        <v>0.05</v>
      </c>
      <c r="J58" s="3329">
        <f t="shared" si="9"/>
        <v>6.1999999999999998E-3</v>
      </c>
      <c r="K58" s="3329">
        <f t="shared" si="10"/>
        <v>3.0999999999999999E-3</v>
      </c>
      <c r="L58" s="3329">
        <v>0</v>
      </c>
      <c r="M58" s="3329">
        <f t="shared" si="11"/>
        <v>-3.0999999999999999E-3</v>
      </c>
      <c r="N58" s="3329">
        <f t="shared" si="11"/>
        <v>-6.1999999999999998E-3</v>
      </c>
      <c r="P58" s="1798"/>
      <c r="Q58" s="1798"/>
      <c r="R58" s="1798"/>
      <c r="S58" s="1798"/>
      <c r="T58" s="1798"/>
      <c r="U58" s="1798"/>
      <c r="V58" s="1798"/>
      <c r="W58" s="1798"/>
      <c r="X58" s="1798"/>
      <c r="Y58" s="1798"/>
      <c r="Z58" s="1798"/>
      <c r="AA58" s="1798"/>
      <c r="AB58" s="1798"/>
      <c r="AC58" s="1798"/>
      <c r="AD58" s="1798"/>
    </row>
    <row r="59" spans="1:30" s="3310" customFormat="1" ht="15">
      <c r="A59" s="3311" t="s">
        <v>902</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1607</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2193</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835</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1607</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t="str">
        <f>IF(E2="住宅",SUMIF(L1:L12,G2,N1:N12),"——")</f>
        <v>——</v>
      </c>
      <c r="G72" s="3341">
        <v>1.41E-2</v>
      </c>
      <c r="H72" s="3342" t="str">
        <f t="shared" ref="H72:H80" si="18">IFERROR(ROUNDDOWN($F$72*I72/2,4),"——")</f>
        <v>——</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943</v>
      </c>
      <c r="B73" s="3316" t="str">
        <f>估价对象房地状况!C18</f>
        <v>较差</v>
      </c>
      <c r="C73" s="3340" t="s">
        <v>3343</v>
      </c>
      <c r="D73" s="3324">
        <f t="shared" si="17"/>
        <v>0</v>
      </c>
      <c r="E73" s="3330"/>
      <c r="F73" s="3326"/>
      <c r="G73" s="3341">
        <v>1.83E-2</v>
      </c>
      <c r="H73" s="3342" t="str">
        <f t="shared" si="18"/>
        <v>——</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t="str">
        <f t="shared" si="18"/>
        <v>——</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t="str">
        <f t="shared" si="18"/>
        <v>——</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t="str">
        <f t="shared" si="18"/>
        <v>——</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t="str">
        <f t="shared" si="18"/>
        <v>——</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t="str">
        <f t="shared" si="18"/>
        <v>——</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t="str">
        <f t="shared" si="18"/>
        <v>——</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t="str">
        <f t="shared" si="18"/>
        <v>——</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909</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1607</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943</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2448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101"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si="28"/>
        <v>0</v>
      </c>
      <c r="N94" s="3353">
        <f t="shared" si="28"/>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1">K95+$G95</f>
        <v>0</v>
      </c>
      <c r="K95" s="3353">
        <f t="shared" si="27"/>
        <v>0</v>
      </c>
      <c r="L95" s="3353">
        <v>0</v>
      </c>
      <c r="M95" s="3353">
        <f t="shared" si="28"/>
        <v>0</v>
      </c>
      <c r="N95" s="3353">
        <f t="shared" si="28"/>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1"/>
        <v>0</v>
      </c>
      <c r="K96" s="3353">
        <f t="shared" si="27"/>
        <v>0</v>
      </c>
      <c r="L96" s="3353">
        <v>0</v>
      </c>
      <c r="M96" s="3353">
        <f>L96-$G96</f>
        <v>0</v>
      </c>
      <c r="N96" s="3353">
        <f t="shared" si="28"/>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1"/>
        <v>0</v>
      </c>
      <c r="K97" s="3353">
        <f t="shared" si="27"/>
        <v>0</v>
      </c>
      <c r="L97" s="3353">
        <v>0</v>
      </c>
      <c r="M97" s="3353">
        <f t="shared" si="28"/>
        <v>0</v>
      </c>
      <c r="N97" s="3353">
        <f t="shared" si="28"/>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1"/>
        <v>0</v>
      </c>
      <c r="K98" s="3353">
        <f t="shared" si="27"/>
        <v>0</v>
      </c>
      <c r="L98" s="3353">
        <v>0</v>
      </c>
      <c r="M98" s="3353">
        <f t="shared" si="28"/>
        <v>0</v>
      </c>
      <c r="N98" s="3353">
        <f t="shared" si="28"/>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1"/>
        <v>0</v>
      </c>
      <c r="K99" s="3353">
        <f t="shared" si="27"/>
        <v>0</v>
      </c>
      <c r="L99" s="3353">
        <v>0</v>
      </c>
      <c r="M99" s="3353">
        <f t="shared" si="28"/>
        <v>0</v>
      </c>
      <c r="N99" s="3353">
        <f t="shared" si="28"/>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1"/>
        <v>0</v>
      </c>
      <c r="K100" s="3353">
        <f t="shared" si="27"/>
        <v>0</v>
      </c>
      <c r="L100" s="3353">
        <v>0</v>
      </c>
      <c r="M100" s="3353">
        <f t="shared" si="28"/>
        <v>0</v>
      </c>
      <c r="N100" s="3353">
        <f t="shared" si="28"/>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1"/>
        <v>0</v>
      </c>
      <c r="K101" s="3353">
        <f t="shared" si="27"/>
        <v>0</v>
      </c>
      <c r="L101" s="3353">
        <v>0</v>
      </c>
      <c r="M101" s="3353">
        <f t="shared" si="28"/>
        <v>0</v>
      </c>
      <c r="N101" s="3353">
        <f t="shared" si="28"/>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94" t="s">
        <v>1172</v>
      </c>
      <c r="B104" s="3694"/>
      <c r="C104" s="3694"/>
      <c r="D104" s="3694"/>
      <c r="E104" s="3694"/>
      <c r="F104" s="3694"/>
      <c r="G104" s="3694"/>
      <c r="H104" s="3694"/>
      <c r="I104" s="3694"/>
      <c r="J104" s="3694"/>
      <c r="K104" s="1000"/>
      <c r="L104" s="1000"/>
      <c r="M104" s="1000"/>
      <c r="N104" s="1000"/>
    </row>
    <row r="105" spans="1:36">
      <c r="A105" s="3695" t="s">
        <v>833</v>
      </c>
      <c r="B105" s="3695" t="s">
        <v>1173</v>
      </c>
      <c r="C105" s="988" t="s">
        <v>1174</v>
      </c>
      <c r="D105" s="989"/>
      <c r="E105" s="989"/>
      <c r="F105" s="989"/>
      <c r="G105" s="989"/>
      <c r="H105" s="989"/>
      <c r="I105" s="989"/>
      <c r="J105" s="990"/>
      <c r="K105" s="983"/>
      <c r="L105" s="983"/>
      <c r="M105" s="983"/>
      <c r="N105" s="983"/>
    </row>
    <row r="106" spans="1:36">
      <c r="A106" s="3695"/>
      <c r="B106" s="3695"/>
      <c r="C106" s="999" t="s">
        <v>819</v>
      </c>
      <c r="D106" s="999" t="s">
        <v>820</v>
      </c>
      <c r="E106" s="999" t="s">
        <v>821</v>
      </c>
      <c r="F106" s="999" t="s">
        <v>822</v>
      </c>
      <c r="G106" s="999" t="s">
        <v>823</v>
      </c>
      <c r="H106" s="999" t="s">
        <v>824</v>
      </c>
      <c r="I106" s="999" t="s">
        <v>825</v>
      </c>
      <c r="J106" s="999" t="s">
        <v>826</v>
      </c>
      <c r="K106" s="999" t="s">
        <v>827</v>
      </c>
      <c r="L106" s="999" t="s">
        <v>828</v>
      </c>
      <c r="M106" s="999" t="s">
        <v>829</v>
      </c>
      <c r="N106" s="999" t="s">
        <v>830</v>
      </c>
    </row>
    <row r="107" spans="1:36">
      <c r="A107" s="3684"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85"/>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85"/>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85"/>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85"/>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85"/>
      <c r="B112" s="991" t="s">
        <v>3225</v>
      </c>
      <c r="C112" s="993">
        <f>$I$3</f>
        <v>0</v>
      </c>
      <c r="D112" s="993">
        <f t="shared" ref="D112:N112" si="32">$I$3</f>
        <v>0</v>
      </c>
      <c r="E112" s="993">
        <f t="shared" si="32"/>
        <v>0</v>
      </c>
      <c r="F112" s="993">
        <f t="shared" si="32"/>
        <v>0</v>
      </c>
      <c r="G112" s="993">
        <f t="shared" si="32"/>
        <v>0</v>
      </c>
      <c r="H112" s="993">
        <f t="shared" si="32"/>
        <v>0</v>
      </c>
      <c r="I112" s="993">
        <f t="shared" si="32"/>
        <v>0</v>
      </c>
      <c r="J112" s="993">
        <f t="shared" si="32"/>
        <v>0</v>
      </c>
      <c r="K112" s="993">
        <f t="shared" si="32"/>
        <v>0</v>
      </c>
      <c r="L112" s="993">
        <f t="shared" si="32"/>
        <v>0</v>
      </c>
      <c r="M112" s="993">
        <f t="shared" si="32"/>
        <v>0</v>
      </c>
      <c r="N112" s="993">
        <f t="shared" si="32"/>
        <v>0</v>
      </c>
    </row>
    <row r="113" spans="1:14">
      <c r="A113" s="3686"/>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91" t="s">
        <v>1175</v>
      </c>
      <c r="B114" s="3691"/>
      <c r="C114" s="3691"/>
      <c r="D114" s="3691"/>
      <c r="E114" s="3691"/>
      <c r="F114" s="3691"/>
      <c r="G114" s="3691"/>
      <c r="H114" s="3691"/>
      <c r="I114" s="3691"/>
      <c r="J114" s="3691"/>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商业</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3">I119</f>
        <v>0.81259999999999999</v>
      </c>
      <c r="K119" s="3301">
        <f t="shared" si="33"/>
        <v>0.81259999999999999</v>
      </c>
      <c r="L119" s="3301">
        <f t="shared" si="33"/>
        <v>0.81259999999999999</v>
      </c>
      <c r="M119" s="3360">
        <f t="shared" si="33"/>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4">D120</f>
        <v>0.91310000000000002</v>
      </c>
      <c r="F120" s="3301">
        <f t="shared" si="34"/>
        <v>0.91310000000000002</v>
      </c>
      <c r="G120" s="3301">
        <f t="shared" si="34"/>
        <v>0.91310000000000002</v>
      </c>
      <c r="H120" s="3301">
        <f t="shared" si="34"/>
        <v>0.91310000000000002</v>
      </c>
      <c r="I120" s="3301">
        <f>ROUND(0.838-0.0182*B117,4)</f>
        <v>0.80159999999999998</v>
      </c>
      <c r="J120" s="3301">
        <f t="shared" si="33"/>
        <v>0.80159999999999998</v>
      </c>
      <c r="K120" s="3301">
        <f t="shared" si="33"/>
        <v>0.80159999999999998</v>
      </c>
      <c r="L120" s="3301">
        <f t="shared" si="33"/>
        <v>0.80159999999999998</v>
      </c>
      <c r="M120" s="3360">
        <f t="shared" si="33"/>
        <v>0.80159999999999998</v>
      </c>
    </row>
    <row r="121" spans="1:14" ht="12.75">
      <c r="A121" s="3357" t="s">
        <v>3228</v>
      </c>
      <c r="B121" s="3301">
        <f>ROUND(0.9448-0.0115*B117,4)</f>
        <v>0.92179999999999995</v>
      </c>
      <c r="C121" s="3301">
        <f>B121</f>
        <v>0.92179999999999995</v>
      </c>
      <c r="D121" s="3301">
        <f>ROUND(0.937-0.0145*B117,4)</f>
        <v>0.90800000000000003</v>
      </c>
      <c r="E121" s="3301">
        <f t="shared" si="34"/>
        <v>0.90800000000000003</v>
      </c>
      <c r="F121" s="3301">
        <f t="shared" si="34"/>
        <v>0.90800000000000003</v>
      </c>
      <c r="G121" s="3301">
        <f t="shared" si="34"/>
        <v>0.90800000000000003</v>
      </c>
      <c r="H121" s="3301">
        <f t="shared" si="34"/>
        <v>0.90800000000000003</v>
      </c>
      <c r="I121" s="3301">
        <f>ROUND(0.7965-0.0185*B117,4)</f>
        <v>0.75949999999999995</v>
      </c>
      <c r="J121" s="3301">
        <f t="shared" si="33"/>
        <v>0.75949999999999995</v>
      </c>
      <c r="K121" s="3301">
        <f t="shared" si="33"/>
        <v>0.75949999999999995</v>
      </c>
      <c r="L121" s="3301">
        <f t="shared" si="33"/>
        <v>0.75949999999999995</v>
      </c>
      <c r="M121" s="3360">
        <f t="shared" si="33"/>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3"/>
        <v>0.55249999999999999</v>
      </c>
      <c r="K122" s="3361">
        <f t="shared" si="33"/>
        <v>0.55249999999999999</v>
      </c>
      <c r="L122" s="3361">
        <f t="shared" si="33"/>
        <v>0.55249999999999999</v>
      </c>
      <c r="M122" s="3362">
        <f t="shared" si="33"/>
        <v>0.55249999999999999</v>
      </c>
    </row>
    <row r="123" spans="1:14" ht="12.75">
      <c r="A123" s="3359" t="s">
        <v>2448</v>
      </c>
      <c r="B123" s="3301">
        <f>ROUND(0.9404-0.0106*B117,4)</f>
        <v>0.91920000000000002</v>
      </c>
      <c r="C123" s="3301">
        <f>B123</f>
        <v>0.91920000000000002</v>
      </c>
      <c r="D123" s="3301">
        <f>ROUND(0.8955-0.0135*B117,4)</f>
        <v>0.86850000000000005</v>
      </c>
      <c r="E123" s="3301">
        <f t="shared" ref="E123:H123" si="35">D123</f>
        <v>0.86850000000000005</v>
      </c>
      <c r="F123" s="3301">
        <f t="shared" si="35"/>
        <v>0.86850000000000005</v>
      </c>
      <c r="G123" s="3301">
        <f t="shared" si="35"/>
        <v>0.86850000000000005</v>
      </c>
      <c r="H123" s="3301">
        <f t="shared" si="35"/>
        <v>0.86850000000000005</v>
      </c>
      <c r="I123" s="3301">
        <f>ROUND(0.7632-0.0166*B117,4)</f>
        <v>0.73</v>
      </c>
      <c r="J123" s="3301">
        <f t="shared" si="33"/>
        <v>0.73</v>
      </c>
      <c r="K123" s="3301">
        <f t="shared" si="33"/>
        <v>0.73</v>
      </c>
      <c r="L123" s="3301">
        <f t="shared" si="33"/>
        <v>0.73</v>
      </c>
      <c r="M123" s="3360">
        <f t="shared" si="33"/>
        <v>0.73</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71" priority="5" stopIfTrue="1" operator="notEqual">
      <formula>"——"</formula>
    </cfRule>
  </conditionalFormatting>
  <conditionalFormatting sqref="F61">
    <cfRule type="cellIs" dxfId="70" priority="4" stopIfTrue="1" operator="notEqual">
      <formula>"——"</formula>
    </cfRule>
  </conditionalFormatting>
  <conditionalFormatting sqref="F72">
    <cfRule type="cellIs" dxfId="69" priority="3" stopIfTrue="1" operator="notEqual">
      <formula>"——"</formula>
    </cfRule>
  </conditionalFormatting>
  <conditionalFormatting sqref="F83">
    <cfRule type="cellIs" dxfId="68" priority="2" stopIfTrue="1" operator="notEqual">
      <formula>"——"</formula>
    </cfRule>
  </conditionalFormatting>
  <conditionalFormatting sqref="H50:H58 H61:H69 H72:H80 H83:H91 H93:H102">
    <cfRule type="cellIs" dxfId="67" priority="1" operator="notEqual">
      <formula>"——"</formula>
    </cfRule>
  </conditionalFormatting>
  <dataValidations count="12">
    <dataValidation type="list" allowBlank="1" showInputMessage="1" showErrorMessage="1" sqref="E2" xr:uid="{00000000-0002-0000-2800-000000000000}">
      <formula1>"商业,办公,住宅,工业,公共服务"</formula1>
    </dataValidation>
    <dataValidation type="list" allowBlank="1" showInputMessage="1" showErrorMessage="1" sqref="F21" xr:uid="{00000000-0002-0000-2800-000001000000}">
      <formula1>"与级别开发程度一致,与级别开发程度不一致"</formula1>
    </dataValidation>
    <dataValidation type="list" allowBlank="1" showInputMessage="1" showErrorMessage="1" sqref="B25" xr:uid="{00000000-0002-0000-2800-000002000000}">
      <formula1>"容积率修正,楼层修正"</formula1>
    </dataValidation>
    <dataValidation type="list" allowBlank="1" showInputMessage="1" showErrorMessage="1" sqref="C15:D15" xr:uid="{00000000-0002-0000-2800-000003000000}">
      <formula1>"有,无"</formula1>
    </dataValidation>
    <dataValidation type="list" allowBlank="1" showInputMessage="1" showErrorMessage="1" sqref="E15" xr:uid="{00000000-0002-0000-2800-000004000000}">
      <formula1>"500米范围内,500-1000米,1000米以外"</formula1>
    </dataValidation>
    <dataValidation type="list" allowBlank="1" showInputMessage="1" showErrorMessage="1" sqref="H23" xr:uid="{00000000-0002-0000-2800-000005000000}">
      <formula1>"地价指数,季度增幅（自定义）,按公示增长率计算"</formula1>
    </dataValidation>
    <dataValidation type="list" allowBlank="1" showInputMessage="1" showErrorMessage="1" sqref="F3" xr:uid="{00000000-0002-0000-2800-000006000000}">
      <formula1>"宗地容积率,估价对象容积率,自定义容积率"</formula1>
    </dataValidation>
    <dataValidation type="list" allowBlank="1" showInputMessage="1" showErrorMessage="1" sqref="C8" xr:uid="{00000000-0002-0000-2800-000007000000}">
      <formula1>商业街名称</formula1>
    </dataValidation>
    <dataValidation type="list" allowBlank="1" showInputMessage="1" showErrorMessage="1" sqref="E3" xr:uid="{00000000-0002-0000-2800-000008000000}">
      <formula1>二级分类</formula1>
    </dataValidation>
    <dataValidation type="list" allowBlank="1" showInputMessage="1" showErrorMessage="1" sqref="C50:C58 C61:C69 C93:C102 C72:C80 C83:C90" xr:uid="{00000000-0002-0000-2800-000009000000}">
      <formula1>五等判定</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2276</v>
      </c>
    </row>
    <row r="7" spans="1:25" s="1783" customFormat="1" ht="13.5" customHeight="1">
      <c r="A7" s="1981">
        <v>1</v>
      </c>
      <c r="B7" s="684" t="s">
        <v>557</v>
      </c>
      <c r="C7" s="685">
        <f>C8+C9</f>
        <v>0</v>
      </c>
      <c r="D7" s="685"/>
      <c r="E7" s="686"/>
      <c r="F7" s="686"/>
      <c r="G7" s="1990"/>
    </row>
    <row r="8" spans="1:25" s="1783" customFormat="1" ht="13.5" customHeight="1">
      <c r="A8" s="1981" t="s">
        <v>1784</v>
      </c>
      <c r="B8" s="1984" t="s">
        <v>1786</v>
      </c>
      <c r="C8" s="2768">
        <f>ROUND(D8*E8/10000,0)</f>
        <v>0</v>
      </c>
      <c r="D8" s="2768">
        <v>0</v>
      </c>
      <c r="E8" s="2769">
        <v>0</v>
      </c>
      <c r="F8" s="686"/>
      <c r="G8" s="687"/>
    </row>
    <row r="9" spans="1:25" s="1783" customFormat="1" ht="13.5" customHeight="1">
      <c r="A9" s="1981" t="s">
        <v>1785</v>
      </c>
      <c r="B9" s="1984" t="s">
        <v>1787</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1784</v>
      </c>
      <c r="B11" s="688" t="s">
        <v>558</v>
      </c>
      <c r="C11" s="689">
        <f>'数据-取费表'!B29</f>
        <v>0</v>
      </c>
      <c r="D11" s="690"/>
      <c r="E11" s="689"/>
      <c r="F11" s="691"/>
      <c r="G11" s="1989" t="s">
        <v>1795</v>
      </c>
    </row>
    <row r="12" spans="1:25" s="1783" customFormat="1" ht="13.5" customHeight="1">
      <c r="A12" s="1987" t="s">
        <v>1792</v>
      </c>
      <c r="B12" s="692" t="s">
        <v>559</v>
      </c>
      <c r="C12" s="693">
        <f>ROUND(D12*E12/10000,0)</f>
        <v>552</v>
      </c>
      <c r="D12" s="2768">
        <f>'数据-汇总表'!E5</f>
        <v>34475.879999999997</v>
      </c>
      <c r="E12" s="2768">
        <f>'数据-取费表'!B27</f>
        <v>160</v>
      </c>
      <c r="F12" s="691"/>
      <c r="G12" s="694"/>
    </row>
    <row r="13" spans="1:25" s="1783" customFormat="1" ht="13.5" customHeight="1">
      <c r="A13" s="1987" t="s">
        <v>1791</v>
      </c>
      <c r="B13" s="692" t="s">
        <v>560</v>
      </c>
      <c r="C13" s="693">
        <f>ROUND(D13*E13/10000,0)</f>
        <v>470</v>
      </c>
      <c r="D13" s="2768">
        <f>'数据-汇总表'!E6</f>
        <v>23513.629999999997</v>
      </c>
      <c r="E13" s="2768">
        <f>'数据-取费表'!B28</f>
        <v>200</v>
      </c>
      <c r="F13" s="691"/>
      <c r="G13" s="694"/>
    </row>
    <row r="14" spans="1:25" s="1783" customFormat="1" ht="13.5" customHeight="1">
      <c r="A14" s="1981" t="s">
        <v>1785</v>
      </c>
      <c r="B14" s="1986" t="s">
        <v>1788</v>
      </c>
      <c r="C14" s="2770">
        <f>ROUND(D14*E14/10000,0)</f>
        <v>0</v>
      </c>
      <c r="D14" s="2768">
        <v>0</v>
      </c>
      <c r="E14" s="2769">
        <v>0</v>
      </c>
      <c r="F14" s="1985"/>
      <c r="G14" s="1988" t="s">
        <v>1793</v>
      </c>
    </row>
    <row r="15" spans="1:25" s="1783" customFormat="1" ht="13.5" customHeight="1">
      <c r="A15" s="1981" t="s">
        <v>1790</v>
      </c>
      <c r="B15" s="1986" t="s">
        <v>1789</v>
      </c>
      <c r="C15" s="2770">
        <f>ROUND(D15*E15/10000,0)</f>
        <v>0</v>
      </c>
      <c r="D15" s="2768">
        <v>0</v>
      </c>
      <c r="E15" s="2769">
        <v>0</v>
      </c>
      <c r="F15" s="1985"/>
      <c r="G15" s="1988" t="s">
        <v>1794</v>
      </c>
    </row>
    <row r="16" spans="1:25" s="1784" customFormat="1" ht="48">
      <c r="A16" s="1981">
        <v>3</v>
      </c>
      <c r="B16" s="684" t="s">
        <v>563</v>
      </c>
      <c r="C16" s="2770">
        <f>ROUND(D16*E16/10000,0)</f>
        <v>0</v>
      </c>
      <c r="D16" s="2768">
        <v>0</v>
      </c>
      <c r="E16" s="2769">
        <v>0</v>
      </c>
      <c r="F16" s="696"/>
      <c r="G16" s="694" t="s">
        <v>1796</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0.91100000000000003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900-000000000000}">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5" t="s">
        <v>471</v>
      </c>
      <c r="D4" s="3606"/>
      <c r="E4" s="3645" t="s">
        <v>472</v>
      </c>
      <c r="F4" s="3646"/>
      <c r="G4" s="3605" t="s">
        <v>473</v>
      </c>
      <c r="H4" s="3606"/>
      <c r="I4" s="3605" t="s">
        <v>474</v>
      </c>
      <c r="J4" s="3606"/>
      <c r="K4" s="465" t="s">
        <v>475</v>
      </c>
      <c r="L4" s="1741"/>
      <c r="M4" s="1742"/>
      <c r="N4" s="1742"/>
      <c r="O4" s="1742"/>
      <c r="P4" s="3607" t="s">
        <v>476</v>
      </c>
      <c r="Q4" s="3608"/>
      <c r="R4" s="3613" t="s">
        <v>472</v>
      </c>
      <c r="S4" s="3614"/>
      <c r="T4" s="3613" t="s">
        <v>473</v>
      </c>
      <c r="U4" s="3614"/>
      <c r="V4" s="3600" t="s">
        <v>474</v>
      </c>
      <c r="W4" s="3600"/>
      <c r="X4" s="1302"/>
      <c r="Y4" s="3613" t="s">
        <v>476</v>
      </c>
      <c r="Z4" s="3614"/>
      <c r="AA4" s="3602" t="s">
        <v>472</v>
      </c>
      <c r="AB4" s="3600" t="s">
        <v>473</v>
      </c>
      <c r="AC4" s="3602" t="s">
        <v>474</v>
      </c>
    </row>
    <row r="5" spans="1:29" ht="15">
      <c r="A5" s="466"/>
      <c r="B5" s="467"/>
      <c r="C5" s="3621" t="s">
        <v>2185</v>
      </c>
      <c r="D5" s="3622"/>
      <c r="E5" s="3647" t="s">
        <v>2186</v>
      </c>
      <c r="F5" s="3648"/>
      <c r="G5" s="3621" t="s">
        <v>2187</v>
      </c>
      <c r="H5" s="3622"/>
      <c r="I5" s="3621" t="s">
        <v>2188</v>
      </c>
      <c r="J5" s="3622"/>
      <c r="K5" s="465"/>
      <c r="L5" s="1741"/>
      <c r="M5" s="1742"/>
      <c r="N5" s="1742"/>
      <c r="O5" s="1742"/>
      <c r="P5" s="3609"/>
      <c r="Q5" s="3610"/>
      <c r="R5" s="3615"/>
      <c r="S5" s="3616"/>
      <c r="T5" s="3615"/>
      <c r="U5" s="3616"/>
      <c r="V5" s="3600"/>
      <c r="W5" s="3600"/>
      <c r="X5" s="1302"/>
      <c r="Y5" s="3615"/>
      <c r="Z5" s="3616"/>
      <c r="AA5" s="3603"/>
      <c r="AB5" s="3600"/>
      <c r="AC5" s="3603"/>
    </row>
    <row r="6" spans="1:29" ht="15.75" thickBot="1">
      <c r="A6" s="468"/>
      <c r="B6" s="469"/>
      <c r="C6" s="3619" t="s">
        <v>2189</v>
      </c>
      <c r="D6" s="3620"/>
      <c r="E6" s="3643" t="s">
        <v>2189</v>
      </c>
      <c r="F6" s="3644"/>
      <c r="G6" s="3619" t="s">
        <v>2189</v>
      </c>
      <c r="H6" s="3620"/>
      <c r="I6" s="3619" t="s">
        <v>2189</v>
      </c>
      <c r="J6" s="3620"/>
      <c r="K6" s="465" t="s">
        <v>477</v>
      </c>
      <c r="L6" s="1741"/>
      <c r="M6" s="1742"/>
      <c r="N6" s="1742"/>
      <c r="O6" s="1742"/>
      <c r="P6" s="3611"/>
      <c r="Q6" s="3612"/>
      <c r="R6" s="3615"/>
      <c r="S6" s="3616"/>
      <c r="T6" s="3617"/>
      <c r="U6" s="3618"/>
      <c r="V6" s="3600"/>
      <c r="W6" s="3600"/>
      <c r="X6" s="1302"/>
      <c r="Y6" s="3617"/>
      <c r="Z6" s="3618"/>
      <c r="AA6" s="3604"/>
      <c r="AB6" s="3600"/>
      <c r="AC6" s="3604"/>
    </row>
    <row r="7" spans="1:29" s="1059" customFormat="1" ht="15.75" thickBot="1">
      <c r="A7" s="2208"/>
      <c r="B7" s="2215" t="s">
        <v>478</v>
      </c>
      <c r="C7" s="470">
        <f>'数据-取费表'!B2</f>
        <v>45617</v>
      </c>
      <c r="D7" s="471">
        <v>100</v>
      </c>
      <c r="E7" s="472"/>
      <c r="F7" s="473">
        <f>SUMIF(58:58,YEAR(E7)&amp;"-"&amp;MONTH(E7),59:59)</f>
        <v>0</v>
      </c>
      <c r="G7" s="472"/>
      <c r="H7" s="471">
        <f>SUMIF(58:58,YEAR(G7)&amp;"-"&amp;MONTH(G7),59:59)</f>
        <v>0</v>
      </c>
      <c r="I7" s="472"/>
      <c r="J7" s="471">
        <f>SUMIF(58:58,YEAR(I7)&amp;"-"&amp;MONTH(I7),59:59)</f>
        <v>0</v>
      </c>
      <c r="K7" s="88"/>
      <c r="L7" s="1743"/>
      <c r="M7" s="1640"/>
      <c r="N7" s="1640"/>
      <c r="O7" s="1640"/>
      <c r="P7" s="3630" t="s">
        <v>479</v>
      </c>
      <c r="Q7" s="3632"/>
      <c r="R7" s="1303" t="s">
        <v>5</v>
      </c>
      <c r="S7" s="1304">
        <f t="shared" ref="S7:S15" si="0">F7</f>
        <v>0</v>
      </c>
      <c r="T7" s="1303" t="s">
        <v>5</v>
      </c>
      <c r="U7" s="1304">
        <f t="shared" ref="U7:U15" si="1">H7</f>
        <v>0</v>
      </c>
      <c r="V7" s="1303" t="s">
        <v>5</v>
      </c>
      <c r="W7" s="1304">
        <f t="shared" ref="W7:W15" si="2">J7</f>
        <v>0</v>
      </c>
      <c r="X7" s="1305"/>
      <c r="Y7" s="3630" t="s">
        <v>479</v>
      </c>
      <c r="Z7" s="3631"/>
      <c r="AA7" s="996" t="e">
        <f>D7/F7</f>
        <v>#DIV/0!</v>
      </c>
      <c r="AB7" s="996" t="e">
        <f>D7/H7</f>
        <v>#DIV/0!</v>
      </c>
      <c r="AC7" s="996" t="e">
        <f>D7/J7</f>
        <v>#DIV/0!</v>
      </c>
    </row>
    <row r="8" spans="1:29" s="1059"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30" t="s">
        <v>482</v>
      </c>
      <c r="Q8" s="3631"/>
      <c r="R8" s="1303" t="s">
        <v>5</v>
      </c>
      <c r="S8" s="1304">
        <f t="shared" si="0"/>
        <v>0</v>
      </c>
      <c r="T8" s="1303" t="s">
        <v>5</v>
      </c>
      <c r="U8" s="1304">
        <f t="shared" si="1"/>
        <v>0</v>
      </c>
      <c r="V8" s="1303" t="s">
        <v>5</v>
      </c>
      <c r="W8" s="1304">
        <f t="shared" si="2"/>
        <v>0</v>
      </c>
      <c r="X8" s="1305"/>
      <c r="Y8" s="3630" t="s">
        <v>482</v>
      </c>
      <c r="Z8" s="3631"/>
      <c r="AA8" s="996" t="e">
        <f t="shared" ref="AA8:AA46" si="3">D8/F8</f>
        <v>#DIV/0!</v>
      </c>
      <c r="AB8" s="996" t="e">
        <f t="shared" ref="AB8:AB46" si="4">D8/H8</f>
        <v>#DIV/0!</v>
      </c>
      <c r="AC8" s="996" t="e">
        <f t="shared" ref="AC8:AC46" si="5">D8/J8</f>
        <v>#DIV/0!</v>
      </c>
    </row>
    <row r="9" spans="1:29" s="1059" customFormat="1" ht="15">
      <c r="A9" s="2210"/>
      <c r="B9" s="2217" t="s">
        <v>2036</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99" t="s">
        <v>484</v>
      </c>
      <c r="Q9" s="817" t="str">
        <f t="shared" ref="Q9:Q15" si="6">B9</f>
        <v>用途</v>
      </c>
      <c r="R9" s="1303" t="s">
        <v>5</v>
      </c>
      <c r="S9" s="1304">
        <f t="shared" si="0"/>
        <v>100</v>
      </c>
      <c r="T9" s="1303" t="s">
        <v>5</v>
      </c>
      <c r="U9" s="1304">
        <f t="shared" si="1"/>
        <v>100</v>
      </c>
      <c r="V9" s="1303" t="s">
        <v>5</v>
      </c>
      <c r="W9" s="1304">
        <f t="shared" si="2"/>
        <v>100</v>
      </c>
      <c r="X9" s="1305"/>
      <c r="Y9" s="3547"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599"/>
      <c r="Q10" s="817" t="str">
        <f t="shared" si="6"/>
        <v>土地使用年限（年）</v>
      </c>
      <c r="R10" s="1303" t="s">
        <v>5</v>
      </c>
      <c r="S10" s="1304">
        <f t="shared" si="0"/>
        <v>100</v>
      </c>
      <c r="T10" s="1303" t="s">
        <v>5</v>
      </c>
      <c r="U10" s="1304">
        <f t="shared" si="1"/>
        <v>100</v>
      </c>
      <c r="V10" s="1303" t="s">
        <v>5</v>
      </c>
      <c r="W10" s="1304">
        <f t="shared" si="2"/>
        <v>100</v>
      </c>
      <c r="X10" s="1305"/>
      <c r="Y10" s="3547"/>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99"/>
      <c r="Q11" s="817" t="str">
        <f t="shared" si="6"/>
        <v>容积率</v>
      </c>
      <c r="R11" s="1303" t="s">
        <v>5</v>
      </c>
      <c r="S11" s="1304" t="e">
        <f t="shared" si="0"/>
        <v>#N/A</v>
      </c>
      <c r="T11" s="1303" t="s">
        <v>5</v>
      </c>
      <c r="U11" s="1304" t="e">
        <f t="shared" si="1"/>
        <v>#N/A</v>
      </c>
      <c r="V11" s="1303" t="s">
        <v>5</v>
      </c>
      <c r="W11" s="1304" t="e">
        <f t="shared" si="2"/>
        <v>#N/A</v>
      </c>
      <c r="X11" s="1305"/>
      <c r="Y11" s="3547"/>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599"/>
      <c r="Q12" s="817">
        <f t="shared" si="6"/>
        <v>111</v>
      </c>
      <c r="R12" s="1303" t="s">
        <v>5</v>
      </c>
      <c r="S12" s="1304">
        <f t="shared" si="0"/>
        <v>100</v>
      </c>
      <c r="T12" s="1303" t="s">
        <v>5</v>
      </c>
      <c r="U12" s="1304">
        <f t="shared" si="1"/>
        <v>100</v>
      </c>
      <c r="V12" s="1303" t="s">
        <v>5</v>
      </c>
      <c r="W12" s="1304">
        <f t="shared" si="2"/>
        <v>100</v>
      </c>
      <c r="X12" s="1305"/>
      <c r="Y12" s="3547"/>
      <c r="Z12" s="996">
        <f t="shared" si="7"/>
        <v>111</v>
      </c>
      <c r="AA12" s="996">
        <f>D12/F12</f>
        <v>1</v>
      </c>
      <c r="AB12" s="996">
        <f>D12/H12</f>
        <v>1</v>
      </c>
      <c r="AC12" s="996">
        <f>D12/J12</f>
        <v>1</v>
      </c>
    </row>
    <row r="13" spans="1:29" ht="15">
      <c r="A13" s="2213"/>
      <c r="B13" s="2219">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599"/>
      <c r="Q13" s="817">
        <f t="shared" si="6"/>
        <v>111</v>
      </c>
      <c r="R13" s="1303" t="s">
        <v>5</v>
      </c>
      <c r="S13" s="1304">
        <f t="shared" si="0"/>
        <v>100</v>
      </c>
      <c r="T13" s="1303" t="s">
        <v>5</v>
      </c>
      <c r="U13" s="1304">
        <f t="shared" si="1"/>
        <v>100</v>
      </c>
      <c r="V13" s="1303" t="s">
        <v>5</v>
      </c>
      <c r="W13" s="1304">
        <f t="shared" si="2"/>
        <v>100</v>
      </c>
      <c r="X13" s="1305"/>
      <c r="Y13" s="3547"/>
      <c r="Z13" s="996">
        <f t="shared" si="7"/>
        <v>111</v>
      </c>
      <c r="AA13" s="996">
        <f t="shared" si="3"/>
        <v>1</v>
      </c>
      <c r="AB13" s="996">
        <f t="shared" si="4"/>
        <v>1</v>
      </c>
      <c r="AC13" s="996">
        <f t="shared" si="5"/>
        <v>1</v>
      </c>
    </row>
    <row r="14" spans="1:29" ht="15.75" thickBot="1">
      <c r="A14" s="2214"/>
      <c r="B14" s="2220">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599"/>
      <c r="Q14" s="817">
        <f t="shared" si="6"/>
        <v>111</v>
      </c>
      <c r="R14" s="1303" t="s">
        <v>5</v>
      </c>
      <c r="S14" s="1304">
        <f t="shared" si="0"/>
        <v>100</v>
      </c>
      <c r="T14" s="1303" t="s">
        <v>5</v>
      </c>
      <c r="U14" s="1304">
        <f t="shared" si="1"/>
        <v>100</v>
      </c>
      <c r="V14" s="1303" t="s">
        <v>5</v>
      </c>
      <c r="W14" s="1304">
        <f t="shared" si="2"/>
        <v>100</v>
      </c>
      <c r="X14" s="1305"/>
      <c r="Y14" s="3547"/>
      <c r="Z14" s="996">
        <f t="shared" si="7"/>
        <v>111</v>
      </c>
      <c r="AA14" s="996">
        <f t="shared" si="3"/>
        <v>1</v>
      </c>
      <c r="AB14" s="996">
        <f t="shared" si="4"/>
        <v>1</v>
      </c>
      <c r="AC14" s="996">
        <f t="shared" si="5"/>
        <v>1</v>
      </c>
    </row>
    <row r="15" spans="1:29" ht="15">
      <c r="A15" s="2206" t="s">
        <v>2034</v>
      </c>
      <c r="B15" s="150" t="s">
        <v>490</v>
      </c>
      <c r="C15" s="797" t="str">
        <f>估价对象房地状况!C4</f>
        <v>较差</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33" t="s">
        <v>489</v>
      </c>
      <c r="Q15" s="1306" t="str">
        <f t="shared" si="6"/>
        <v>商业繁华度</v>
      </c>
      <c r="R15" s="1307" t="s">
        <v>5</v>
      </c>
      <c r="S15" s="1308">
        <f t="shared" si="0"/>
        <v>100</v>
      </c>
      <c r="T15" s="1307" t="s">
        <v>5</v>
      </c>
      <c r="U15" s="1308">
        <f t="shared" si="1"/>
        <v>100</v>
      </c>
      <c r="V15" s="1307" t="s">
        <v>5</v>
      </c>
      <c r="W15" s="1308">
        <f t="shared" si="2"/>
        <v>100</v>
      </c>
      <c r="X15" s="1302"/>
      <c r="Y15" s="3633"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34"/>
      <c r="Q16" s="1306"/>
      <c r="R16" s="1307"/>
      <c r="S16" s="1308"/>
      <c r="T16" s="1307"/>
      <c r="U16" s="1308"/>
      <c r="V16" s="1307"/>
      <c r="W16" s="1308"/>
      <c r="X16" s="1302"/>
      <c r="Y16" s="3634"/>
      <c r="Z16" s="1309"/>
      <c r="AA16" s="1309">
        <v>1</v>
      </c>
      <c r="AB16" s="1309">
        <v>1</v>
      </c>
      <c r="AC16" s="1309">
        <v>1</v>
      </c>
    </row>
    <row r="17" spans="1:29" ht="15">
      <c r="A17" s="482"/>
      <c r="B17" s="677" t="s">
        <v>262</v>
      </c>
      <c r="C17" s="801" t="str">
        <f>估价对象房地状况!C6</f>
        <v>较差</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34"/>
      <c r="Q17" s="1306" t="str">
        <f>B17</f>
        <v>交通便捷度</v>
      </c>
      <c r="R17" s="1307" t="s">
        <v>5</v>
      </c>
      <c r="S17" s="1308">
        <f>F17</f>
        <v>100</v>
      </c>
      <c r="T17" s="1307" t="s">
        <v>5</v>
      </c>
      <c r="U17" s="1308">
        <f>H17</f>
        <v>100</v>
      </c>
      <c r="V17" s="1307" t="s">
        <v>5</v>
      </c>
      <c r="W17" s="1308">
        <f>J17</f>
        <v>100</v>
      </c>
      <c r="X17" s="1302"/>
      <c r="Y17" s="3634"/>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34"/>
      <c r="Q18" s="1306"/>
      <c r="R18" s="1307"/>
      <c r="S18" s="1308"/>
      <c r="T18" s="1307"/>
      <c r="U18" s="1308"/>
      <c r="V18" s="1307"/>
      <c r="W18" s="1308"/>
      <c r="X18" s="1302"/>
      <c r="Y18" s="3634"/>
      <c r="Z18" s="1309"/>
      <c r="AA18" s="1309">
        <v>1</v>
      </c>
      <c r="AB18" s="1309">
        <v>1</v>
      </c>
      <c r="AC18" s="1309">
        <v>1</v>
      </c>
    </row>
    <row r="19" spans="1:29" ht="15">
      <c r="A19" s="482"/>
      <c r="B19" s="2059" t="s">
        <v>1827</v>
      </c>
      <c r="C19" s="801" t="str">
        <f>估价对象房地状况!C7</f>
        <v>较差</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34"/>
      <c r="Q19" s="1306" t="str">
        <f>B19</f>
        <v>公共配套设施</v>
      </c>
      <c r="R19" s="1307" t="s">
        <v>5</v>
      </c>
      <c r="S19" s="1308">
        <f>F19</f>
        <v>100</v>
      </c>
      <c r="T19" s="1307" t="s">
        <v>5</v>
      </c>
      <c r="U19" s="1308">
        <f>H19</f>
        <v>100</v>
      </c>
      <c r="V19" s="1307" t="s">
        <v>5</v>
      </c>
      <c r="W19" s="1308">
        <f>J19</f>
        <v>100</v>
      </c>
      <c r="X19" s="1302"/>
      <c r="Y19" s="3634"/>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34"/>
      <c r="Q20" s="1306"/>
      <c r="R20" s="1307"/>
      <c r="S20" s="1308"/>
      <c r="T20" s="1307"/>
      <c r="U20" s="1308"/>
      <c r="V20" s="1307"/>
      <c r="W20" s="1308"/>
      <c r="X20" s="1302"/>
      <c r="Y20" s="3634"/>
      <c r="Z20" s="1309"/>
      <c r="AA20" s="1309">
        <v>1</v>
      </c>
      <c r="AB20" s="1309">
        <v>1</v>
      </c>
      <c r="AC20" s="1309">
        <v>1</v>
      </c>
    </row>
    <row r="21" spans="1:29" ht="15">
      <c r="A21" s="482"/>
      <c r="B21" s="2052" t="s">
        <v>1839</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34"/>
      <c r="Q21" s="1306" t="str">
        <f>B21</f>
        <v>基础设施水平</v>
      </c>
      <c r="R21" s="1307" t="s">
        <v>5</v>
      </c>
      <c r="S21" s="1308">
        <f>F21</f>
        <v>100</v>
      </c>
      <c r="T21" s="1307" t="s">
        <v>5</v>
      </c>
      <c r="U21" s="1308">
        <f>H21</f>
        <v>100</v>
      </c>
      <c r="V21" s="1307" t="s">
        <v>5</v>
      </c>
      <c r="W21" s="1308">
        <f>J21</f>
        <v>100</v>
      </c>
      <c r="X21" s="1302"/>
      <c r="Y21" s="3634"/>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34"/>
      <c r="Q22" s="1306"/>
      <c r="R22" s="1307"/>
      <c r="S22" s="1308"/>
      <c r="T22" s="1307"/>
      <c r="U22" s="1308"/>
      <c r="V22" s="1307"/>
      <c r="W22" s="1308"/>
      <c r="X22" s="1302"/>
      <c r="Y22" s="3634"/>
      <c r="Z22" s="1309"/>
      <c r="AA22" s="1309">
        <v>1</v>
      </c>
      <c r="AB22" s="1309">
        <v>1</v>
      </c>
      <c r="AC22" s="1309">
        <v>1</v>
      </c>
    </row>
    <row r="23" spans="1:29" ht="15">
      <c r="A23" s="482"/>
      <c r="B23" s="677" t="s">
        <v>263</v>
      </c>
      <c r="C23" s="823" t="str">
        <f>估价对象房地状况!C9</f>
        <v>较差</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34"/>
      <c r="Q23" s="1306" t="str">
        <f>B23</f>
        <v>自然及人文环境</v>
      </c>
      <c r="R23" s="1307" t="s">
        <v>5</v>
      </c>
      <c r="S23" s="1308">
        <f>F23</f>
        <v>100</v>
      </c>
      <c r="T23" s="1307" t="s">
        <v>5</v>
      </c>
      <c r="U23" s="1308">
        <f>H23</f>
        <v>100</v>
      </c>
      <c r="V23" s="1307" t="s">
        <v>5</v>
      </c>
      <c r="W23" s="1308">
        <f>J23</f>
        <v>100</v>
      </c>
      <c r="X23" s="1302"/>
      <c r="Y23" s="3634"/>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34"/>
      <c r="Q24" s="1306"/>
      <c r="R24" s="1307"/>
      <c r="S24" s="1308"/>
      <c r="T24" s="1307"/>
      <c r="U24" s="1308"/>
      <c r="V24" s="1307"/>
      <c r="W24" s="1308"/>
      <c r="X24" s="1302"/>
      <c r="Y24" s="3634"/>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34"/>
      <c r="Q25" s="1306" t="str">
        <f t="shared" ref="Q25:Q46" si="8">B25</f>
        <v>临街状况</v>
      </c>
      <c r="R25" s="1307" t="s">
        <v>5</v>
      </c>
      <c r="S25" s="1308">
        <f>F25</f>
        <v>100</v>
      </c>
      <c r="T25" s="1307" t="s">
        <v>5</v>
      </c>
      <c r="U25" s="1308">
        <f>H25</f>
        <v>100</v>
      </c>
      <c r="V25" s="1307" t="s">
        <v>5</v>
      </c>
      <c r="W25" s="1308">
        <f>J25</f>
        <v>100</v>
      </c>
      <c r="X25" s="1302"/>
      <c r="Y25" s="3634"/>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34"/>
      <c r="Q26" s="1306" t="str">
        <f t="shared" si="8"/>
        <v>平面位置/可视性</v>
      </c>
      <c r="R26" s="1307" t="s">
        <v>5</v>
      </c>
      <c r="S26" s="1308">
        <f>F26</f>
        <v>100</v>
      </c>
      <c r="T26" s="1307" t="s">
        <v>5</v>
      </c>
      <c r="U26" s="1308">
        <f>H26</f>
        <v>100</v>
      </c>
      <c r="V26" s="1307" t="s">
        <v>5</v>
      </c>
      <c r="W26" s="1308">
        <f>J26</f>
        <v>100</v>
      </c>
      <c r="X26" s="1302"/>
      <c r="Y26" s="3634"/>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34"/>
      <c r="Q27" s="817" t="str">
        <f t="shared" si="8"/>
        <v>人流量</v>
      </c>
      <c r="R27" s="1303" t="s">
        <v>5</v>
      </c>
      <c r="S27" s="1304">
        <f>F27</f>
        <v>100</v>
      </c>
      <c r="T27" s="1303" t="s">
        <v>5</v>
      </c>
      <c r="U27" s="1304">
        <f>H27</f>
        <v>100</v>
      </c>
      <c r="V27" s="1303" t="s">
        <v>5</v>
      </c>
      <c r="W27" s="1304">
        <f>J27</f>
        <v>100</v>
      </c>
      <c r="X27" s="1305"/>
      <c r="Y27" s="3634"/>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34"/>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4"/>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34"/>
      <c r="Q29" s="1306">
        <f t="shared" si="8"/>
        <v>111</v>
      </c>
      <c r="R29" s="1307" t="s">
        <v>5</v>
      </c>
      <c r="S29" s="1308">
        <f t="shared" si="9"/>
        <v>100</v>
      </c>
      <c r="T29" s="1307" t="s">
        <v>5</v>
      </c>
      <c r="U29" s="1308">
        <f t="shared" si="10"/>
        <v>100</v>
      </c>
      <c r="V29" s="1307" t="s">
        <v>5</v>
      </c>
      <c r="W29" s="1308">
        <f t="shared" si="11"/>
        <v>100</v>
      </c>
      <c r="X29" s="1302"/>
      <c r="Y29" s="3634"/>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34"/>
      <c r="Q30" s="1306">
        <f t="shared" si="8"/>
        <v>111</v>
      </c>
      <c r="R30" s="1307" t="s">
        <v>5</v>
      </c>
      <c r="S30" s="1308">
        <f t="shared" si="9"/>
        <v>100</v>
      </c>
      <c r="T30" s="1307" t="s">
        <v>5</v>
      </c>
      <c r="U30" s="1308">
        <f t="shared" si="10"/>
        <v>100</v>
      </c>
      <c r="V30" s="1307" t="s">
        <v>5</v>
      </c>
      <c r="W30" s="1308">
        <f t="shared" si="11"/>
        <v>100</v>
      </c>
      <c r="X30" s="1302"/>
      <c r="Y30" s="3634"/>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34"/>
      <c r="Q31" s="1306">
        <f t="shared" si="8"/>
        <v>111</v>
      </c>
      <c r="R31" s="1307" t="s">
        <v>5</v>
      </c>
      <c r="S31" s="1308">
        <f t="shared" si="9"/>
        <v>100</v>
      </c>
      <c r="T31" s="1307" t="s">
        <v>5</v>
      </c>
      <c r="U31" s="1308">
        <f t="shared" si="10"/>
        <v>100</v>
      </c>
      <c r="V31" s="1307" t="s">
        <v>5</v>
      </c>
      <c r="W31" s="1308">
        <f t="shared" si="11"/>
        <v>100</v>
      </c>
      <c r="X31" s="1302"/>
      <c r="Y31" s="3634"/>
      <c r="Z31" s="1309">
        <f t="shared" si="12"/>
        <v>111</v>
      </c>
      <c r="AA31" s="1309">
        <f t="shared" si="3"/>
        <v>1</v>
      </c>
      <c r="AB31" s="1309">
        <f t="shared" si="4"/>
        <v>1</v>
      </c>
      <c r="AC31" s="1309">
        <f t="shared" si="5"/>
        <v>1</v>
      </c>
    </row>
    <row r="32" spans="1:29" ht="15">
      <c r="A32" s="2204" t="s">
        <v>2035</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35" t="s">
        <v>499</v>
      </c>
      <c r="Q32" s="1306" t="str">
        <f t="shared" si="8"/>
        <v>商业类型</v>
      </c>
      <c r="R32" s="1307" t="s">
        <v>5</v>
      </c>
      <c r="S32" s="1308">
        <f t="shared" si="9"/>
        <v>100</v>
      </c>
      <c r="T32" s="1307" t="s">
        <v>5</v>
      </c>
      <c r="U32" s="1308">
        <f t="shared" si="10"/>
        <v>100</v>
      </c>
      <c r="V32" s="1307" t="s">
        <v>5</v>
      </c>
      <c r="W32" s="1308">
        <f t="shared" si="11"/>
        <v>100</v>
      </c>
      <c r="X32" s="1302"/>
      <c r="Y32" s="3636"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36"/>
      <c r="Q33" s="818" t="str">
        <f t="shared" si="8"/>
        <v>项目建筑规模</v>
      </c>
      <c r="R33" s="1310" t="s">
        <v>5</v>
      </c>
      <c r="S33" s="1311" t="e">
        <f t="shared" si="9"/>
        <v>#N/A</v>
      </c>
      <c r="T33" s="1310" t="s">
        <v>5</v>
      </c>
      <c r="U33" s="1311" t="e">
        <f t="shared" si="10"/>
        <v>#N/A</v>
      </c>
      <c r="V33" s="1310" t="s">
        <v>5</v>
      </c>
      <c r="W33" s="1311" t="e">
        <f t="shared" si="11"/>
        <v>#N/A</v>
      </c>
      <c r="X33" s="1312"/>
      <c r="Y33" s="3636"/>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36"/>
      <c r="Q34" s="1306" t="str">
        <f t="shared" si="8"/>
        <v>建筑结构</v>
      </c>
      <c r="R34" s="1307" t="s">
        <v>5</v>
      </c>
      <c r="S34" s="1308">
        <f t="shared" si="9"/>
        <v>100</v>
      </c>
      <c r="T34" s="1307" t="s">
        <v>5</v>
      </c>
      <c r="U34" s="1308">
        <f t="shared" si="10"/>
        <v>100</v>
      </c>
      <c r="V34" s="1307" t="s">
        <v>5</v>
      </c>
      <c r="W34" s="1308">
        <f t="shared" si="11"/>
        <v>100</v>
      </c>
      <c r="X34" s="1302"/>
      <c r="Y34" s="3636"/>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36"/>
      <c r="Q35" s="1306" t="str">
        <f t="shared" si="8"/>
        <v>公共部分装修</v>
      </c>
      <c r="R35" s="1307" t="s">
        <v>5</v>
      </c>
      <c r="S35" s="1308">
        <f t="shared" si="9"/>
        <v>100</v>
      </c>
      <c r="T35" s="1307" t="s">
        <v>5</v>
      </c>
      <c r="U35" s="1308">
        <f t="shared" si="10"/>
        <v>100</v>
      </c>
      <c r="V35" s="1307" t="s">
        <v>5</v>
      </c>
      <c r="W35" s="1308">
        <f t="shared" si="11"/>
        <v>100</v>
      </c>
      <c r="X35" s="1302"/>
      <c r="Y35" s="3636"/>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36"/>
      <c r="Q36" s="1306" t="str">
        <f t="shared" si="8"/>
        <v>成新度</v>
      </c>
      <c r="R36" s="1307" t="s">
        <v>5</v>
      </c>
      <c r="S36" s="1308" t="e">
        <f t="shared" si="9"/>
        <v>#N/A</v>
      </c>
      <c r="T36" s="1307" t="s">
        <v>5</v>
      </c>
      <c r="U36" s="1308" t="e">
        <f t="shared" si="10"/>
        <v>#N/A</v>
      </c>
      <c r="V36" s="1307" t="s">
        <v>5</v>
      </c>
      <c r="W36" s="1308" t="e">
        <f t="shared" si="11"/>
        <v>#N/A</v>
      </c>
      <c r="X36" s="1302"/>
      <c r="Y36" s="3636"/>
      <c r="Z36" s="1309" t="str">
        <f t="shared" si="12"/>
        <v>成新度</v>
      </c>
      <c r="AA36" s="1309" t="e">
        <f t="shared" si="3"/>
        <v>#N/A</v>
      </c>
      <c r="AB36" s="1309" t="e">
        <f t="shared" si="4"/>
        <v>#N/A</v>
      </c>
      <c r="AC36" s="1309" t="e">
        <f t="shared" si="5"/>
        <v>#N/A</v>
      </c>
    </row>
    <row r="37" spans="1:29" s="1059" customFormat="1" ht="15">
      <c r="A37" s="549"/>
      <c r="B37" s="1554"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36"/>
      <c r="Q37" s="817" t="str">
        <f t="shared" si="8"/>
        <v>市政基础设施</v>
      </c>
      <c r="R37" s="1303" t="s">
        <v>5</v>
      </c>
      <c r="S37" s="1304">
        <f t="shared" si="9"/>
        <v>100</v>
      </c>
      <c r="T37" s="1303" t="s">
        <v>5</v>
      </c>
      <c r="U37" s="1304">
        <f t="shared" si="10"/>
        <v>100</v>
      </c>
      <c r="V37" s="1303" t="s">
        <v>5</v>
      </c>
      <c r="W37" s="1304">
        <f t="shared" si="11"/>
        <v>100</v>
      </c>
      <c r="X37" s="1305"/>
      <c r="Y37" s="3636"/>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36" t="s">
        <v>706</v>
      </c>
      <c r="Q38" s="1306" t="str">
        <f t="shared" si="8"/>
        <v>业态</v>
      </c>
      <c r="R38" s="1307" t="s">
        <v>5</v>
      </c>
      <c r="S38" s="1308">
        <f t="shared" si="9"/>
        <v>100</v>
      </c>
      <c r="T38" s="1307" t="s">
        <v>5</v>
      </c>
      <c r="U38" s="1308">
        <f t="shared" si="10"/>
        <v>100</v>
      </c>
      <c r="V38" s="1307" t="s">
        <v>5</v>
      </c>
      <c r="W38" s="1308">
        <f t="shared" si="11"/>
        <v>100</v>
      </c>
      <c r="X38" s="1302"/>
      <c r="Y38" s="3636"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36"/>
      <c r="Q39" s="1306" t="str">
        <f t="shared" si="8"/>
        <v>层高</v>
      </c>
      <c r="R39" s="1307" t="s">
        <v>5</v>
      </c>
      <c r="S39" s="1308">
        <f t="shared" si="9"/>
        <v>100</v>
      </c>
      <c r="T39" s="1307" t="s">
        <v>5</v>
      </c>
      <c r="U39" s="1308">
        <f t="shared" si="10"/>
        <v>100</v>
      </c>
      <c r="V39" s="1307" t="s">
        <v>5</v>
      </c>
      <c r="W39" s="1308">
        <f t="shared" si="11"/>
        <v>100</v>
      </c>
      <c r="X39" s="1302"/>
      <c r="Y39" s="3636"/>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36"/>
      <c r="Q40" s="1306" t="str">
        <f t="shared" si="8"/>
        <v>单套建筑面积</v>
      </c>
      <c r="R40" s="1307" t="s">
        <v>5</v>
      </c>
      <c r="S40" s="1308">
        <f t="shared" si="9"/>
        <v>100</v>
      </c>
      <c r="T40" s="1307" t="s">
        <v>5</v>
      </c>
      <c r="U40" s="1308">
        <f t="shared" si="10"/>
        <v>100</v>
      </c>
      <c r="V40" s="1307" t="s">
        <v>5</v>
      </c>
      <c r="W40" s="1308">
        <f t="shared" si="11"/>
        <v>100</v>
      </c>
      <c r="X40" s="1302"/>
      <c r="Y40" s="3636"/>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36"/>
      <c r="Q41" s="818" t="str">
        <f t="shared" si="8"/>
        <v>进深比</v>
      </c>
      <c r="R41" s="1310" t="s">
        <v>5</v>
      </c>
      <c r="S41" s="1311">
        <f t="shared" si="9"/>
        <v>100</v>
      </c>
      <c r="T41" s="1310" t="s">
        <v>5</v>
      </c>
      <c r="U41" s="1311">
        <f t="shared" si="10"/>
        <v>100</v>
      </c>
      <c r="V41" s="1310" t="s">
        <v>5</v>
      </c>
      <c r="W41" s="1311">
        <f t="shared" si="11"/>
        <v>100</v>
      </c>
      <c r="X41" s="1312"/>
      <c r="Y41" s="3636"/>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36"/>
      <c r="Q42" s="1306" t="str">
        <f t="shared" si="8"/>
        <v>内部装修</v>
      </c>
      <c r="R42" s="1307" t="s">
        <v>5</v>
      </c>
      <c r="S42" s="1308">
        <f t="shared" si="9"/>
        <v>100</v>
      </c>
      <c r="T42" s="1307" t="s">
        <v>5</v>
      </c>
      <c r="U42" s="1308">
        <f t="shared" si="10"/>
        <v>100</v>
      </c>
      <c r="V42" s="1307" t="s">
        <v>5</v>
      </c>
      <c r="W42" s="1308">
        <f t="shared" si="11"/>
        <v>100</v>
      </c>
      <c r="X42" s="1302"/>
      <c r="Y42" s="3636"/>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36"/>
      <c r="Q43" s="1306" t="str">
        <f t="shared" si="8"/>
        <v>内部装修维护情况</v>
      </c>
      <c r="R43" s="1307" t="s">
        <v>5</v>
      </c>
      <c r="S43" s="1308">
        <f t="shared" si="9"/>
        <v>100</v>
      </c>
      <c r="T43" s="1307" t="s">
        <v>5</v>
      </c>
      <c r="U43" s="1308">
        <f t="shared" si="10"/>
        <v>100</v>
      </c>
      <c r="V43" s="1307" t="s">
        <v>5</v>
      </c>
      <c r="W43" s="1308">
        <f t="shared" si="11"/>
        <v>100</v>
      </c>
      <c r="X43" s="1302"/>
      <c r="Y43" s="3636"/>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36"/>
      <c r="Q44" s="817">
        <f t="shared" si="8"/>
        <v>111</v>
      </c>
      <c r="R44" s="1303" t="s">
        <v>5</v>
      </c>
      <c r="S44" s="1304">
        <f t="shared" si="9"/>
        <v>100</v>
      </c>
      <c r="T44" s="1303" t="s">
        <v>5</v>
      </c>
      <c r="U44" s="1304">
        <f t="shared" si="10"/>
        <v>100</v>
      </c>
      <c r="V44" s="1303" t="s">
        <v>5</v>
      </c>
      <c r="W44" s="1304">
        <f t="shared" si="11"/>
        <v>100</v>
      </c>
      <c r="X44" s="1305"/>
      <c r="Y44" s="3636"/>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36"/>
      <c r="Q45" s="1306">
        <f t="shared" si="8"/>
        <v>111</v>
      </c>
      <c r="R45" s="1307" t="s">
        <v>5</v>
      </c>
      <c r="S45" s="1308">
        <f t="shared" si="9"/>
        <v>100</v>
      </c>
      <c r="T45" s="1307" t="s">
        <v>5</v>
      </c>
      <c r="U45" s="1308">
        <f t="shared" si="10"/>
        <v>100</v>
      </c>
      <c r="V45" s="1307" t="s">
        <v>5</v>
      </c>
      <c r="W45" s="1308">
        <f t="shared" si="11"/>
        <v>100</v>
      </c>
      <c r="X45" s="1302"/>
      <c r="Y45" s="3636"/>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55"/>
      <c r="Q46" s="1306">
        <f t="shared" si="8"/>
        <v>111</v>
      </c>
      <c r="R46" s="1307" t="s">
        <v>5</v>
      </c>
      <c r="S46" s="1308">
        <f t="shared" si="9"/>
        <v>100</v>
      </c>
      <c r="T46" s="1307" t="s">
        <v>5</v>
      </c>
      <c r="U46" s="1308">
        <f t="shared" si="10"/>
        <v>100</v>
      </c>
      <c r="V46" s="1307" t="s">
        <v>5</v>
      </c>
      <c r="W46" s="1308">
        <f t="shared" si="11"/>
        <v>100</v>
      </c>
      <c r="X46" s="1302"/>
      <c r="Y46" s="3655"/>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599" t="str">
        <f>A47</f>
        <v>成交单价（元/平方米）</v>
      </c>
      <c r="Q47" s="3599"/>
      <c r="R47" s="3600">
        <f>E47</f>
        <v>0</v>
      </c>
      <c r="S47" s="3600"/>
      <c r="T47" s="3600">
        <f>G47</f>
        <v>0</v>
      </c>
      <c r="U47" s="3600"/>
      <c r="V47" s="3600">
        <f>I47</f>
        <v>0</v>
      </c>
      <c r="W47" s="3600"/>
      <c r="X47" s="799"/>
      <c r="Y47" s="1314"/>
      <c r="Z47" s="799"/>
      <c r="AA47" s="799"/>
      <c r="AB47" s="799"/>
      <c r="AC47" s="799"/>
    </row>
    <row r="48" spans="1:29" ht="15.75" thickBot="1">
      <c r="A48" s="564" t="s">
        <v>2040</v>
      </c>
      <c r="B48" s="812"/>
      <c r="C48" s="2082" t="e">
        <f>R49</f>
        <v>#DIV/0!</v>
      </c>
      <c r="D48" s="2549" t="s">
        <v>2254</v>
      </c>
      <c r="E48" s="2083" t="e">
        <f>R48</f>
        <v>#DIV/0!</v>
      </c>
      <c r="F48" s="2550"/>
      <c r="G48" s="2082" t="e">
        <f>T48</f>
        <v>#DIV/0!</v>
      </c>
      <c r="H48" s="2550"/>
      <c r="I48" s="2083" t="e">
        <f>V48</f>
        <v>#DIV/0!</v>
      </c>
      <c r="J48" s="2550"/>
      <c r="K48" s="2557">
        <f>F48+H48+J48</f>
        <v>0</v>
      </c>
      <c r="L48" s="1751"/>
      <c r="M48" s="1742"/>
      <c r="N48" s="1742"/>
      <c r="O48" s="1742"/>
      <c r="P48" s="3599" t="str">
        <f>A48</f>
        <v>比较价格（元/平方米）</v>
      </c>
      <c r="Q48" s="3599"/>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799"/>
      <c r="Y48" s="799"/>
      <c r="Z48" s="799"/>
      <c r="AA48" s="799"/>
      <c r="AB48" s="799"/>
      <c r="AC48" s="799"/>
    </row>
    <row r="49" spans="1:29" ht="15.75" thickBot="1">
      <c r="A49" s="568" t="s">
        <v>2191</v>
      </c>
      <c r="B49" s="569"/>
      <c r="C49" s="469" t="e">
        <f>R49</f>
        <v>#DIV/0!</v>
      </c>
      <c r="D49" s="469"/>
      <c r="E49" s="469"/>
      <c r="F49" s="469"/>
      <c r="G49" s="469"/>
      <c r="H49" s="469"/>
      <c r="I49" s="469"/>
      <c r="J49" s="469"/>
      <c r="K49" s="1336"/>
      <c r="L49" s="1751"/>
      <c r="M49" s="1742"/>
      <c r="N49" s="1742"/>
      <c r="O49" s="1742"/>
      <c r="P49" s="3637" t="str">
        <f>A49</f>
        <v>估价对象XX用房的比较价格（楼面单价，元/平方米）</v>
      </c>
      <c r="Q49" s="3638"/>
      <c r="R49" s="3654" t="e">
        <f>IF(F1="售价",ROUND(IF(D48="简单平均",AVERAGE(R48:V48),R48*F48+T48*H48+V48*J48),0),ROUND(IF(D48="简单平均",AVERAGE(R48:V48),R48*F48+T48*H48+V48*J48),1))</f>
        <v>#DIV/0!</v>
      </c>
      <c r="S49" s="3654"/>
      <c r="T49" s="3654"/>
      <c r="U49" s="3654"/>
      <c r="V49" s="3654"/>
      <c r="W49" s="3654"/>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2024-11</v>
      </c>
      <c r="D58" s="2115">
        <f>EDATE(C58,-1)</f>
        <v>45566</v>
      </c>
      <c r="E58" s="2115">
        <f t="shared" ref="E58:O58" si="13">EDATE(D58,-1)</f>
        <v>45536</v>
      </c>
      <c r="F58" s="2115">
        <f t="shared" si="13"/>
        <v>45505</v>
      </c>
      <c r="G58" s="2115">
        <f t="shared" si="13"/>
        <v>45474</v>
      </c>
      <c r="H58" s="2115">
        <f t="shared" si="13"/>
        <v>45444</v>
      </c>
      <c r="I58" s="2115">
        <f t="shared" si="13"/>
        <v>45413</v>
      </c>
      <c r="J58" s="2115">
        <f t="shared" si="13"/>
        <v>45383</v>
      </c>
      <c r="K58" s="2115">
        <f t="shared" si="13"/>
        <v>45352</v>
      </c>
      <c r="L58" s="2115">
        <f t="shared" si="13"/>
        <v>45323</v>
      </c>
      <c r="M58" s="2115">
        <f t="shared" si="13"/>
        <v>45292</v>
      </c>
      <c r="N58" s="2115">
        <f t="shared" si="13"/>
        <v>45261</v>
      </c>
      <c r="O58" s="2115">
        <f t="shared" si="13"/>
        <v>45231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1838</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1839</v>
      </c>
      <c r="C82" s="2057" t="s">
        <v>1840</v>
      </c>
      <c r="D82" s="2057" t="s">
        <v>1841</v>
      </c>
      <c r="E82" s="2057" t="s">
        <v>1842</v>
      </c>
      <c r="F82" s="2057" t="s">
        <v>1843</v>
      </c>
      <c r="G82" s="2057" t="s">
        <v>1844</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1837</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F7:F46 H7:H46 J7:J46">
    <cfRule type="cellIs" dxfId="63" priority="1" operator="notEqual">
      <formula>100</formula>
    </cfRule>
  </conditionalFormatting>
  <conditionalFormatting sqref="F48">
    <cfRule type="expression" dxfId="62" priority="4">
      <formula>$D$48="简单平均"</formula>
    </cfRule>
  </conditionalFormatting>
  <conditionalFormatting sqref="F52:F54 H52:H54">
    <cfRule type="containsText" dxfId="61" priority="17" stopIfTrue="1" operator="containsText" text="超过">
      <formula>NOT(ISERROR(SEARCH("超过",F52)))</formula>
    </cfRule>
  </conditionalFormatting>
  <conditionalFormatting sqref="G52">
    <cfRule type="expression" dxfId="60" priority="12" stopIfTrue="1">
      <formula>$H$52="超过30%"</formula>
    </cfRule>
  </conditionalFormatting>
  <conditionalFormatting sqref="G53">
    <cfRule type="expression" dxfId="59" priority="11" stopIfTrue="1">
      <formula>$H$53="超过20%"</formula>
    </cfRule>
  </conditionalFormatting>
  <conditionalFormatting sqref="G54">
    <cfRule type="expression" dxfId="58" priority="13" stopIfTrue="1">
      <formula>$H$54="超过30%"</formula>
    </cfRule>
  </conditionalFormatting>
  <conditionalFormatting sqref="H48">
    <cfRule type="expression" dxfId="57" priority="3">
      <formula>$D$48="简单平均"</formula>
    </cfRule>
  </conditionalFormatting>
  <conditionalFormatting sqref="I52">
    <cfRule type="expression" dxfId="56" priority="7" stopIfTrue="1">
      <formula>$J$52="超过30%"</formula>
    </cfRule>
  </conditionalFormatting>
  <conditionalFormatting sqref="I53">
    <cfRule type="expression" dxfId="55" priority="6" stopIfTrue="1">
      <formula>$J$53="超过20%"</formula>
    </cfRule>
  </conditionalFormatting>
  <conditionalFormatting sqref="I54">
    <cfRule type="expression" dxfId="54" priority="5" stopIfTrue="1">
      <formula>$J$54="超过30%"</formula>
    </cfRule>
  </conditionalFormatting>
  <conditionalFormatting sqref="J48">
    <cfRule type="expression" dxfId="53" priority="2">
      <formula>$D$48="简单平均"</formula>
    </cfRule>
  </conditionalFormatting>
  <conditionalFormatting sqref="J52:J54">
    <cfRule type="containsText" dxfId="52" priority="8" stopIfTrue="1" operator="containsText" text="超过">
      <formula>NOT(ISERROR(SEARCH("超过",J52)))</formula>
    </cfRule>
  </conditionalFormatting>
  <dataValidations count="23">
    <dataValidation type="list" allowBlank="1" showInputMessage="1" showErrorMessage="1" sqref="D1" xr:uid="{00000000-0002-0000-2A00-000000000000}">
      <formula1>项目类型</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E34 G34 I34" xr:uid="{00000000-0002-0000-2A00-000002000000}">
      <formula1>住宅建筑结构</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E18 G18 I18 C18" xr:uid="{00000000-0002-0000-2A00-000004000000}">
      <formula1>交通便捷度</formula1>
    </dataValidation>
    <dataValidation type="list" allowBlank="1" showInputMessage="1" showErrorMessage="1" sqref="E24 G24 I24 C24" xr:uid="{00000000-0002-0000-2A00-000005000000}">
      <formula1>环境</formula1>
    </dataValidation>
    <dataValidation type="list" allowBlank="1" showInputMessage="1" showErrorMessage="1" sqref="C25 E25 G25 I25" xr:uid="{00000000-0002-0000-2A00-000006000000}">
      <formula1>商业临街状况</formula1>
    </dataValidation>
    <dataValidation type="list" allowBlank="1" showInputMessage="1" showErrorMessage="1" sqref="C27 E27 G27 I27" xr:uid="{00000000-0002-0000-2A00-000007000000}">
      <formula1>商业人流量</formula1>
    </dataValidation>
    <dataValidation type="list" allowBlank="1" showInputMessage="1" showErrorMessage="1" sqref="C28 E28 G28 I28" xr:uid="{00000000-0002-0000-2A00-000008000000}">
      <formula1>商业楼层</formula1>
    </dataValidation>
    <dataValidation type="list" allowBlank="1" showInputMessage="1" showErrorMessage="1" sqref="C32 E32 G32 I32" xr:uid="{00000000-0002-0000-2A00-000009000000}">
      <formula1>商业类型</formula1>
    </dataValidation>
    <dataValidation type="list" allowBlank="1" showInputMessage="1" showErrorMessage="1" sqref="C34" xr:uid="{00000000-0002-0000-2A00-00000A000000}">
      <formula1>商业建筑结构</formula1>
    </dataValidation>
    <dataValidation type="list" allowBlank="1" showInputMessage="1" showErrorMessage="1" sqref="C35 E35 G35 I35" xr:uid="{00000000-0002-0000-2A00-00000B000000}">
      <formula1>商业公共部分装修</formula1>
    </dataValidation>
    <dataValidation type="list" allowBlank="1" showInputMessage="1" showErrorMessage="1" sqref="C37 E37 G37 I37" xr:uid="{00000000-0002-0000-2A00-00000C000000}">
      <formula1>商业基础设施水平</formula1>
    </dataValidation>
    <dataValidation type="list" allowBlank="1" showInputMessage="1" showErrorMessage="1" sqref="C41 E41 G41 I41" xr:uid="{00000000-0002-0000-2A00-00000D000000}">
      <formula1>商业进深比</formula1>
    </dataValidation>
    <dataValidation type="list" allowBlank="1" showInputMessage="1" showErrorMessage="1" sqref="C42 E42 G42 I42" xr:uid="{00000000-0002-0000-2A00-00000E000000}">
      <formula1>商业内部装修</formula1>
    </dataValidation>
    <dataValidation type="list" allowBlank="1" showInputMessage="1" showErrorMessage="1" sqref="E9 G9 I9" xr:uid="{00000000-0002-0000-2A00-00000F000000}">
      <formula1>商业用途</formula1>
    </dataValidation>
    <dataValidation type="list" allowBlank="1" showInputMessage="1" showErrorMessage="1" sqref="C38 E38 G38 I38" xr:uid="{00000000-0002-0000-2A00-000010000000}">
      <formula1>商业业态</formula1>
    </dataValidation>
    <dataValidation type="list" allowBlank="1" showInputMessage="1" showErrorMessage="1" sqref="C39 E39 G39 I39" xr:uid="{00000000-0002-0000-2A00-000011000000}">
      <formula1>商业层高</formula1>
    </dataValidation>
    <dataValidation type="list" allowBlank="1" showInputMessage="1" showErrorMessage="1" sqref="C8 E8 G8 I8" xr:uid="{00000000-0002-0000-2A00-000012000000}">
      <formula1>商业交易情况</formula1>
    </dataValidation>
    <dataValidation type="list" allowBlank="1" showInputMessage="1" showErrorMessage="1" sqref="C16 E16 G16 I16" xr:uid="{00000000-0002-0000-2A00-000013000000}">
      <formula1>商业繁华度</formula1>
    </dataValidation>
    <dataValidation type="list" allowBlank="1" showInputMessage="1" showErrorMessage="1" sqref="C22 E22 G22 I22" xr:uid="{00000000-0002-0000-2A00-000014000000}">
      <formula1>基础设施水平</formula1>
    </dataValidation>
    <dataValidation type="list" allowBlank="1" showInputMessage="1" showErrorMessage="1" sqref="F1" xr:uid="{00000000-0002-0000-2A00-000015000000}">
      <formula1>"售价,租金"</formula1>
    </dataValidation>
    <dataValidation type="list" allowBlank="1" showInputMessage="1" showErrorMessage="1" sqref="D48" xr:uid="{00000000-0002-0000-2A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605" t="s">
        <v>471</v>
      </c>
      <c r="D4" s="3606"/>
      <c r="E4" s="3645" t="s">
        <v>472</v>
      </c>
      <c r="F4" s="3646"/>
      <c r="G4" s="3605" t="s">
        <v>473</v>
      </c>
      <c r="H4" s="3606"/>
      <c r="I4" s="3605" t="s">
        <v>474</v>
      </c>
      <c r="J4" s="3606"/>
      <c r="K4" s="465" t="s">
        <v>475</v>
      </c>
      <c r="L4" s="1741"/>
      <c r="M4" s="1742"/>
      <c r="N4" s="1742"/>
      <c r="O4" s="1742"/>
      <c r="P4" s="3732" t="s">
        <v>476</v>
      </c>
      <c r="Q4" s="3608"/>
      <c r="R4" s="3613" t="s">
        <v>472</v>
      </c>
      <c r="S4" s="3614"/>
      <c r="T4" s="3613" t="s">
        <v>473</v>
      </c>
      <c r="U4" s="3614"/>
      <c r="V4" s="3600" t="s">
        <v>474</v>
      </c>
      <c r="W4" s="3600"/>
      <c r="X4" s="1302"/>
      <c r="Y4" s="3613" t="s">
        <v>476</v>
      </c>
      <c r="Z4" s="3614"/>
      <c r="AA4" s="3602" t="s">
        <v>472</v>
      </c>
      <c r="AB4" s="3602" t="s">
        <v>473</v>
      </c>
      <c r="AC4" s="3602" t="s">
        <v>474</v>
      </c>
    </row>
    <row r="5" spans="1:29" ht="15">
      <c r="A5" s="466"/>
      <c r="B5" s="467"/>
      <c r="C5" s="3621" t="s">
        <v>2185</v>
      </c>
      <c r="D5" s="3622"/>
      <c r="E5" s="3647" t="s">
        <v>2186</v>
      </c>
      <c r="F5" s="3648"/>
      <c r="G5" s="3621" t="s">
        <v>2187</v>
      </c>
      <c r="H5" s="3622"/>
      <c r="I5" s="3621" t="s">
        <v>2188</v>
      </c>
      <c r="J5" s="3622"/>
      <c r="K5" s="465"/>
      <c r="L5" s="1741"/>
      <c r="M5" s="1742"/>
      <c r="N5" s="1742"/>
      <c r="O5" s="1742"/>
      <c r="P5" s="3733"/>
      <c r="Q5" s="3610"/>
      <c r="R5" s="3615"/>
      <c r="S5" s="3616"/>
      <c r="T5" s="3615"/>
      <c r="U5" s="3616"/>
      <c r="V5" s="3600"/>
      <c r="W5" s="3600"/>
      <c r="X5" s="1302"/>
      <c r="Y5" s="3615"/>
      <c r="Z5" s="3616"/>
      <c r="AA5" s="3603"/>
      <c r="AB5" s="3603"/>
      <c r="AC5" s="3603"/>
    </row>
    <row r="6" spans="1:29" ht="15.75" thickBot="1">
      <c r="A6" s="468"/>
      <c r="B6" s="469"/>
      <c r="C6" s="3619" t="s">
        <v>2189</v>
      </c>
      <c r="D6" s="3620"/>
      <c r="E6" s="3643" t="s">
        <v>2189</v>
      </c>
      <c r="F6" s="3644"/>
      <c r="G6" s="3619" t="s">
        <v>2189</v>
      </c>
      <c r="H6" s="3620"/>
      <c r="I6" s="3619" t="s">
        <v>2189</v>
      </c>
      <c r="J6" s="3620"/>
      <c r="K6" s="465" t="s">
        <v>477</v>
      </c>
      <c r="L6" s="1741"/>
      <c r="M6" s="1742"/>
      <c r="N6" s="1742"/>
      <c r="O6" s="1742"/>
      <c r="P6" s="3734"/>
      <c r="Q6" s="3612"/>
      <c r="R6" s="3615"/>
      <c r="S6" s="3616"/>
      <c r="T6" s="3617"/>
      <c r="U6" s="3618"/>
      <c r="V6" s="3600"/>
      <c r="W6" s="3600"/>
      <c r="X6" s="1302"/>
      <c r="Y6" s="3617"/>
      <c r="Z6" s="3618"/>
      <c r="AA6" s="3604"/>
      <c r="AB6" s="3604"/>
      <c r="AC6" s="3604"/>
    </row>
    <row r="7" spans="1:29" s="1059" customFormat="1" ht="15.75" thickBot="1">
      <c r="A7" s="2208"/>
      <c r="B7" s="2215" t="s">
        <v>478</v>
      </c>
      <c r="C7" s="470">
        <f>'数据-取费表'!B2</f>
        <v>45617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32" t="s">
        <v>479</v>
      </c>
      <c r="Q7" s="3632"/>
      <c r="R7" s="1303" t="s">
        <v>5</v>
      </c>
      <c r="S7" s="1304">
        <f t="shared" ref="S7:S15" si="0">F7</f>
        <v>0</v>
      </c>
      <c r="T7" s="1303" t="s">
        <v>5</v>
      </c>
      <c r="U7" s="1304">
        <f t="shared" ref="U7:U15" si="1">H7</f>
        <v>0</v>
      </c>
      <c r="V7" s="1303" t="s">
        <v>5</v>
      </c>
      <c r="W7" s="1304">
        <f t="shared" ref="W7:W15" si="2">J7</f>
        <v>0</v>
      </c>
      <c r="X7" s="1305"/>
      <c r="Y7" s="3630" t="s">
        <v>479</v>
      </c>
      <c r="Z7" s="3631"/>
      <c r="AA7" s="996" t="e">
        <f>D7/F7</f>
        <v>#DIV/0!</v>
      </c>
      <c r="AB7" s="996" t="e">
        <f>D7/H7</f>
        <v>#DIV/0!</v>
      </c>
      <c r="AC7" s="996" t="e">
        <f>D7/J7</f>
        <v>#DIV/0!</v>
      </c>
    </row>
    <row r="8" spans="1:29" s="1059"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32" t="s">
        <v>482</v>
      </c>
      <c r="Q8" s="3631"/>
      <c r="R8" s="1303" t="s">
        <v>5</v>
      </c>
      <c r="S8" s="1304">
        <f t="shared" si="0"/>
        <v>0</v>
      </c>
      <c r="T8" s="1303" t="s">
        <v>5</v>
      </c>
      <c r="U8" s="1304">
        <f t="shared" si="1"/>
        <v>0</v>
      </c>
      <c r="V8" s="1303" t="s">
        <v>5</v>
      </c>
      <c r="W8" s="1304">
        <f t="shared" si="2"/>
        <v>0</v>
      </c>
      <c r="X8" s="1305"/>
      <c r="Y8" s="3630" t="s">
        <v>482</v>
      </c>
      <c r="Z8" s="3631"/>
      <c r="AA8" s="996" t="e">
        <f t="shared" ref="AA8:AA47" si="3">D8/F8</f>
        <v>#DIV/0!</v>
      </c>
      <c r="AB8" s="996" t="e">
        <f t="shared" ref="AB8:AB47" si="4">D8/H8</f>
        <v>#DIV/0!</v>
      </c>
      <c r="AC8" s="996" t="e">
        <f t="shared" ref="AC8:AC47" si="5">D8/J8</f>
        <v>#DIV/0!</v>
      </c>
    </row>
    <row r="9" spans="1:29" s="1059" customFormat="1" ht="15">
      <c r="A9" s="2210"/>
      <c r="B9" s="2217" t="s">
        <v>2036</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9" t="s">
        <v>484</v>
      </c>
      <c r="Q9" s="817" t="str">
        <f t="shared" ref="Q9:Q15" si="6">B9</f>
        <v>用途</v>
      </c>
      <c r="R9" s="1303" t="s">
        <v>5</v>
      </c>
      <c r="S9" s="1304">
        <f t="shared" si="0"/>
        <v>100</v>
      </c>
      <c r="T9" s="1303" t="s">
        <v>5</v>
      </c>
      <c r="U9" s="1304">
        <f t="shared" si="1"/>
        <v>100</v>
      </c>
      <c r="V9" s="1303" t="s">
        <v>5</v>
      </c>
      <c r="W9" s="1304">
        <f t="shared" si="2"/>
        <v>100</v>
      </c>
      <c r="X9" s="1305"/>
      <c r="Y9" s="3547"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599"/>
      <c r="Q10" s="817" t="str">
        <f t="shared" si="6"/>
        <v>土地使用年限（年）</v>
      </c>
      <c r="R10" s="1303" t="s">
        <v>5</v>
      </c>
      <c r="S10" s="1304">
        <f t="shared" si="0"/>
        <v>100</v>
      </c>
      <c r="T10" s="1303" t="s">
        <v>5</v>
      </c>
      <c r="U10" s="1304">
        <f t="shared" si="1"/>
        <v>100</v>
      </c>
      <c r="V10" s="1303" t="s">
        <v>5</v>
      </c>
      <c r="W10" s="1304">
        <f t="shared" si="2"/>
        <v>100</v>
      </c>
      <c r="X10" s="1305"/>
      <c r="Y10" s="3547"/>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9"/>
      <c r="Q11" s="817" t="str">
        <f t="shared" si="6"/>
        <v>容积率</v>
      </c>
      <c r="R11" s="1303" t="s">
        <v>5</v>
      </c>
      <c r="S11" s="1304" t="e">
        <f t="shared" si="0"/>
        <v>#N/A</v>
      </c>
      <c r="T11" s="1303" t="s">
        <v>5</v>
      </c>
      <c r="U11" s="1304" t="e">
        <f t="shared" si="1"/>
        <v>#N/A</v>
      </c>
      <c r="V11" s="1303" t="s">
        <v>5</v>
      </c>
      <c r="W11" s="1304" t="e">
        <f t="shared" si="2"/>
        <v>#N/A</v>
      </c>
      <c r="X11" s="1305"/>
      <c r="Y11" s="3547"/>
      <c r="Z11" s="996" t="str">
        <f t="shared" si="7"/>
        <v>容积率</v>
      </c>
      <c r="AA11" s="996" t="e">
        <f t="shared" si="3"/>
        <v>#N/A</v>
      </c>
      <c r="AB11" s="996" t="e">
        <f t="shared" si="4"/>
        <v>#N/A</v>
      </c>
      <c r="AC11" s="996" t="e">
        <f t="shared" si="5"/>
        <v>#N/A</v>
      </c>
    </row>
    <row r="12" spans="1:29" s="1059" customFormat="1" ht="15">
      <c r="A12" s="2213"/>
      <c r="B12" s="2219">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599"/>
      <c r="Q12" s="817">
        <f t="shared" si="6"/>
        <v>111</v>
      </c>
      <c r="R12" s="1303" t="s">
        <v>5</v>
      </c>
      <c r="S12" s="1304">
        <f t="shared" si="0"/>
        <v>100</v>
      </c>
      <c r="T12" s="1303" t="s">
        <v>5</v>
      </c>
      <c r="U12" s="1304">
        <f t="shared" si="1"/>
        <v>100</v>
      </c>
      <c r="V12" s="1303" t="s">
        <v>5</v>
      </c>
      <c r="W12" s="1304">
        <f t="shared" si="2"/>
        <v>100</v>
      </c>
      <c r="X12" s="1305"/>
      <c r="Y12" s="3547"/>
      <c r="Z12" s="996">
        <f t="shared" si="7"/>
        <v>111</v>
      </c>
      <c r="AA12" s="996">
        <f>D12/F12</f>
        <v>1</v>
      </c>
      <c r="AB12" s="996">
        <f>D12/H12</f>
        <v>1</v>
      </c>
      <c r="AC12" s="996">
        <f>D12/J12</f>
        <v>1</v>
      </c>
    </row>
    <row r="13" spans="1:29" ht="15">
      <c r="A13" s="2213"/>
      <c r="B13" s="2219">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599"/>
      <c r="Q13" s="817">
        <f t="shared" si="6"/>
        <v>111</v>
      </c>
      <c r="R13" s="1303" t="s">
        <v>5</v>
      </c>
      <c r="S13" s="1304">
        <f t="shared" si="0"/>
        <v>100</v>
      </c>
      <c r="T13" s="1303" t="s">
        <v>5</v>
      </c>
      <c r="U13" s="1304">
        <f t="shared" si="1"/>
        <v>100</v>
      </c>
      <c r="V13" s="1303" t="s">
        <v>5</v>
      </c>
      <c r="W13" s="1304">
        <f t="shared" si="2"/>
        <v>100</v>
      </c>
      <c r="X13" s="1305"/>
      <c r="Y13" s="3547"/>
      <c r="Z13" s="996">
        <f t="shared" si="7"/>
        <v>111</v>
      </c>
      <c r="AA13" s="996">
        <f t="shared" si="3"/>
        <v>1</v>
      </c>
      <c r="AB13" s="996">
        <f t="shared" si="4"/>
        <v>1</v>
      </c>
      <c r="AC13" s="996">
        <f t="shared" si="5"/>
        <v>1</v>
      </c>
    </row>
    <row r="14" spans="1:29" ht="15.75" thickBot="1">
      <c r="A14" s="2214"/>
      <c r="B14" s="2220">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599"/>
      <c r="Q14" s="817">
        <f t="shared" si="6"/>
        <v>111</v>
      </c>
      <c r="R14" s="1303" t="s">
        <v>5</v>
      </c>
      <c r="S14" s="1304">
        <f t="shared" si="0"/>
        <v>100</v>
      </c>
      <c r="T14" s="1303" t="s">
        <v>5</v>
      </c>
      <c r="U14" s="1304">
        <f t="shared" si="1"/>
        <v>100</v>
      </c>
      <c r="V14" s="1303" t="s">
        <v>5</v>
      </c>
      <c r="W14" s="1304">
        <f t="shared" si="2"/>
        <v>100</v>
      </c>
      <c r="X14" s="1305"/>
      <c r="Y14" s="3547"/>
      <c r="Z14" s="996">
        <f t="shared" si="7"/>
        <v>111</v>
      </c>
      <c r="AA14" s="996">
        <f t="shared" si="3"/>
        <v>1</v>
      </c>
      <c r="AB14" s="996">
        <f t="shared" si="4"/>
        <v>1</v>
      </c>
      <c r="AC14" s="996">
        <f t="shared" si="5"/>
        <v>1</v>
      </c>
    </row>
    <row r="15" spans="1:29" ht="15">
      <c r="A15" s="2206" t="s">
        <v>2034</v>
      </c>
      <c r="B15" s="497" t="s">
        <v>491</v>
      </c>
      <c r="C15" s="498" t="str">
        <f>估价对象房地状况!C5</f>
        <v>较差</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33" t="s">
        <v>489</v>
      </c>
      <c r="Q15" s="1306" t="str">
        <f t="shared" si="6"/>
        <v>办公集聚程度</v>
      </c>
      <c r="R15" s="1307" t="s">
        <v>5</v>
      </c>
      <c r="S15" s="1308">
        <f t="shared" si="0"/>
        <v>100</v>
      </c>
      <c r="T15" s="1307" t="s">
        <v>5</v>
      </c>
      <c r="U15" s="1308">
        <f t="shared" si="1"/>
        <v>100</v>
      </c>
      <c r="V15" s="1307" t="s">
        <v>5</v>
      </c>
      <c r="W15" s="1308">
        <f t="shared" si="2"/>
        <v>100</v>
      </c>
      <c r="X15" s="1302"/>
      <c r="Y15" s="3633"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34"/>
      <c r="Q16" s="1306"/>
      <c r="R16" s="1307"/>
      <c r="S16" s="1308"/>
      <c r="T16" s="1307"/>
      <c r="U16" s="1308"/>
      <c r="V16" s="1307"/>
      <c r="W16" s="1308"/>
      <c r="X16" s="1302"/>
      <c r="Y16" s="3634"/>
      <c r="Z16" s="1309"/>
      <c r="AA16" s="1309">
        <v>1</v>
      </c>
      <c r="AB16" s="1309">
        <v>1</v>
      </c>
      <c r="AC16" s="1309">
        <v>1</v>
      </c>
    </row>
    <row r="17" spans="1:29" ht="15">
      <c r="A17" s="482"/>
      <c r="B17" s="510" t="s">
        <v>262</v>
      </c>
      <c r="C17" s="523" t="str">
        <f>估价对象房地状况!C6</f>
        <v>较差</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34"/>
      <c r="Q17" s="1306" t="str">
        <f>B17</f>
        <v>交通便捷度</v>
      </c>
      <c r="R17" s="1307" t="s">
        <v>5</v>
      </c>
      <c r="S17" s="1308">
        <f>F17</f>
        <v>100</v>
      </c>
      <c r="T17" s="1307" t="s">
        <v>5</v>
      </c>
      <c r="U17" s="1308">
        <f>H17</f>
        <v>100</v>
      </c>
      <c r="V17" s="1307" t="s">
        <v>5</v>
      </c>
      <c r="W17" s="1308">
        <f>J17</f>
        <v>100</v>
      </c>
      <c r="X17" s="1302"/>
      <c r="Y17" s="3634"/>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34"/>
      <c r="Q18" s="1306"/>
      <c r="R18" s="1307"/>
      <c r="S18" s="1308"/>
      <c r="T18" s="1307"/>
      <c r="U18" s="1308"/>
      <c r="V18" s="1307"/>
      <c r="W18" s="1308"/>
      <c r="X18" s="1302"/>
      <c r="Y18" s="3634"/>
      <c r="Z18" s="1309"/>
      <c r="AA18" s="1309">
        <v>1</v>
      </c>
      <c r="AB18" s="1309">
        <v>1</v>
      </c>
      <c r="AC18" s="1309">
        <v>1</v>
      </c>
    </row>
    <row r="19" spans="1:29" ht="15">
      <c r="A19" s="482"/>
      <c r="B19" s="2062" t="s">
        <v>1827</v>
      </c>
      <c r="C19" s="523" t="str">
        <f>估价对象房地状况!C7</f>
        <v>较差</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34"/>
      <c r="Q19" s="1306" t="str">
        <f>B19</f>
        <v>公共配套设施</v>
      </c>
      <c r="R19" s="1307" t="s">
        <v>5</v>
      </c>
      <c r="S19" s="1308">
        <f>F19</f>
        <v>100</v>
      </c>
      <c r="T19" s="1307" t="s">
        <v>5</v>
      </c>
      <c r="U19" s="1308">
        <f>H19</f>
        <v>100</v>
      </c>
      <c r="V19" s="1307" t="s">
        <v>5</v>
      </c>
      <c r="W19" s="1308">
        <f>J19</f>
        <v>100</v>
      </c>
      <c r="X19" s="1302"/>
      <c r="Y19" s="3634"/>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34"/>
      <c r="Q20" s="1306"/>
      <c r="R20" s="1307"/>
      <c r="S20" s="1308"/>
      <c r="T20" s="1307"/>
      <c r="U20" s="1308"/>
      <c r="V20" s="1307"/>
      <c r="W20" s="1308"/>
      <c r="X20" s="1302"/>
      <c r="Y20" s="3634"/>
      <c r="Z20" s="1309"/>
      <c r="AA20" s="1309">
        <v>1</v>
      </c>
      <c r="AB20" s="1309">
        <v>1</v>
      </c>
      <c r="AC20" s="1309">
        <v>1</v>
      </c>
    </row>
    <row r="21" spans="1:29" ht="15">
      <c r="A21" s="482"/>
      <c r="B21" s="2050" t="s">
        <v>1839</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34"/>
      <c r="Q21" s="1306" t="str">
        <f>B21</f>
        <v>基础设施水平</v>
      </c>
      <c r="R21" s="1307" t="s">
        <v>5</v>
      </c>
      <c r="S21" s="1308">
        <f>F21</f>
        <v>100</v>
      </c>
      <c r="T21" s="1307" t="s">
        <v>5</v>
      </c>
      <c r="U21" s="1308">
        <f>H21</f>
        <v>100</v>
      </c>
      <c r="V21" s="1307" t="s">
        <v>5</v>
      </c>
      <c r="W21" s="1308">
        <f>J21</f>
        <v>100</v>
      </c>
      <c r="X21" s="1302"/>
      <c r="Y21" s="3634"/>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34"/>
      <c r="Q22" s="1306"/>
      <c r="R22" s="1307"/>
      <c r="S22" s="1308"/>
      <c r="T22" s="1307"/>
      <c r="U22" s="1308"/>
      <c r="V22" s="1307"/>
      <c r="W22" s="1308"/>
      <c r="X22" s="1302"/>
      <c r="Y22" s="3634"/>
      <c r="Z22" s="1309"/>
      <c r="AA22" s="1309">
        <v>1</v>
      </c>
      <c r="AB22" s="1309">
        <v>1</v>
      </c>
      <c r="AC22" s="1309">
        <v>1</v>
      </c>
    </row>
    <row r="23" spans="1:29" ht="15">
      <c r="A23" s="482"/>
      <c r="B23" s="510" t="s">
        <v>718</v>
      </c>
      <c r="C23" s="523" t="str">
        <f>估价对象房地状况!C9</f>
        <v>较差</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34"/>
      <c r="Q23" s="1306" t="str">
        <f>B23</f>
        <v>环境质量</v>
      </c>
      <c r="R23" s="1307" t="s">
        <v>5</v>
      </c>
      <c r="S23" s="1308">
        <f>F23</f>
        <v>100</v>
      </c>
      <c r="T23" s="1307" t="s">
        <v>5</v>
      </c>
      <c r="U23" s="1308">
        <f>H23</f>
        <v>100</v>
      </c>
      <c r="V23" s="1307" t="s">
        <v>5</v>
      </c>
      <c r="W23" s="1308">
        <f>J23</f>
        <v>100</v>
      </c>
      <c r="X23" s="1302"/>
      <c r="Y23" s="3634"/>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34"/>
      <c r="Q24" s="1306"/>
      <c r="R24" s="1307"/>
      <c r="S24" s="1308"/>
      <c r="T24" s="1307"/>
      <c r="U24" s="1308"/>
      <c r="V24" s="1307"/>
      <c r="W24" s="1308"/>
      <c r="X24" s="1302"/>
      <c r="Y24" s="3634"/>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34"/>
      <c r="Q25" s="1306" t="str">
        <f>B25</f>
        <v>毗邻道路的类型与等级</v>
      </c>
      <c r="R25" s="1307" t="s">
        <v>5</v>
      </c>
      <c r="S25" s="1308">
        <f>F25</f>
        <v>100</v>
      </c>
      <c r="T25" s="1307" t="s">
        <v>5</v>
      </c>
      <c r="U25" s="1308">
        <f>H25</f>
        <v>100</v>
      </c>
      <c r="V25" s="1307" t="s">
        <v>5</v>
      </c>
      <c r="W25" s="1308">
        <f>J25</f>
        <v>100</v>
      </c>
      <c r="X25" s="1302"/>
      <c r="Y25" s="3634"/>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34"/>
      <c r="Q26" s="1306"/>
      <c r="R26" s="1307"/>
      <c r="S26" s="1308"/>
      <c r="T26" s="1307"/>
      <c r="U26" s="1308"/>
      <c r="V26" s="1307"/>
      <c r="W26" s="1308"/>
      <c r="X26" s="1302"/>
      <c r="Y26" s="3634"/>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34"/>
      <c r="Q27" s="1306" t="str">
        <f t="shared" ref="Q27:Q47" si="8">B27</f>
        <v>楼层</v>
      </c>
      <c r="R27" s="1307" t="s">
        <v>5</v>
      </c>
      <c r="S27" s="1308">
        <f>F27</f>
        <v>100</v>
      </c>
      <c r="T27" s="1307" t="s">
        <v>5</v>
      </c>
      <c r="U27" s="1308">
        <f>H27</f>
        <v>100</v>
      </c>
      <c r="V27" s="1307" t="s">
        <v>5</v>
      </c>
      <c r="W27" s="1308">
        <f>J27</f>
        <v>100</v>
      </c>
      <c r="X27" s="1302"/>
      <c r="Y27" s="3634"/>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34"/>
      <c r="Q28" s="817" t="str">
        <f t="shared" si="8"/>
        <v>朝向</v>
      </c>
      <c r="R28" s="1303" t="s">
        <v>5</v>
      </c>
      <c r="S28" s="1304">
        <f>F28</f>
        <v>100</v>
      </c>
      <c r="T28" s="1303" t="s">
        <v>5</v>
      </c>
      <c r="U28" s="1304">
        <f>H28</f>
        <v>100</v>
      </c>
      <c r="V28" s="1303" t="s">
        <v>5</v>
      </c>
      <c r="W28" s="1304">
        <f>J28</f>
        <v>100</v>
      </c>
      <c r="X28" s="1305"/>
      <c r="Y28" s="3634"/>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34"/>
      <c r="Q29" s="1306">
        <f t="shared" si="8"/>
        <v>111</v>
      </c>
      <c r="R29" s="1307" t="s">
        <v>5</v>
      </c>
      <c r="S29" s="1308">
        <f t="shared" ref="S29:S47" si="9">F29</f>
        <v>100</v>
      </c>
      <c r="T29" s="1307" t="s">
        <v>5</v>
      </c>
      <c r="U29" s="1308">
        <f t="shared" ref="U29:U47" si="10">H29</f>
        <v>100</v>
      </c>
      <c r="V29" s="1307" t="s">
        <v>5</v>
      </c>
      <c r="W29" s="1308">
        <f t="shared" ref="W29:W47" si="11">J29</f>
        <v>100</v>
      </c>
      <c r="X29" s="1302"/>
      <c r="Y29" s="3634"/>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34"/>
      <c r="Q30" s="1306">
        <f t="shared" si="8"/>
        <v>111</v>
      </c>
      <c r="R30" s="1307" t="s">
        <v>5</v>
      </c>
      <c r="S30" s="1308">
        <f t="shared" si="9"/>
        <v>100</v>
      </c>
      <c r="T30" s="1307" t="s">
        <v>5</v>
      </c>
      <c r="U30" s="1308">
        <f t="shared" si="10"/>
        <v>100</v>
      </c>
      <c r="V30" s="1307" t="s">
        <v>5</v>
      </c>
      <c r="W30" s="1308">
        <f t="shared" si="11"/>
        <v>100</v>
      </c>
      <c r="X30" s="1302"/>
      <c r="Y30" s="3634"/>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34"/>
      <c r="Q31" s="1306">
        <f t="shared" si="8"/>
        <v>111</v>
      </c>
      <c r="R31" s="1307" t="s">
        <v>5</v>
      </c>
      <c r="S31" s="1308">
        <f t="shared" si="9"/>
        <v>100</v>
      </c>
      <c r="T31" s="1307" t="s">
        <v>5</v>
      </c>
      <c r="U31" s="1308">
        <f t="shared" si="10"/>
        <v>100</v>
      </c>
      <c r="V31" s="1307" t="s">
        <v>5</v>
      </c>
      <c r="W31" s="1308">
        <f t="shared" si="11"/>
        <v>100</v>
      </c>
      <c r="X31" s="1302"/>
      <c r="Y31" s="3634"/>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34"/>
      <c r="Q32" s="1306">
        <f t="shared" si="8"/>
        <v>111</v>
      </c>
      <c r="R32" s="1307" t="s">
        <v>5</v>
      </c>
      <c r="S32" s="1308">
        <f t="shared" si="9"/>
        <v>100</v>
      </c>
      <c r="T32" s="1307" t="s">
        <v>5</v>
      </c>
      <c r="U32" s="1308">
        <f t="shared" si="10"/>
        <v>100</v>
      </c>
      <c r="V32" s="1307" t="s">
        <v>5</v>
      </c>
      <c r="W32" s="1308">
        <f t="shared" si="11"/>
        <v>100</v>
      </c>
      <c r="X32" s="1302"/>
      <c r="Y32" s="3634"/>
      <c r="Z32" s="1309">
        <f t="shared" si="12"/>
        <v>111</v>
      </c>
      <c r="AA32" s="1309">
        <f t="shared" si="3"/>
        <v>1</v>
      </c>
      <c r="AB32" s="1309">
        <f t="shared" si="4"/>
        <v>1</v>
      </c>
      <c r="AC32" s="1309">
        <f t="shared" si="5"/>
        <v>1</v>
      </c>
    </row>
    <row r="33" spans="1:29" ht="15">
      <c r="A33" s="2204" t="s">
        <v>2035</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35" t="s">
        <v>499</v>
      </c>
      <c r="Q33" s="1306" t="str">
        <f t="shared" si="8"/>
        <v>建筑类型</v>
      </c>
      <c r="R33" s="1307" t="s">
        <v>5</v>
      </c>
      <c r="S33" s="1308">
        <f t="shared" si="9"/>
        <v>100</v>
      </c>
      <c r="T33" s="1307" t="s">
        <v>5</v>
      </c>
      <c r="U33" s="1308">
        <f t="shared" si="10"/>
        <v>100</v>
      </c>
      <c r="V33" s="1307" t="s">
        <v>5</v>
      </c>
      <c r="W33" s="1308">
        <f t="shared" si="11"/>
        <v>100</v>
      </c>
      <c r="X33" s="1302"/>
      <c r="Y33" s="3636"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36"/>
      <c r="Q34" s="818" t="str">
        <f t="shared" si="8"/>
        <v>项目建筑规模</v>
      </c>
      <c r="R34" s="1310" t="s">
        <v>5</v>
      </c>
      <c r="S34" s="1311" t="e">
        <f t="shared" si="9"/>
        <v>#N/A</v>
      </c>
      <c r="T34" s="1310" t="s">
        <v>5</v>
      </c>
      <c r="U34" s="1311" t="e">
        <f t="shared" si="10"/>
        <v>#N/A</v>
      </c>
      <c r="V34" s="1310" t="s">
        <v>5</v>
      </c>
      <c r="W34" s="1311" t="e">
        <f t="shared" si="11"/>
        <v>#N/A</v>
      </c>
      <c r="X34" s="1312"/>
      <c r="Y34" s="3636"/>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36"/>
      <c r="Q35" s="1306" t="str">
        <f t="shared" si="8"/>
        <v>建筑结构</v>
      </c>
      <c r="R35" s="1307" t="s">
        <v>5</v>
      </c>
      <c r="S35" s="1308">
        <f t="shared" si="9"/>
        <v>100</v>
      </c>
      <c r="T35" s="1307" t="s">
        <v>5</v>
      </c>
      <c r="U35" s="1308">
        <f t="shared" si="10"/>
        <v>100</v>
      </c>
      <c r="V35" s="1307" t="s">
        <v>5</v>
      </c>
      <c r="W35" s="1308">
        <f t="shared" si="11"/>
        <v>100</v>
      </c>
      <c r="X35" s="1302"/>
      <c r="Y35" s="3636"/>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36"/>
      <c r="Q36" s="1306" t="str">
        <f t="shared" si="8"/>
        <v>公共部分装修</v>
      </c>
      <c r="R36" s="1307" t="s">
        <v>5</v>
      </c>
      <c r="S36" s="1308">
        <f t="shared" si="9"/>
        <v>100</v>
      </c>
      <c r="T36" s="1307" t="s">
        <v>5</v>
      </c>
      <c r="U36" s="1308">
        <f t="shared" si="10"/>
        <v>100</v>
      </c>
      <c r="V36" s="1307" t="s">
        <v>5</v>
      </c>
      <c r="W36" s="1308">
        <f t="shared" si="11"/>
        <v>100</v>
      </c>
      <c r="X36" s="1302"/>
      <c r="Y36" s="3636"/>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36"/>
      <c r="Q37" s="1306" t="str">
        <f t="shared" si="8"/>
        <v>成新度</v>
      </c>
      <c r="R37" s="1307" t="s">
        <v>5</v>
      </c>
      <c r="S37" s="1308" t="e">
        <f t="shared" si="9"/>
        <v>#N/A</v>
      </c>
      <c r="T37" s="1307" t="s">
        <v>5</v>
      </c>
      <c r="U37" s="1308" t="e">
        <f t="shared" si="10"/>
        <v>#N/A</v>
      </c>
      <c r="V37" s="1307" t="s">
        <v>5</v>
      </c>
      <c r="W37" s="1308" t="e">
        <f t="shared" si="11"/>
        <v>#N/A</v>
      </c>
      <c r="X37" s="1302"/>
      <c r="Y37" s="3636"/>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36"/>
      <c r="Q38" s="817" t="str">
        <f t="shared" si="8"/>
        <v>写字楼等级</v>
      </c>
      <c r="R38" s="1303" t="s">
        <v>5</v>
      </c>
      <c r="S38" s="1304">
        <f t="shared" si="9"/>
        <v>100</v>
      </c>
      <c r="T38" s="1303" t="s">
        <v>5</v>
      </c>
      <c r="U38" s="1304">
        <f t="shared" si="10"/>
        <v>100</v>
      </c>
      <c r="V38" s="1303" t="s">
        <v>5</v>
      </c>
      <c r="W38" s="1304">
        <f t="shared" si="11"/>
        <v>100</v>
      </c>
      <c r="X38" s="1305"/>
      <c r="Y38" s="3636"/>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36" t="s">
        <v>499</v>
      </c>
      <c r="Q39" s="1306" t="str">
        <f t="shared" si="8"/>
        <v>物业管理</v>
      </c>
      <c r="R39" s="1307" t="s">
        <v>5</v>
      </c>
      <c r="S39" s="1308">
        <f t="shared" si="9"/>
        <v>100</v>
      </c>
      <c r="T39" s="1307" t="s">
        <v>5</v>
      </c>
      <c r="U39" s="1308">
        <f t="shared" si="10"/>
        <v>100</v>
      </c>
      <c r="V39" s="1307" t="s">
        <v>5</v>
      </c>
      <c r="W39" s="1308">
        <f t="shared" si="11"/>
        <v>100</v>
      </c>
      <c r="X39" s="1302"/>
      <c r="Y39" s="3636" t="s">
        <v>499</v>
      </c>
      <c r="Z39" s="1309" t="str">
        <f t="shared" si="12"/>
        <v>物业管理</v>
      </c>
      <c r="AA39" s="1309">
        <f t="shared" si="3"/>
        <v>1</v>
      </c>
      <c r="AB39" s="1309">
        <f t="shared" si="4"/>
        <v>1</v>
      </c>
      <c r="AC39" s="1309">
        <f t="shared" si="5"/>
        <v>1</v>
      </c>
    </row>
    <row r="40" spans="1:29" ht="15">
      <c r="A40" s="543"/>
      <c r="B40" s="1554"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36"/>
      <c r="Q40" s="1306" t="str">
        <f t="shared" si="8"/>
        <v>市政基础设施</v>
      </c>
      <c r="R40" s="1307" t="s">
        <v>5</v>
      </c>
      <c r="S40" s="1308">
        <f t="shared" si="9"/>
        <v>100</v>
      </c>
      <c r="T40" s="1307" t="s">
        <v>5</v>
      </c>
      <c r="U40" s="1308">
        <f t="shared" si="10"/>
        <v>100</v>
      </c>
      <c r="V40" s="1307" t="s">
        <v>5</v>
      </c>
      <c r="W40" s="1308">
        <f t="shared" si="11"/>
        <v>100</v>
      </c>
      <c r="X40" s="1302"/>
      <c r="Y40" s="3636"/>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36"/>
      <c r="Q41" s="1306" t="str">
        <f t="shared" si="8"/>
        <v>层高</v>
      </c>
      <c r="R41" s="1307" t="s">
        <v>5</v>
      </c>
      <c r="S41" s="1308">
        <f t="shared" si="9"/>
        <v>100</v>
      </c>
      <c r="T41" s="1307" t="s">
        <v>5</v>
      </c>
      <c r="U41" s="1308">
        <f t="shared" si="10"/>
        <v>100</v>
      </c>
      <c r="V41" s="1307" t="s">
        <v>5</v>
      </c>
      <c r="W41" s="1308">
        <f t="shared" si="11"/>
        <v>100</v>
      </c>
      <c r="X41" s="1302"/>
      <c r="Y41" s="3636"/>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36"/>
      <c r="Q42" s="818" t="str">
        <f t="shared" si="8"/>
        <v>单套建筑面积</v>
      </c>
      <c r="R42" s="1310" t="s">
        <v>5</v>
      </c>
      <c r="S42" s="1311">
        <f t="shared" si="9"/>
        <v>100</v>
      </c>
      <c r="T42" s="1310" t="s">
        <v>5</v>
      </c>
      <c r="U42" s="1311">
        <f t="shared" si="10"/>
        <v>100</v>
      </c>
      <c r="V42" s="1310" t="s">
        <v>5</v>
      </c>
      <c r="W42" s="1311">
        <f t="shared" si="11"/>
        <v>100</v>
      </c>
      <c r="X42" s="1312"/>
      <c r="Y42" s="3636"/>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36"/>
      <c r="Q43" s="1306" t="str">
        <f t="shared" si="8"/>
        <v>内部装修</v>
      </c>
      <c r="R43" s="1307" t="s">
        <v>5</v>
      </c>
      <c r="S43" s="1308">
        <f t="shared" si="9"/>
        <v>100</v>
      </c>
      <c r="T43" s="1307" t="s">
        <v>5</v>
      </c>
      <c r="U43" s="1308">
        <f t="shared" si="10"/>
        <v>100</v>
      </c>
      <c r="V43" s="1307" t="s">
        <v>5</v>
      </c>
      <c r="W43" s="1308">
        <f t="shared" si="11"/>
        <v>100</v>
      </c>
      <c r="X43" s="1302"/>
      <c r="Y43" s="3636"/>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36"/>
      <c r="Q44" s="1306" t="str">
        <f t="shared" si="8"/>
        <v>内部装修维护情况</v>
      </c>
      <c r="R44" s="1307" t="s">
        <v>5</v>
      </c>
      <c r="S44" s="1308">
        <f t="shared" si="9"/>
        <v>100</v>
      </c>
      <c r="T44" s="1307" t="s">
        <v>5</v>
      </c>
      <c r="U44" s="1308">
        <f t="shared" si="10"/>
        <v>100</v>
      </c>
      <c r="V44" s="1307" t="s">
        <v>5</v>
      </c>
      <c r="W44" s="1308">
        <f t="shared" si="11"/>
        <v>100</v>
      </c>
      <c r="X44" s="1302"/>
      <c r="Y44" s="3636"/>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36"/>
      <c r="Q45" s="817">
        <f t="shared" si="8"/>
        <v>111</v>
      </c>
      <c r="R45" s="1303" t="s">
        <v>5</v>
      </c>
      <c r="S45" s="1304">
        <f t="shared" si="9"/>
        <v>100</v>
      </c>
      <c r="T45" s="1303" t="s">
        <v>5</v>
      </c>
      <c r="U45" s="1304">
        <f t="shared" si="10"/>
        <v>100</v>
      </c>
      <c r="V45" s="1303" t="s">
        <v>5</v>
      </c>
      <c r="W45" s="1304">
        <f t="shared" si="11"/>
        <v>100</v>
      </c>
      <c r="X45" s="1305"/>
      <c r="Y45" s="3636"/>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36"/>
      <c r="Q46" s="1306">
        <f t="shared" si="8"/>
        <v>111</v>
      </c>
      <c r="R46" s="1307" t="s">
        <v>5</v>
      </c>
      <c r="S46" s="1308">
        <f t="shared" si="9"/>
        <v>100</v>
      </c>
      <c r="T46" s="1307" t="s">
        <v>5</v>
      </c>
      <c r="U46" s="1308">
        <f t="shared" si="10"/>
        <v>100</v>
      </c>
      <c r="V46" s="1307" t="s">
        <v>5</v>
      </c>
      <c r="W46" s="1308">
        <f t="shared" si="11"/>
        <v>100</v>
      </c>
      <c r="X46" s="1302"/>
      <c r="Y46" s="3636"/>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55"/>
      <c r="Q47" s="1306">
        <f t="shared" si="8"/>
        <v>111</v>
      </c>
      <c r="R47" s="1307" t="s">
        <v>5</v>
      </c>
      <c r="S47" s="1308">
        <f t="shared" si="9"/>
        <v>100</v>
      </c>
      <c r="T47" s="1307" t="s">
        <v>5</v>
      </c>
      <c r="U47" s="1308">
        <f t="shared" si="10"/>
        <v>100</v>
      </c>
      <c r="V47" s="1307" t="s">
        <v>5</v>
      </c>
      <c r="W47" s="1308">
        <f t="shared" si="11"/>
        <v>100</v>
      </c>
      <c r="X47" s="1302"/>
      <c r="Y47" s="3655"/>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38" t="str">
        <f>A48</f>
        <v>成交单价（元/平方米）</v>
      </c>
      <c r="Q48" s="3599"/>
      <c r="R48" s="3600">
        <f>E48</f>
        <v>0</v>
      </c>
      <c r="S48" s="3600"/>
      <c r="T48" s="3600">
        <f>G48</f>
        <v>0</v>
      </c>
      <c r="U48" s="3600"/>
      <c r="V48" s="3600">
        <f>I48</f>
        <v>0</v>
      </c>
      <c r="W48" s="3600"/>
      <c r="X48" s="799"/>
      <c r="Y48" s="1314"/>
      <c r="Z48" s="799"/>
      <c r="AA48" s="799"/>
      <c r="AB48" s="799"/>
      <c r="AC48" s="799"/>
    </row>
    <row r="49" spans="1:29" ht="15.75" thickBot="1">
      <c r="A49" s="564" t="s">
        <v>2040</v>
      </c>
      <c r="B49" s="812"/>
      <c r="C49" s="2082" t="e">
        <f>R50</f>
        <v>#DIV/0!</v>
      </c>
      <c r="D49" s="2549" t="s">
        <v>2254</v>
      </c>
      <c r="E49" s="2083" t="e">
        <f>R49</f>
        <v>#DIV/0!</v>
      </c>
      <c r="F49" s="2550"/>
      <c r="G49" s="2082" t="e">
        <f>T49</f>
        <v>#DIV/0!</v>
      </c>
      <c r="H49" s="2550"/>
      <c r="I49" s="2083" t="e">
        <f>V49</f>
        <v>#DIV/0!</v>
      </c>
      <c r="J49" s="2550"/>
      <c r="K49" s="2557">
        <f>F49+H49+J49</f>
        <v>0</v>
      </c>
      <c r="L49" s="1751"/>
      <c r="M49" s="1742"/>
      <c r="N49" s="1742"/>
      <c r="O49" s="1742"/>
      <c r="P49" s="3638" t="str">
        <f>A49</f>
        <v>比较价格（元/平方米）</v>
      </c>
      <c r="Q49" s="3599"/>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799"/>
      <c r="Y49" s="799"/>
      <c r="Z49" s="799"/>
      <c r="AA49" s="799"/>
      <c r="AB49" s="799"/>
      <c r="AC49" s="799"/>
    </row>
    <row r="50" spans="1:29" ht="15.75" thickBot="1">
      <c r="A50" s="568" t="s">
        <v>2191</v>
      </c>
      <c r="B50" s="569"/>
      <c r="C50" s="469" t="e">
        <f>R50</f>
        <v>#DIV/0!</v>
      </c>
      <c r="D50" s="469"/>
      <c r="E50" s="469"/>
      <c r="F50" s="469"/>
      <c r="G50" s="469"/>
      <c r="H50" s="469"/>
      <c r="I50" s="469"/>
      <c r="J50" s="469"/>
      <c r="K50" s="1336"/>
      <c r="L50" s="1751"/>
      <c r="M50" s="1742"/>
      <c r="N50" s="1742"/>
      <c r="O50" s="1742"/>
      <c r="P50" s="3731" t="str">
        <f>A50</f>
        <v>估价对象XX用房的比较价格（楼面单价，元/平方米）</v>
      </c>
      <c r="Q50" s="3638"/>
      <c r="R50" s="3654" t="e">
        <f>IF(F1="售价",ROUND(IF(D49="简单平均",AVERAGE(R49:V49),R49*F49+T49*H49+V49*J49),0),ROUND(IF(D49="简单平均",AVERAGE(R49:V49),R49*F49+T49*H49+V49*J49),1))</f>
        <v>#DIV/0!</v>
      </c>
      <c r="S50" s="3654"/>
      <c r="T50" s="3654"/>
      <c r="U50" s="3654"/>
      <c r="V50" s="3654"/>
      <c r="W50" s="3654"/>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2024-11</v>
      </c>
      <c r="D59" s="2115">
        <f>EDATE(C59,-1)</f>
        <v>45566</v>
      </c>
      <c r="E59" s="2115">
        <f t="shared" ref="E59:O59" si="13">EDATE(D59,-1)</f>
        <v>45536</v>
      </c>
      <c r="F59" s="2115">
        <f t="shared" si="13"/>
        <v>45505</v>
      </c>
      <c r="G59" s="2115">
        <f t="shared" si="13"/>
        <v>45474</v>
      </c>
      <c r="H59" s="2115">
        <f t="shared" si="13"/>
        <v>45444</v>
      </c>
      <c r="I59" s="2115">
        <f t="shared" si="13"/>
        <v>45413</v>
      </c>
      <c r="J59" s="2115">
        <f t="shared" si="13"/>
        <v>45383</v>
      </c>
      <c r="K59" s="2115">
        <f t="shared" si="13"/>
        <v>45352</v>
      </c>
      <c r="L59" s="2115">
        <f t="shared" si="13"/>
        <v>45323</v>
      </c>
      <c r="M59" s="2115">
        <f t="shared" si="13"/>
        <v>45292</v>
      </c>
      <c r="N59" s="2115">
        <f t="shared" si="13"/>
        <v>45261</v>
      </c>
      <c r="O59" s="2115">
        <f t="shared" si="13"/>
        <v>45231</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1838</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1839</v>
      </c>
      <c r="C83" s="2057" t="s">
        <v>1840</v>
      </c>
      <c r="D83" s="2057" t="s">
        <v>1841</v>
      </c>
      <c r="E83" s="2057" t="s">
        <v>1842</v>
      </c>
      <c r="F83" s="2057" t="s">
        <v>1843</v>
      </c>
      <c r="G83" s="2057" t="s">
        <v>1844</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1837</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1" priority="16" stopIfTrue="1">
      <formula>$F$53="超过30%"</formula>
    </cfRule>
  </conditionalFormatting>
  <conditionalFormatting sqref="E54">
    <cfRule type="expression" dxfId="50" priority="15" stopIfTrue="1">
      <formula>$F$54="超过20%"</formula>
    </cfRule>
  </conditionalFormatting>
  <conditionalFormatting sqref="E55">
    <cfRule type="expression" dxfId="49" priority="14" stopIfTrue="1">
      <formula>$F$55="超过30%"</formula>
    </cfRule>
  </conditionalFormatting>
  <conditionalFormatting sqref="F7:F47 H7:H47 J7:J47">
    <cfRule type="cellIs" dxfId="48" priority="1" operator="notEqual">
      <formula>100</formula>
    </cfRule>
  </conditionalFormatting>
  <conditionalFormatting sqref="F49">
    <cfRule type="expression" dxfId="47" priority="4">
      <formula>$D$49="简单平均"</formula>
    </cfRule>
  </conditionalFormatting>
  <conditionalFormatting sqref="F53:F55 H53:H55">
    <cfRule type="containsText" dxfId="46" priority="17" stopIfTrue="1" operator="containsText" text="超过">
      <formula>NOT(ISERROR(SEARCH("超过",F53)))</formula>
    </cfRule>
  </conditionalFormatting>
  <conditionalFormatting sqref="G53">
    <cfRule type="expression" dxfId="45" priority="12" stopIfTrue="1">
      <formula>$H$53="超过30%"</formula>
    </cfRule>
  </conditionalFormatting>
  <conditionalFormatting sqref="G54">
    <cfRule type="expression" dxfId="44" priority="11" stopIfTrue="1">
      <formula>$H$54="超过20%"</formula>
    </cfRule>
  </conditionalFormatting>
  <conditionalFormatting sqref="G55">
    <cfRule type="expression" dxfId="43" priority="13" stopIfTrue="1">
      <formula>$H$55="超过30%"</formula>
    </cfRule>
  </conditionalFormatting>
  <conditionalFormatting sqref="H49">
    <cfRule type="expression" dxfId="42" priority="3">
      <formula>$D$49="简单平均"</formula>
    </cfRule>
  </conditionalFormatting>
  <conditionalFormatting sqref="I53">
    <cfRule type="expression" dxfId="41" priority="7" stopIfTrue="1">
      <formula>$J$53="超过30%"</formula>
    </cfRule>
  </conditionalFormatting>
  <conditionalFormatting sqref="I54">
    <cfRule type="expression" dxfId="40" priority="6" stopIfTrue="1">
      <formula>$J$53+$J$54="超过20%"</formula>
    </cfRule>
  </conditionalFormatting>
  <conditionalFormatting sqref="I55">
    <cfRule type="expression" dxfId="39" priority="5" stopIfTrue="1">
      <formula>$J$55="超过30%"</formula>
    </cfRule>
  </conditionalFormatting>
  <conditionalFormatting sqref="J49">
    <cfRule type="expression" dxfId="38" priority="2">
      <formula>$D$49="简单平均"</formula>
    </cfRule>
  </conditionalFormatting>
  <conditionalFormatting sqref="J53:J55">
    <cfRule type="containsText" dxfId="37" priority="8" stopIfTrue="1" operator="containsText" text="超过">
      <formula>NOT(ISERROR(SEARCH("超过",J53)))</formula>
    </cfRule>
  </conditionalFormatting>
  <dataValidations count="22">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I20 E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E9 G9 I9" xr:uid="{00000000-0002-0000-2B00-000006000000}">
      <formula1>办公用途</formula1>
    </dataValidation>
    <dataValidation type="list" allowBlank="1" showInputMessage="1" showErrorMessage="1" sqref="C16 E16 G16 I16" xr:uid="{00000000-0002-0000-2B00-000007000000}">
      <formula1>办公集聚程度</formula1>
    </dataValidation>
    <dataValidation type="list" allowBlank="1" showInputMessage="1" showErrorMessage="1" sqref="G26 C26 E26 I26" xr:uid="{00000000-0002-0000-2B00-000008000000}">
      <formula1>办公道路级别</formula1>
    </dataValidation>
    <dataValidation type="list" allowBlank="1" showInputMessage="1" showErrorMessage="1" sqref="C28 E28 G28 I28" xr:uid="{00000000-0002-0000-2B00-000009000000}">
      <formula1>办公朝向</formula1>
    </dataValidation>
    <dataValidation type="list" allowBlank="1" showInputMessage="1" showErrorMessage="1" sqref="C27 E27 G27 I27" xr:uid="{00000000-0002-0000-2B00-00000A000000}">
      <formula1>办公楼层</formula1>
    </dataValidation>
    <dataValidation type="list" allowBlank="1" showInputMessage="1" showErrorMessage="1" sqref="C33 E33 G33 I33" xr:uid="{00000000-0002-0000-2B00-00000B000000}">
      <formula1>办公建筑类型</formula1>
    </dataValidation>
    <dataValidation type="list" allowBlank="1" showInputMessage="1" showErrorMessage="1" sqref="C36 E36 G36 I36" xr:uid="{00000000-0002-0000-2B00-00000C000000}">
      <formula1>办公公共部分装修</formula1>
    </dataValidation>
    <dataValidation type="list" allowBlank="1" showInputMessage="1" showErrorMessage="1" sqref="C38 E38 G38 I38" xr:uid="{00000000-0002-0000-2B00-00000D000000}">
      <formula1>写字楼等级</formula1>
    </dataValidation>
    <dataValidation type="list" allowBlank="1" showInputMessage="1" showErrorMessage="1" sqref="C39 E39 G39 I39" xr:uid="{00000000-0002-0000-2B00-00000E000000}">
      <formula1>办公物业管理</formula1>
    </dataValidation>
    <dataValidation type="list" allowBlank="1" showInputMessage="1" showErrorMessage="1" sqref="C40 E40 G40 I40" xr:uid="{00000000-0002-0000-2B00-00000F000000}">
      <formula1>办公基础设施水平</formula1>
    </dataValidation>
    <dataValidation type="list" allowBlank="1" showInputMessage="1" showErrorMessage="1" sqref="C41 E41 G41 I41" xr:uid="{00000000-0002-0000-2B00-000010000000}">
      <formula1>办公层高</formula1>
    </dataValidation>
    <dataValidation type="list" allowBlank="1" showInputMessage="1" showErrorMessage="1" sqref="C43 E43 G43 I43" xr:uid="{00000000-0002-0000-2B00-000011000000}">
      <formula1>办公内部装修</formula1>
    </dataValidation>
    <dataValidation type="list" allowBlank="1" showInputMessage="1" showErrorMessage="1" sqref="C8 E8 G8 I8" xr:uid="{00000000-0002-0000-2B00-000012000000}">
      <formula1>办公交易情况</formula1>
    </dataValidation>
    <dataValidation type="list" allowBlank="1" showInputMessage="1" showErrorMessage="1" sqref="C22 E22 G22 I22" xr:uid="{00000000-0002-0000-2B00-000013000000}">
      <formula1>基础设施水平</formula1>
    </dataValidation>
    <dataValidation type="list" allowBlank="1" showInputMessage="1" showErrorMessage="1" sqref="F1" xr:uid="{00000000-0002-0000-2B00-000014000000}">
      <formula1>"售价,租金"</formula1>
    </dataValidation>
    <dataValidation type="list" allowBlank="1" showInputMessage="1" showErrorMessage="1" sqref="D49" xr:uid="{00000000-0002-0000-2B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605" t="s">
        <v>471</v>
      </c>
      <c r="D4" s="3606"/>
      <c r="E4" s="3645" t="s">
        <v>472</v>
      </c>
      <c r="F4" s="3646"/>
      <c r="G4" s="3605" t="s">
        <v>473</v>
      </c>
      <c r="H4" s="3606"/>
      <c r="I4" s="3605" t="s">
        <v>474</v>
      </c>
      <c r="J4" s="3606"/>
      <c r="K4" s="465" t="s">
        <v>475</v>
      </c>
      <c r="L4" s="1741"/>
      <c r="M4" s="1742"/>
      <c r="N4" s="1742"/>
      <c r="O4" s="1742"/>
      <c r="P4" s="3607" t="s">
        <v>476</v>
      </c>
      <c r="Q4" s="3608"/>
      <c r="R4" s="3613" t="s">
        <v>472</v>
      </c>
      <c r="S4" s="3614"/>
      <c r="T4" s="3613" t="s">
        <v>473</v>
      </c>
      <c r="U4" s="3614"/>
      <c r="V4" s="3600" t="s">
        <v>474</v>
      </c>
      <c r="W4" s="3600"/>
      <c r="X4" s="1302"/>
      <c r="Y4" s="3613" t="s">
        <v>476</v>
      </c>
      <c r="Z4" s="3614"/>
      <c r="AA4" s="3602" t="s">
        <v>472</v>
      </c>
      <c r="AB4" s="3603" t="s">
        <v>473</v>
      </c>
      <c r="AC4" s="3602" t="s">
        <v>474</v>
      </c>
    </row>
    <row r="5" spans="1:29" ht="15">
      <c r="A5" s="466"/>
      <c r="B5" s="467"/>
      <c r="C5" s="3621" t="s">
        <v>2185</v>
      </c>
      <c r="D5" s="3622"/>
      <c r="E5" s="3647" t="s">
        <v>2186</v>
      </c>
      <c r="F5" s="3648"/>
      <c r="G5" s="3621" t="s">
        <v>2187</v>
      </c>
      <c r="H5" s="3622"/>
      <c r="I5" s="3621" t="s">
        <v>2188</v>
      </c>
      <c r="J5" s="3622"/>
      <c r="K5" s="465"/>
      <c r="L5" s="1741"/>
      <c r="M5" s="1742"/>
      <c r="N5" s="1742"/>
      <c r="O5" s="1742"/>
      <c r="P5" s="3609"/>
      <c r="Q5" s="3610"/>
      <c r="R5" s="3615"/>
      <c r="S5" s="3616"/>
      <c r="T5" s="3615"/>
      <c r="U5" s="3616"/>
      <c r="V5" s="3600"/>
      <c r="W5" s="3600"/>
      <c r="X5" s="1302"/>
      <c r="Y5" s="3615"/>
      <c r="Z5" s="3616"/>
      <c r="AA5" s="3603"/>
      <c r="AB5" s="3603"/>
      <c r="AC5" s="3603"/>
    </row>
    <row r="6" spans="1:29" ht="15.75" thickBot="1">
      <c r="A6" s="468"/>
      <c r="B6" s="469"/>
      <c r="C6" s="3619" t="s">
        <v>2189</v>
      </c>
      <c r="D6" s="3620"/>
      <c r="E6" s="3643" t="s">
        <v>2189</v>
      </c>
      <c r="F6" s="3644"/>
      <c r="G6" s="3619" t="s">
        <v>2189</v>
      </c>
      <c r="H6" s="3620"/>
      <c r="I6" s="3619" t="s">
        <v>2189</v>
      </c>
      <c r="J6" s="3620"/>
      <c r="K6" s="465" t="s">
        <v>477</v>
      </c>
      <c r="L6" s="1741"/>
      <c r="M6" s="1742"/>
      <c r="N6" s="1742"/>
      <c r="O6" s="1742"/>
      <c r="P6" s="3611"/>
      <c r="Q6" s="3612"/>
      <c r="R6" s="3615"/>
      <c r="S6" s="3616"/>
      <c r="T6" s="3617"/>
      <c r="U6" s="3618"/>
      <c r="V6" s="3600"/>
      <c r="W6" s="3600"/>
      <c r="X6" s="1302"/>
      <c r="Y6" s="3617"/>
      <c r="Z6" s="3618"/>
      <c r="AA6" s="3604"/>
      <c r="AB6" s="3604"/>
      <c r="AC6" s="3604"/>
    </row>
    <row r="7" spans="1:29" s="1059" customFormat="1" ht="15.75" thickBot="1">
      <c r="A7" s="2208"/>
      <c r="B7" s="2215" t="s">
        <v>478</v>
      </c>
      <c r="C7" s="470">
        <f>'数据-取费表'!B2</f>
        <v>45617</v>
      </c>
      <c r="D7" s="471">
        <v>100</v>
      </c>
      <c r="E7" s="472"/>
      <c r="F7" s="473">
        <f>SUMIF(52:52,YEAR(E7)&amp;"-"&amp;MONTH(E7),53:53)</f>
        <v>0</v>
      </c>
      <c r="G7" s="472"/>
      <c r="H7" s="471">
        <f>SUMIF(52:52,YEAR(G7)&amp;"-"&amp;MONTH(G7),53:53)</f>
        <v>0</v>
      </c>
      <c r="I7" s="472"/>
      <c r="J7" s="471">
        <f>SUMIF(52:52,YEAR(I7)&amp;"-"&amp;MONTH(I7),53:53)</f>
        <v>0</v>
      </c>
      <c r="K7" s="88"/>
      <c r="L7" s="1743"/>
      <c r="M7" s="1640"/>
      <c r="N7" s="1640"/>
      <c r="O7" s="1640"/>
      <c r="P7" s="3630" t="s">
        <v>479</v>
      </c>
      <c r="Q7" s="3632"/>
      <c r="R7" s="1303" t="s">
        <v>5</v>
      </c>
      <c r="S7" s="1304">
        <f t="shared" ref="S7:S15" si="0">F7</f>
        <v>0</v>
      </c>
      <c r="T7" s="1303" t="s">
        <v>5</v>
      </c>
      <c r="U7" s="1304">
        <f t="shared" ref="U7:U15" si="1">H7</f>
        <v>0</v>
      </c>
      <c r="V7" s="1303" t="s">
        <v>5</v>
      </c>
      <c r="W7" s="1304">
        <f t="shared" ref="W7:W15" si="2">J7</f>
        <v>0</v>
      </c>
      <c r="X7" s="1305"/>
      <c r="Y7" s="3630" t="s">
        <v>479</v>
      </c>
      <c r="Z7" s="3631"/>
      <c r="AA7" s="996" t="e">
        <f>D7/F7</f>
        <v>#DIV/0!</v>
      </c>
      <c r="AB7" s="996" t="e">
        <f>D7/H7</f>
        <v>#DIV/0!</v>
      </c>
      <c r="AC7" s="996" t="e">
        <f>D7/J7</f>
        <v>#DIV/0!</v>
      </c>
    </row>
    <row r="8" spans="1:29" s="1059"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30" t="s">
        <v>482</v>
      </c>
      <c r="Q8" s="3631"/>
      <c r="R8" s="1303" t="s">
        <v>5</v>
      </c>
      <c r="S8" s="1304">
        <f t="shared" si="0"/>
        <v>0</v>
      </c>
      <c r="T8" s="1303" t="s">
        <v>5</v>
      </c>
      <c r="U8" s="1304">
        <f t="shared" si="1"/>
        <v>0</v>
      </c>
      <c r="V8" s="1303" t="s">
        <v>5</v>
      </c>
      <c r="W8" s="1304">
        <f t="shared" si="2"/>
        <v>0</v>
      </c>
      <c r="X8" s="1305"/>
      <c r="Y8" s="3630" t="s">
        <v>482</v>
      </c>
      <c r="Z8" s="3631"/>
      <c r="AA8" s="996" t="e">
        <f t="shared" ref="AA8:AA40" si="3">D8/F8</f>
        <v>#DIV/0!</v>
      </c>
      <c r="AB8" s="996" t="e">
        <f t="shared" ref="AB8:AB40" si="4">D8/H8</f>
        <v>#DIV/0!</v>
      </c>
      <c r="AC8" s="996" t="e">
        <f t="shared" ref="AC8:AC40" si="5">D8/J8</f>
        <v>#DIV/0!</v>
      </c>
    </row>
    <row r="9" spans="1:29" s="1059" customFormat="1" ht="15">
      <c r="A9" s="2210"/>
      <c r="B9" s="2217" t="s">
        <v>2036</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9" t="s">
        <v>484</v>
      </c>
      <c r="Q9" s="817" t="str">
        <f t="shared" ref="Q9:Q15" si="6">B9</f>
        <v>用途</v>
      </c>
      <c r="R9" s="1303" t="s">
        <v>5</v>
      </c>
      <c r="S9" s="1304">
        <f t="shared" si="0"/>
        <v>100</v>
      </c>
      <c r="T9" s="1303" t="s">
        <v>5</v>
      </c>
      <c r="U9" s="1304">
        <f t="shared" si="1"/>
        <v>100</v>
      </c>
      <c r="V9" s="1303" t="s">
        <v>5</v>
      </c>
      <c r="W9" s="1304">
        <f t="shared" si="2"/>
        <v>100</v>
      </c>
      <c r="X9" s="1305"/>
      <c r="Y9" s="3547"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599"/>
      <c r="Q10" s="817" t="str">
        <f t="shared" si="6"/>
        <v>土地使用年限（年）</v>
      </c>
      <c r="R10" s="1303" t="s">
        <v>5</v>
      </c>
      <c r="S10" s="1304">
        <f t="shared" si="0"/>
        <v>100</v>
      </c>
      <c r="T10" s="1303" t="s">
        <v>5</v>
      </c>
      <c r="U10" s="1304">
        <f t="shared" si="1"/>
        <v>100</v>
      </c>
      <c r="V10" s="1303" t="s">
        <v>5</v>
      </c>
      <c r="W10" s="1304">
        <f t="shared" si="2"/>
        <v>100</v>
      </c>
      <c r="X10" s="1305"/>
      <c r="Y10" s="3547"/>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9"/>
      <c r="Q11" s="817" t="str">
        <f t="shared" si="6"/>
        <v>容积率</v>
      </c>
      <c r="R11" s="1303" t="s">
        <v>5</v>
      </c>
      <c r="S11" s="1304" t="e">
        <f t="shared" si="0"/>
        <v>#N/A</v>
      </c>
      <c r="T11" s="1303" t="s">
        <v>5</v>
      </c>
      <c r="U11" s="1304" t="e">
        <f t="shared" si="1"/>
        <v>#N/A</v>
      </c>
      <c r="V11" s="1303" t="s">
        <v>5</v>
      </c>
      <c r="W11" s="1304" t="e">
        <f t="shared" si="2"/>
        <v>#N/A</v>
      </c>
      <c r="X11" s="1305"/>
      <c r="Y11" s="3547"/>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599"/>
      <c r="Q12" s="817">
        <f t="shared" si="6"/>
        <v>111</v>
      </c>
      <c r="R12" s="1303" t="s">
        <v>5</v>
      </c>
      <c r="S12" s="1304">
        <f t="shared" si="0"/>
        <v>100</v>
      </c>
      <c r="T12" s="1303" t="s">
        <v>5</v>
      </c>
      <c r="U12" s="1304">
        <f t="shared" si="1"/>
        <v>100</v>
      </c>
      <c r="V12" s="1303" t="s">
        <v>5</v>
      </c>
      <c r="W12" s="1304">
        <f t="shared" si="2"/>
        <v>100</v>
      </c>
      <c r="X12" s="1305"/>
      <c r="Y12" s="3547"/>
      <c r="Z12" s="996">
        <f t="shared" si="7"/>
        <v>111</v>
      </c>
      <c r="AA12" s="996">
        <f>D12/F12</f>
        <v>1</v>
      </c>
      <c r="AB12" s="996">
        <f>D12/H12</f>
        <v>1</v>
      </c>
      <c r="AC12" s="996">
        <f>D12/J12</f>
        <v>1</v>
      </c>
    </row>
    <row r="13" spans="1:29" ht="15">
      <c r="A13" s="2213"/>
      <c r="B13" s="2219">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599"/>
      <c r="Q13" s="817">
        <f t="shared" si="6"/>
        <v>111</v>
      </c>
      <c r="R13" s="1303" t="s">
        <v>5</v>
      </c>
      <c r="S13" s="1304">
        <f t="shared" si="0"/>
        <v>100</v>
      </c>
      <c r="T13" s="1303" t="s">
        <v>5</v>
      </c>
      <c r="U13" s="1304">
        <f t="shared" si="1"/>
        <v>100</v>
      </c>
      <c r="V13" s="1303" t="s">
        <v>5</v>
      </c>
      <c r="W13" s="1304">
        <f t="shared" si="2"/>
        <v>100</v>
      </c>
      <c r="X13" s="1305"/>
      <c r="Y13" s="3547"/>
      <c r="Z13" s="996">
        <f t="shared" si="7"/>
        <v>111</v>
      </c>
      <c r="AA13" s="996">
        <f t="shared" si="3"/>
        <v>1</v>
      </c>
      <c r="AB13" s="996">
        <f t="shared" si="4"/>
        <v>1</v>
      </c>
      <c r="AC13" s="996">
        <f t="shared" si="5"/>
        <v>1</v>
      </c>
    </row>
    <row r="14" spans="1:29" ht="15.75" thickBot="1">
      <c r="A14" s="2214"/>
      <c r="B14" s="2220">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599"/>
      <c r="Q14" s="817">
        <f t="shared" si="6"/>
        <v>111</v>
      </c>
      <c r="R14" s="1303" t="s">
        <v>5</v>
      </c>
      <c r="S14" s="1304">
        <f t="shared" si="0"/>
        <v>100</v>
      </c>
      <c r="T14" s="1303" t="s">
        <v>5</v>
      </c>
      <c r="U14" s="1304">
        <f t="shared" si="1"/>
        <v>100</v>
      </c>
      <c r="V14" s="1303" t="s">
        <v>5</v>
      </c>
      <c r="W14" s="1304">
        <f t="shared" si="2"/>
        <v>100</v>
      </c>
      <c r="X14" s="1305"/>
      <c r="Y14" s="3547"/>
      <c r="Z14" s="996">
        <f t="shared" si="7"/>
        <v>111</v>
      </c>
      <c r="AA14" s="996">
        <f t="shared" si="3"/>
        <v>1</v>
      </c>
      <c r="AB14" s="996">
        <f t="shared" si="4"/>
        <v>1</v>
      </c>
      <c r="AC14" s="996">
        <f t="shared" si="5"/>
        <v>1</v>
      </c>
    </row>
    <row r="15" spans="1:29" ht="57">
      <c r="A15" s="2206" t="s">
        <v>2034</v>
      </c>
      <c r="B15" s="150" t="s">
        <v>729</v>
      </c>
      <c r="C15" s="842"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33" t="s">
        <v>489</v>
      </c>
      <c r="Q15" s="1306" t="str">
        <f t="shared" si="6"/>
        <v>产业集聚程度</v>
      </c>
      <c r="R15" s="1307" t="s">
        <v>5</v>
      </c>
      <c r="S15" s="1308">
        <f t="shared" si="0"/>
        <v>100</v>
      </c>
      <c r="T15" s="1307" t="s">
        <v>5</v>
      </c>
      <c r="U15" s="1308">
        <f t="shared" si="1"/>
        <v>100</v>
      </c>
      <c r="V15" s="1307" t="s">
        <v>5</v>
      </c>
      <c r="W15" s="1308">
        <f t="shared" si="2"/>
        <v>100</v>
      </c>
      <c r="X15" s="1302"/>
      <c r="Y15" s="3633"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34"/>
      <c r="Q16" s="1306"/>
      <c r="R16" s="1307"/>
      <c r="S16" s="1308"/>
      <c r="T16" s="1307"/>
      <c r="U16" s="1308"/>
      <c r="V16" s="1307"/>
      <c r="W16" s="1308"/>
      <c r="X16" s="1302"/>
      <c r="Y16" s="3634"/>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34"/>
      <c r="Q17" s="1306" t="str">
        <f>B17</f>
        <v>交通便捷度</v>
      </c>
      <c r="R17" s="1307" t="s">
        <v>5</v>
      </c>
      <c r="S17" s="1308">
        <f>F17</f>
        <v>100</v>
      </c>
      <c r="T17" s="1307" t="s">
        <v>5</v>
      </c>
      <c r="U17" s="1308">
        <f>H17</f>
        <v>100</v>
      </c>
      <c r="V17" s="1307" t="s">
        <v>5</v>
      </c>
      <c r="W17" s="1308">
        <f>J17</f>
        <v>100</v>
      </c>
      <c r="X17" s="1302"/>
      <c r="Y17" s="3634"/>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34"/>
      <c r="Q18" s="1306"/>
      <c r="R18" s="1307"/>
      <c r="S18" s="1308"/>
      <c r="T18" s="1307"/>
      <c r="U18" s="1308"/>
      <c r="V18" s="1307"/>
      <c r="W18" s="1308"/>
      <c r="X18" s="1302"/>
      <c r="Y18" s="3634"/>
      <c r="Z18" s="1309"/>
      <c r="AA18" s="1309">
        <v>1</v>
      </c>
      <c r="AB18" s="1309">
        <v>1</v>
      </c>
      <c r="AC18" s="1309">
        <v>1</v>
      </c>
    </row>
    <row r="19" spans="1:29" ht="42.75">
      <c r="A19" s="482"/>
      <c r="B19" s="2062" t="s">
        <v>1827</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34"/>
      <c r="Q19" s="1306" t="str">
        <f>B19</f>
        <v>公共配套设施</v>
      </c>
      <c r="R19" s="1307" t="s">
        <v>5</v>
      </c>
      <c r="S19" s="1308">
        <f>F19</f>
        <v>100</v>
      </c>
      <c r="T19" s="1307" t="s">
        <v>5</v>
      </c>
      <c r="U19" s="1308">
        <f>H19</f>
        <v>100</v>
      </c>
      <c r="V19" s="1307" t="s">
        <v>5</v>
      </c>
      <c r="W19" s="1308">
        <f>J19</f>
        <v>100</v>
      </c>
      <c r="X19" s="1302"/>
      <c r="Y19" s="3634"/>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34"/>
      <c r="Q20" s="1306"/>
      <c r="R20" s="1307"/>
      <c r="S20" s="1308"/>
      <c r="T20" s="1307"/>
      <c r="U20" s="1308"/>
      <c r="V20" s="1307"/>
      <c r="W20" s="1308"/>
      <c r="X20" s="1302"/>
      <c r="Y20" s="3634"/>
      <c r="Z20" s="1309"/>
      <c r="AA20" s="1309">
        <v>1</v>
      </c>
      <c r="AB20" s="1309">
        <v>1</v>
      </c>
      <c r="AC20" s="1309">
        <v>1</v>
      </c>
    </row>
    <row r="21" spans="1:29" ht="28.5">
      <c r="A21" s="482"/>
      <c r="B21" s="2050" t="s">
        <v>1839</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34"/>
      <c r="Q21" s="1306" t="str">
        <f>B21</f>
        <v>基础设施水平</v>
      </c>
      <c r="R21" s="1307" t="s">
        <v>5</v>
      </c>
      <c r="S21" s="1308">
        <f>F21</f>
        <v>100</v>
      </c>
      <c r="T21" s="1307" t="s">
        <v>5</v>
      </c>
      <c r="U21" s="1308">
        <f>H21</f>
        <v>100</v>
      </c>
      <c r="V21" s="1307" t="s">
        <v>5</v>
      </c>
      <c r="W21" s="1308">
        <f>J21</f>
        <v>100</v>
      </c>
      <c r="X21" s="1302"/>
      <c r="Y21" s="3634"/>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34"/>
      <c r="Q22" s="1306"/>
      <c r="R22" s="1307"/>
      <c r="S22" s="1308"/>
      <c r="T22" s="1307"/>
      <c r="U22" s="1308"/>
      <c r="V22" s="1307"/>
      <c r="W22" s="1308"/>
      <c r="X22" s="1302"/>
      <c r="Y22" s="3634"/>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34"/>
      <c r="Q23" s="1306" t="str">
        <f>B23</f>
        <v>环境质量</v>
      </c>
      <c r="R23" s="1307" t="s">
        <v>5</v>
      </c>
      <c r="S23" s="1308">
        <f>F23</f>
        <v>100</v>
      </c>
      <c r="T23" s="1307" t="s">
        <v>5</v>
      </c>
      <c r="U23" s="1308">
        <f>H23</f>
        <v>100</v>
      </c>
      <c r="V23" s="1307" t="s">
        <v>5</v>
      </c>
      <c r="W23" s="1308">
        <f>J23</f>
        <v>100</v>
      </c>
      <c r="X23" s="1302"/>
      <c r="Y23" s="3634"/>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34"/>
      <c r="Q24" s="1306"/>
      <c r="R24" s="1307"/>
      <c r="S24" s="1308"/>
      <c r="T24" s="1307"/>
      <c r="U24" s="1308"/>
      <c r="V24" s="1307"/>
      <c r="W24" s="1308"/>
      <c r="X24" s="1302"/>
      <c r="Y24" s="3634"/>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34"/>
      <c r="Q25" s="1306">
        <f>B25</f>
        <v>111</v>
      </c>
      <c r="R25" s="1307" t="s">
        <v>5</v>
      </c>
      <c r="S25" s="1308">
        <f>F25</f>
        <v>100</v>
      </c>
      <c r="T25" s="1307" t="s">
        <v>5</v>
      </c>
      <c r="U25" s="1308">
        <f>H25</f>
        <v>100</v>
      </c>
      <c r="V25" s="1307" t="s">
        <v>5</v>
      </c>
      <c r="W25" s="1308">
        <f>J25</f>
        <v>100</v>
      </c>
      <c r="X25" s="1302"/>
      <c r="Y25" s="3634"/>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34"/>
      <c r="Q26" s="1306">
        <f t="shared" ref="Q26:Q40" si="8">B26</f>
        <v>111</v>
      </c>
      <c r="R26" s="1307" t="s">
        <v>5</v>
      </c>
      <c r="S26" s="1308">
        <f>F26</f>
        <v>100</v>
      </c>
      <c r="T26" s="1307" t="s">
        <v>5</v>
      </c>
      <c r="U26" s="1308">
        <f>H26</f>
        <v>100</v>
      </c>
      <c r="V26" s="1307" t="s">
        <v>5</v>
      </c>
      <c r="W26" s="1308">
        <f>J26</f>
        <v>100</v>
      </c>
      <c r="X26" s="1302"/>
      <c r="Y26" s="3634"/>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34"/>
      <c r="Q27" s="817">
        <f t="shared" si="8"/>
        <v>111</v>
      </c>
      <c r="R27" s="1303" t="s">
        <v>5</v>
      </c>
      <c r="S27" s="1304">
        <f>F27</f>
        <v>100</v>
      </c>
      <c r="T27" s="1303" t="s">
        <v>5</v>
      </c>
      <c r="U27" s="1304">
        <f>H27</f>
        <v>100</v>
      </c>
      <c r="V27" s="1303" t="s">
        <v>5</v>
      </c>
      <c r="W27" s="1304">
        <f>J27</f>
        <v>100</v>
      </c>
      <c r="X27" s="1305"/>
      <c r="Y27" s="3634"/>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34"/>
      <c r="Q28" s="1306">
        <f t="shared" si="8"/>
        <v>111</v>
      </c>
      <c r="R28" s="1307" t="s">
        <v>5</v>
      </c>
      <c r="S28" s="1308">
        <f t="shared" ref="S28:S40" si="9">F28</f>
        <v>100</v>
      </c>
      <c r="T28" s="1307" t="s">
        <v>5</v>
      </c>
      <c r="U28" s="1308">
        <f t="shared" ref="U28:U40" si="10">H28</f>
        <v>100</v>
      </c>
      <c r="V28" s="1307" t="s">
        <v>5</v>
      </c>
      <c r="W28" s="1308">
        <f t="shared" ref="W28:W40" si="11">J28</f>
        <v>100</v>
      </c>
      <c r="X28" s="1302"/>
      <c r="Y28" s="3634"/>
      <c r="Z28" s="1309">
        <f t="shared" ref="Z28:Z40" si="12">Q28</f>
        <v>111</v>
      </c>
      <c r="AA28" s="1309">
        <f t="shared" si="3"/>
        <v>1</v>
      </c>
      <c r="AB28" s="1309">
        <f t="shared" si="4"/>
        <v>1</v>
      </c>
      <c r="AC28" s="1309">
        <f t="shared" si="5"/>
        <v>1</v>
      </c>
    </row>
    <row r="29" spans="1:29" ht="15">
      <c r="A29" s="2204" t="s">
        <v>2035</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35" t="s">
        <v>499</v>
      </c>
      <c r="Q29" s="1306" t="str">
        <f t="shared" si="8"/>
        <v>建筑类型</v>
      </c>
      <c r="R29" s="1307" t="s">
        <v>5</v>
      </c>
      <c r="S29" s="1308">
        <f t="shared" si="9"/>
        <v>100</v>
      </c>
      <c r="T29" s="1307" t="s">
        <v>5</v>
      </c>
      <c r="U29" s="1308">
        <f t="shared" si="10"/>
        <v>100</v>
      </c>
      <c r="V29" s="1307" t="s">
        <v>5</v>
      </c>
      <c r="W29" s="1308">
        <f t="shared" si="11"/>
        <v>100</v>
      </c>
      <c r="X29" s="1302"/>
      <c r="Y29" s="3636"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36"/>
      <c r="Q30" s="818" t="str">
        <f t="shared" si="8"/>
        <v>项目建筑规模</v>
      </c>
      <c r="R30" s="1310" t="s">
        <v>5</v>
      </c>
      <c r="S30" s="1311" t="e">
        <f t="shared" si="9"/>
        <v>#N/A</v>
      </c>
      <c r="T30" s="1310" t="s">
        <v>5</v>
      </c>
      <c r="U30" s="1311" t="e">
        <f t="shared" si="10"/>
        <v>#N/A</v>
      </c>
      <c r="V30" s="1310" t="s">
        <v>5</v>
      </c>
      <c r="W30" s="1311" t="e">
        <f t="shared" si="11"/>
        <v>#N/A</v>
      </c>
      <c r="X30" s="1312"/>
      <c r="Y30" s="3636"/>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36"/>
      <c r="Q31" s="1306" t="str">
        <f t="shared" si="8"/>
        <v>建筑结构</v>
      </c>
      <c r="R31" s="1307" t="s">
        <v>5</v>
      </c>
      <c r="S31" s="1308">
        <f t="shared" si="9"/>
        <v>100</v>
      </c>
      <c r="T31" s="1307" t="s">
        <v>5</v>
      </c>
      <c r="U31" s="1308">
        <f t="shared" si="10"/>
        <v>100</v>
      </c>
      <c r="V31" s="1307" t="s">
        <v>5</v>
      </c>
      <c r="W31" s="1308">
        <f t="shared" si="11"/>
        <v>100</v>
      </c>
      <c r="X31" s="1302"/>
      <c r="Y31" s="3636"/>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36"/>
      <c r="Q32" s="1306" t="str">
        <f t="shared" si="8"/>
        <v>公共部分装修</v>
      </c>
      <c r="R32" s="1307" t="s">
        <v>5</v>
      </c>
      <c r="S32" s="1308">
        <f t="shared" si="9"/>
        <v>100</v>
      </c>
      <c r="T32" s="1307" t="s">
        <v>5</v>
      </c>
      <c r="U32" s="1308">
        <f t="shared" si="10"/>
        <v>100</v>
      </c>
      <c r="V32" s="1307" t="s">
        <v>5</v>
      </c>
      <c r="W32" s="1308">
        <f t="shared" si="11"/>
        <v>100</v>
      </c>
      <c r="X32" s="1302"/>
      <c r="Y32" s="3636"/>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36"/>
      <c r="Q33" s="1306" t="str">
        <f t="shared" si="8"/>
        <v>成新度</v>
      </c>
      <c r="R33" s="1307" t="s">
        <v>5</v>
      </c>
      <c r="S33" s="1308" t="e">
        <f t="shared" si="9"/>
        <v>#N/A</v>
      </c>
      <c r="T33" s="1307" t="s">
        <v>5</v>
      </c>
      <c r="U33" s="1308" t="e">
        <f t="shared" si="10"/>
        <v>#N/A</v>
      </c>
      <c r="V33" s="1307" t="s">
        <v>5</v>
      </c>
      <c r="W33" s="1308" t="e">
        <f t="shared" si="11"/>
        <v>#N/A</v>
      </c>
      <c r="X33" s="1302"/>
      <c r="Y33" s="3636"/>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36"/>
      <c r="Q34" s="817" t="str">
        <f t="shared" si="8"/>
        <v>物业管理</v>
      </c>
      <c r="R34" s="1303" t="s">
        <v>5</v>
      </c>
      <c r="S34" s="1304">
        <f t="shared" si="9"/>
        <v>100</v>
      </c>
      <c r="T34" s="1303" t="s">
        <v>5</v>
      </c>
      <c r="U34" s="1304">
        <f t="shared" si="10"/>
        <v>100</v>
      </c>
      <c r="V34" s="1303" t="s">
        <v>5</v>
      </c>
      <c r="W34" s="1304">
        <f t="shared" si="11"/>
        <v>100</v>
      </c>
      <c r="X34" s="1305"/>
      <c r="Y34" s="3636"/>
      <c r="Z34" s="996" t="str">
        <f t="shared" si="12"/>
        <v>物业管理</v>
      </c>
      <c r="AA34" s="996">
        <f t="shared" si="3"/>
        <v>1</v>
      </c>
      <c r="AB34" s="996">
        <f t="shared" si="4"/>
        <v>1</v>
      </c>
      <c r="AC34" s="996">
        <f t="shared" si="5"/>
        <v>1</v>
      </c>
    </row>
    <row r="35" spans="1:29" ht="15">
      <c r="A35" s="543"/>
      <c r="B35" s="1554"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36" t="s">
        <v>499</v>
      </c>
      <c r="Q35" s="1306" t="str">
        <f t="shared" si="8"/>
        <v>市政基础设施</v>
      </c>
      <c r="R35" s="1307" t="s">
        <v>5</v>
      </c>
      <c r="S35" s="1308">
        <f t="shared" si="9"/>
        <v>100</v>
      </c>
      <c r="T35" s="1307" t="s">
        <v>5</v>
      </c>
      <c r="U35" s="1308">
        <f t="shared" si="10"/>
        <v>100</v>
      </c>
      <c r="V35" s="1307" t="s">
        <v>5</v>
      </c>
      <c r="W35" s="1308">
        <f t="shared" si="11"/>
        <v>100</v>
      </c>
      <c r="X35" s="1302"/>
      <c r="Y35" s="3636"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36"/>
      <c r="Q36" s="1306" t="str">
        <f t="shared" si="8"/>
        <v>内部装修</v>
      </c>
      <c r="R36" s="1307" t="s">
        <v>5</v>
      </c>
      <c r="S36" s="1308">
        <f t="shared" si="9"/>
        <v>100</v>
      </c>
      <c r="T36" s="1307" t="s">
        <v>5</v>
      </c>
      <c r="U36" s="1308">
        <f t="shared" si="10"/>
        <v>100</v>
      </c>
      <c r="V36" s="1307" t="s">
        <v>5</v>
      </c>
      <c r="W36" s="1308">
        <f t="shared" si="11"/>
        <v>100</v>
      </c>
      <c r="X36" s="1302"/>
      <c r="Y36" s="3636"/>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36"/>
      <c r="Q37" s="1306" t="str">
        <f t="shared" si="8"/>
        <v>内部装修状况</v>
      </c>
      <c r="R37" s="1307" t="s">
        <v>5</v>
      </c>
      <c r="S37" s="1308">
        <f t="shared" si="9"/>
        <v>100</v>
      </c>
      <c r="T37" s="1307" t="s">
        <v>5</v>
      </c>
      <c r="U37" s="1308">
        <f t="shared" si="10"/>
        <v>100</v>
      </c>
      <c r="V37" s="1307" t="s">
        <v>5</v>
      </c>
      <c r="W37" s="1308">
        <f t="shared" si="11"/>
        <v>100</v>
      </c>
      <c r="X37" s="1302"/>
      <c r="Y37" s="3636"/>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36"/>
      <c r="Q38" s="818">
        <f t="shared" si="8"/>
        <v>111</v>
      </c>
      <c r="R38" s="1310" t="s">
        <v>5</v>
      </c>
      <c r="S38" s="1311">
        <f t="shared" si="9"/>
        <v>100</v>
      </c>
      <c r="T38" s="1310" t="s">
        <v>5</v>
      </c>
      <c r="U38" s="1311">
        <f t="shared" si="10"/>
        <v>100</v>
      </c>
      <c r="V38" s="1310" t="s">
        <v>5</v>
      </c>
      <c r="W38" s="1311">
        <f t="shared" si="11"/>
        <v>100</v>
      </c>
      <c r="X38" s="1312"/>
      <c r="Y38" s="3636"/>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36"/>
      <c r="Q39" s="1306">
        <f t="shared" si="8"/>
        <v>111</v>
      </c>
      <c r="R39" s="1307" t="s">
        <v>5</v>
      </c>
      <c r="S39" s="1308">
        <f t="shared" si="9"/>
        <v>100</v>
      </c>
      <c r="T39" s="1307" t="s">
        <v>5</v>
      </c>
      <c r="U39" s="1308">
        <f t="shared" si="10"/>
        <v>100</v>
      </c>
      <c r="V39" s="1307" t="s">
        <v>5</v>
      </c>
      <c r="W39" s="1308">
        <f t="shared" si="11"/>
        <v>100</v>
      </c>
      <c r="X39" s="1302"/>
      <c r="Y39" s="3636"/>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655"/>
      <c r="Q40" s="1306">
        <f t="shared" si="8"/>
        <v>111</v>
      </c>
      <c r="R40" s="1307" t="s">
        <v>5</v>
      </c>
      <c r="S40" s="1308">
        <f t="shared" si="9"/>
        <v>100</v>
      </c>
      <c r="T40" s="1307" t="s">
        <v>5</v>
      </c>
      <c r="U40" s="1308">
        <f t="shared" si="10"/>
        <v>100</v>
      </c>
      <c r="V40" s="1307" t="s">
        <v>5</v>
      </c>
      <c r="W40" s="1308">
        <f t="shared" si="11"/>
        <v>100</v>
      </c>
      <c r="X40" s="1302"/>
      <c r="Y40" s="3655"/>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599" t="str">
        <f>A41</f>
        <v>成交单价（元/平方米）</v>
      </c>
      <c r="Q41" s="3599"/>
      <c r="R41" s="3600">
        <f>E41</f>
        <v>0</v>
      </c>
      <c r="S41" s="3600"/>
      <c r="T41" s="3600">
        <f>G41</f>
        <v>0</v>
      </c>
      <c r="U41" s="3600"/>
      <c r="V41" s="3600">
        <f>I41</f>
        <v>0</v>
      </c>
      <c r="W41" s="3600"/>
      <c r="X41" s="799"/>
      <c r="Y41" s="1314"/>
      <c r="Z41" s="799"/>
      <c r="AA41" s="799"/>
      <c r="AB41" s="799"/>
      <c r="AC41" s="799"/>
    </row>
    <row r="42" spans="1:29" ht="15.75" thickBot="1">
      <c r="A42" s="564" t="s">
        <v>2040</v>
      </c>
      <c r="B42" s="812"/>
      <c r="C42" s="2082" t="e">
        <f>R43</f>
        <v>#DIV/0!</v>
      </c>
      <c r="D42" s="2549" t="s">
        <v>2254</v>
      </c>
      <c r="E42" s="2083" t="e">
        <f>R42</f>
        <v>#DIV/0!</v>
      </c>
      <c r="F42" s="2550"/>
      <c r="G42" s="2082" t="e">
        <f>T42</f>
        <v>#DIV/0!</v>
      </c>
      <c r="H42" s="2550"/>
      <c r="I42" s="2083" t="e">
        <f>V42</f>
        <v>#DIV/0!</v>
      </c>
      <c r="J42" s="2550"/>
      <c r="K42" s="2557">
        <f>F42+H42+J42</f>
        <v>0</v>
      </c>
      <c r="L42" s="1751"/>
      <c r="M42" s="1742"/>
      <c r="N42" s="1742"/>
      <c r="O42" s="1742"/>
      <c r="P42" s="3599" t="str">
        <f>A42</f>
        <v>比较价格（元/平方米）</v>
      </c>
      <c r="Q42" s="3599"/>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799"/>
      <c r="Y42" s="799"/>
      <c r="Z42" s="799"/>
      <c r="AA42" s="799"/>
      <c r="AB42" s="799"/>
      <c r="AC42" s="799"/>
    </row>
    <row r="43" spans="1:29" ht="15.75" thickBot="1">
      <c r="A43" s="568" t="s">
        <v>2191</v>
      </c>
      <c r="B43" s="569"/>
      <c r="C43" s="469" t="e">
        <f>R43</f>
        <v>#DIV/0!</v>
      </c>
      <c r="D43" s="469"/>
      <c r="E43" s="469"/>
      <c r="F43" s="469"/>
      <c r="G43" s="469"/>
      <c r="H43" s="469"/>
      <c r="I43" s="469"/>
      <c r="J43" s="469"/>
      <c r="K43" s="1336"/>
      <c r="L43" s="1751"/>
      <c r="M43" s="1742"/>
      <c r="N43" s="1742"/>
      <c r="O43" s="1742"/>
      <c r="P43" s="3637" t="str">
        <f>A43</f>
        <v>估价对象XX用房的比较价格（楼面单价，元/平方米）</v>
      </c>
      <c r="Q43" s="3638"/>
      <c r="R43" s="3654" t="e">
        <f>IF(F1="售价",ROUND(IF(D42="简单平均",AVERAGE(R42:V42),R42*F42+T42*H42+V42*J42),0),ROUND(IF(D42="简单平均",AVERAGE(R42:V42),R42*F42+T42*H42+V42*J42),1))</f>
        <v>#DIV/0!</v>
      </c>
      <c r="S43" s="3654"/>
      <c r="T43" s="3654"/>
      <c r="U43" s="3654"/>
      <c r="V43" s="3654"/>
      <c r="W43" s="3654"/>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2024-11</v>
      </c>
      <c r="D52" s="2115">
        <f>EDATE(C52,-1)</f>
        <v>45566</v>
      </c>
      <c r="E52" s="2115">
        <f t="shared" ref="E52:O52" si="13">EDATE(D52,-1)</f>
        <v>45536</v>
      </c>
      <c r="F52" s="2115">
        <f t="shared" si="13"/>
        <v>45505</v>
      </c>
      <c r="G52" s="2115">
        <f t="shared" si="13"/>
        <v>45474</v>
      </c>
      <c r="H52" s="2115">
        <f t="shared" si="13"/>
        <v>45444</v>
      </c>
      <c r="I52" s="2115">
        <f t="shared" si="13"/>
        <v>45413</v>
      </c>
      <c r="J52" s="2115">
        <f t="shared" si="13"/>
        <v>45383</v>
      </c>
      <c r="K52" s="2115">
        <f t="shared" si="13"/>
        <v>45352</v>
      </c>
      <c r="L52" s="2115">
        <f t="shared" si="13"/>
        <v>45323</v>
      </c>
      <c r="M52" s="2115">
        <f t="shared" si="13"/>
        <v>45292</v>
      </c>
      <c r="N52" s="2115">
        <f t="shared" si="13"/>
        <v>45261</v>
      </c>
      <c r="O52" s="2115">
        <f t="shared" si="13"/>
        <v>45231</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1838</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1839</v>
      </c>
      <c r="C76" s="2057" t="s">
        <v>1840</v>
      </c>
      <c r="D76" s="2057" t="s">
        <v>1841</v>
      </c>
      <c r="E76" s="2057" t="s">
        <v>1842</v>
      </c>
      <c r="F76" s="2057" t="s">
        <v>1843</v>
      </c>
      <c r="G76" s="2057" t="s">
        <v>1844</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1837</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36" priority="16" stopIfTrue="1">
      <formula>$F$46="超过30%"</formula>
    </cfRule>
  </conditionalFormatting>
  <conditionalFormatting sqref="E47">
    <cfRule type="expression" dxfId="35" priority="15" stopIfTrue="1">
      <formula>$F$47="超过20%"</formula>
    </cfRule>
  </conditionalFormatting>
  <conditionalFormatting sqref="E48">
    <cfRule type="expression" dxfId="34" priority="14"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cfRule type="containsText" dxfId="31" priority="17" stopIfTrue="1" operator="containsText" text="超过">
      <formula>NOT(ISERROR(SEARCH("超过",F46)))</formula>
    </cfRule>
  </conditionalFormatting>
  <conditionalFormatting sqref="G46">
    <cfRule type="expression" dxfId="30" priority="12" stopIfTrue="1">
      <formula>$H$46="超过30%"</formula>
    </cfRule>
  </conditionalFormatting>
  <conditionalFormatting sqref="G47">
    <cfRule type="expression" dxfId="29" priority="11" stopIfTrue="1">
      <formula>$H$47="超过20%"</formula>
    </cfRule>
  </conditionalFormatting>
  <conditionalFormatting sqref="G48">
    <cfRule type="expression" dxfId="28" priority="13"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conditionalFormatting sqref="J46:J48">
    <cfRule type="containsText" dxfId="22" priority="8" stopIfTrue="1" operator="containsText" text="超过">
      <formula>NOT(ISERROR(SEARCH("超过",J46)))</formula>
    </cfRule>
  </conditionalFormatting>
  <dataValidations count="17">
    <dataValidation type="list" allowBlank="1" showInputMessage="1" showErrorMessage="1" sqref="D1" xr:uid="{00000000-0002-0000-2C00-000000000000}">
      <formula1>项目类型</formula1>
    </dataValidation>
    <dataValidation type="list" allowBlank="1" showInputMessage="1" showErrorMessage="1" sqref="C20 G20 I20 E20" xr:uid="{00000000-0002-0000-2C00-000001000000}">
      <formula1>公共配套设施</formula1>
    </dataValidation>
    <dataValidation type="list" allowBlank="1" showInputMessage="1" showErrorMessage="1" sqref="E18 G18 I18 C18" xr:uid="{00000000-0002-0000-2C00-000002000000}">
      <formula1>交通便捷度</formula1>
    </dataValidation>
    <dataValidation type="list" allowBlank="1" showInputMessage="1" showErrorMessage="1" sqref="E24 G24 I24 C24" xr:uid="{00000000-0002-0000-2C00-000003000000}">
      <formula1>环境</formula1>
    </dataValidation>
    <dataValidation type="list" allowBlank="1" showInputMessage="1" showErrorMessage="1" sqref="C8 E8 G8 I8" xr:uid="{00000000-0002-0000-2C00-000004000000}">
      <formula1>工业交易情况</formula1>
    </dataValidation>
    <dataValidation type="list" allowBlank="1" showInputMessage="1" showErrorMessage="1" sqref="E9 G9 I9" xr:uid="{00000000-0002-0000-2C00-000005000000}">
      <formula1>工业用途</formula1>
    </dataValidation>
    <dataValidation type="list" allowBlank="1" showInputMessage="1" showErrorMessage="1" sqref="C29 E29 G29 I29" xr:uid="{00000000-0002-0000-2C00-000006000000}">
      <formula1>工业建筑类型</formula1>
    </dataValidation>
    <dataValidation type="list" allowBlank="1" showInputMessage="1" showErrorMessage="1" sqref="C31 E31 G31 I31" xr:uid="{00000000-0002-0000-2C00-000007000000}">
      <formula1>工业建筑结构</formula1>
    </dataValidation>
    <dataValidation type="list" allowBlank="1" showInputMessage="1" showErrorMessage="1" sqref="C32 E32 G32 I32" xr:uid="{00000000-0002-0000-2C00-000008000000}">
      <formula1>工业公共部分装修</formula1>
    </dataValidation>
    <dataValidation type="list" allowBlank="1" showInputMessage="1" showErrorMessage="1" sqref="C34 E34 G34 I34" xr:uid="{00000000-0002-0000-2C00-000009000000}">
      <formula1>工业物业管理</formula1>
    </dataValidation>
    <dataValidation type="list" allowBlank="1" showInputMessage="1" showErrorMessage="1" sqref="C35 E35 G35 I35" xr:uid="{00000000-0002-0000-2C00-00000A000000}">
      <formula1>工业基础设施水平</formula1>
    </dataValidation>
    <dataValidation type="list" allowBlank="1" showInputMessage="1" showErrorMessage="1" sqref="C36 E36 G36 I36" xr:uid="{00000000-0002-0000-2C00-00000B000000}">
      <formula1>工业内部装修</formula1>
    </dataValidation>
    <dataValidation type="list" allowBlank="1" showInputMessage="1" showErrorMessage="1" sqref="C37 E37 G37 I37" xr:uid="{00000000-0002-0000-2C00-00000C000000}">
      <formula1>内部装修维护情况</formula1>
    </dataValidation>
    <dataValidation type="list" allowBlank="1" showInputMessage="1" showErrorMessage="1" sqref="C16 E16 G16 I16" xr:uid="{00000000-0002-0000-2C00-00000D000000}">
      <formula1>产业集聚程度</formula1>
    </dataValidation>
    <dataValidation type="list" allowBlank="1" showInputMessage="1" showErrorMessage="1" sqref="C22 E22 G22 I22" xr:uid="{00000000-0002-0000-2C00-00000E000000}">
      <formula1>基础设施水平</formula1>
    </dataValidation>
    <dataValidation type="list" allowBlank="1" showInputMessage="1" showErrorMessage="1" sqref="F1" xr:uid="{00000000-0002-0000-2C00-00000F000000}">
      <formula1>"售价,租金"</formula1>
    </dataValidation>
    <dataValidation type="list" allowBlank="1" showInputMessage="1" showErrorMessage="1" sqref="D42" xr:uid="{00000000-0002-0000-2C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05" t="s">
        <v>738</v>
      </c>
      <c r="D4" s="3606"/>
      <c r="E4" s="3645" t="s">
        <v>739</v>
      </c>
      <c r="F4" s="3646"/>
      <c r="G4" s="3605" t="s">
        <v>740</v>
      </c>
      <c r="H4" s="3606"/>
      <c r="I4" s="3605" t="s">
        <v>741</v>
      </c>
      <c r="J4" s="3606"/>
      <c r="K4" s="465" t="s">
        <v>742</v>
      </c>
      <c r="L4" s="1741"/>
      <c r="M4" s="1742"/>
      <c r="N4" s="1742"/>
      <c r="O4" s="1742"/>
      <c r="P4" s="3607" t="s">
        <v>743</v>
      </c>
      <c r="Q4" s="3608"/>
      <c r="R4" s="3613" t="s">
        <v>739</v>
      </c>
      <c r="S4" s="3614"/>
      <c r="T4" s="3613" t="s">
        <v>740</v>
      </c>
      <c r="U4" s="3614"/>
      <c r="V4" s="3600" t="s">
        <v>741</v>
      </c>
      <c r="W4" s="3600"/>
      <c r="X4" s="1302"/>
      <c r="Y4" s="3613" t="s">
        <v>743</v>
      </c>
      <c r="Z4" s="3614"/>
      <c r="AA4" s="3602" t="s">
        <v>739</v>
      </c>
      <c r="AB4" s="3603" t="s">
        <v>740</v>
      </c>
      <c r="AC4" s="3602" t="s">
        <v>741</v>
      </c>
    </row>
    <row r="5" spans="1:29" ht="15">
      <c r="A5" s="466"/>
      <c r="B5" s="467"/>
      <c r="C5" s="3621" t="s">
        <v>2185</v>
      </c>
      <c r="D5" s="3622"/>
      <c r="E5" s="3647" t="s">
        <v>2186</v>
      </c>
      <c r="F5" s="3648"/>
      <c r="G5" s="3621" t="s">
        <v>2187</v>
      </c>
      <c r="H5" s="3622"/>
      <c r="I5" s="3621" t="s">
        <v>2188</v>
      </c>
      <c r="J5" s="3622"/>
      <c r="K5" s="465"/>
      <c r="L5" s="1741"/>
      <c r="M5" s="1742"/>
      <c r="N5" s="1742"/>
      <c r="O5" s="1742"/>
      <c r="P5" s="3609"/>
      <c r="Q5" s="3610"/>
      <c r="R5" s="3615"/>
      <c r="S5" s="3616"/>
      <c r="T5" s="3615"/>
      <c r="U5" s="3616"/>
      <c r="V5" s="3600"/>
      <c r="W5" s="3600"/>
      <c r="X5" s="1302"/>
      <c r="Y5" s="3615"/>
      <c r="Z5" s="3616"/>
      <c r="AA5" s="3603"/>
      <c r="AB5" s="3603"/>
      <c r="AC5" s="3603"/>
    </row>
    <row r="6" spans="1:29" ht="15.75" thickBot="1">
      <c r="A6" s="468"/>
      <c r="B6" s="469"/>
      <c r="C6" s="3619" t="s">
        <v>2189</v>
      </c>
      <c r="D6" s="3620"/>
      <c r="E6" s="3643" t="s">
        <v>2189</v>
      </c>
      <c r="F6" s="3644"/>
      <c r="G6" s="3619" t="s">
        <v>2189</v>
      </c>
      <c r="H6" s="3620"/>
      <c r="I6" s="3619" t="s">
        <v>2189</v>
      </c>
      <c r="J6" s="3620"/>
      <c r="K6" s="465" t="s">
        <v>477</v>
      </c>
      <c r="L6" s="1741"/>
      <c r="M6" s="1742"/>
      <c r="N6" s="1742"/>
      <c r="O6" s="1742"/>
      <c r="P6" s="3611"/>
      <c r="Q6" s="3612"/>
      <c r="R6" s="3615"/>
      <c r="S6" s="3616"/>
      <c r="T6" s="3617"/>
      <c r="U6" s="3618"/>
      <c r="V6" s="3600"/>
      <c r="W6" s="3600"/>
      <c r="X6" s="1302"/>
      <c r="Y6" s="3617"/>
      <c r="Z6" s="3618"/>
      <c r="AA6" s="3604"/>
      <c r="AB6" s="3604"/>
      <c r="AC6" s="3604"/>
    </row>
    <row r="7" spans="1:29" s="1059" customFormat="1" ht="15.75" thickBot="1">
      <c r="A7" s="2208"/>
      <c r="B7" s="2215" t="s">
        <v>478</v>
      </c>
      <c r="C7" s="470">
        <f>'数据-取费表'!B2</f>
        <v>45617</v>
      </c>
      <c r="D7" s="471">
        <v>100</v>
      </c>
      <c r="E7" s="472"/>
      <c r="F7" s="473">
        <f>SUMIF(46:46,YEAR(E7)&amp;"-"&amp;MONTH(E7),47:47)</f>
        <v>0</v>
      </c>
      <c r="G7" s="474"/>
      <c r="H7" s="471">
        <f>SUMIF(46:46,YEAR(G7)&amp;"-"&amp;MONTH(G7),47:47)</f>
        <v>0</v>
      </c>
      <c r="I7" s="474"/>
      <c r="J7" s="471">
        <f>SUMIF(46:46,YEAR(I7)&amp;"-"&amp;MONTH(I7),47:47)</f>
        <v>0</v>
      </c>
      <c r="K7" s="88"/>
      <c r="L7" s="1743"/>
      <c r="M7" s="1640"/>
      <c r="N7" s="1640"/>
      <c r="O7" s="1640"/>
      <c r="P7" s="3630" t="s">
        <v>479</v>
      </c>
      <c r="Q7" s="3632"/>
      <c r="R7" s="1303" t="s">
        <v>5</v>
      </c>
      <c r="S7" s="1304">
        <f t="shared" ref="S7:S14" si="0">F7</f>
        <v>0</v>
      </c>
      <c r="T7" s="1303" t="s">
        <v>5</v>
      </c>
      <c r="U7" s="1304">
        <f t="shared" ref="U7:U14" si="1">H7</f>
        <v>0</v>
      </c>
      <c r="V7" s="1303" t="s">
        <v>5</v>
      </c>
      <c r="W7" s="1304">
        <f t="shared" ref="W7:W14" si="2">J7</f>
        <v>0</v>
      </c>
      <c r="X7" s="1305"/>
      <c r="Y7" s="3630" t="s">
        <v>479</v>
      </c>
      <c r="Z7" s="3631"/>
      <c r="AA7" s="996" t="e">
        <f>D7/F7</f>
        <v>#DIV/0!</v>
      </c>
      <c r="AB7" s="996" t="e">
        <f>D7/H7</f>
        <v>#DIV/0!</v>
      </c>
      <c r="AC7" s="996" t="e">
        <f>D7/J7</f>
        <v>#DIV/0!</v>
      </c>
    </row>
    <row r="8" spans="1:29" s="1059"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30" t="s">
        <v>482</v>
      </c>
      <c r="Q8" s="3631"/>
      <c r="R8" s="1303" t="s">
        <v>5</v>
      </c>
      <c r="S8" s="1304">
        <f t="shared" si="0"/>
        <v>0</v>
      </c>
      <c r="T8" s="1303" t="s">
        <v>5</v>
      </c>
      <c r="U8" s="1304">
        <f t="shared" si="1"/>
        <v>0</v>
      </c>
      <c r="V8" s="1303" t="s">
        <v>5</v>
      </c>
      <c r="W8" s="1304">
        <f t="shared" si="2"/>
        <v>0</v>
      </c>
      <c r="X8" s="1305"/>
      <c r="Y8" s="3630" t="s">
        <v>482</v>
      </c>
      <c r="Z8" s="3631"/>
      <c r="AA8" s="996" t="e">
        <f t="shared" ref="AA8:AA34" si="3">D8/F8</f>
        <v>#DIV/0!</v>
      </c>
      <c r="AB8" s="996" t="e">
        <f t="shared" ref="AB8:AB34" si="4">D8/H8</f>
        <v>#DIV/0!</v>
      </c>
      <c r="AC8" s="996" t="e">
        <f t="shared" ref="AC8:AC34" si="5">D8/J8</f>
        <v>#DIV/0!</v>
      </c>
    </row>
    <row r="9" spans="1:29" s="1059" customFormat="1" ht="15">
      <c r="A9" s="2210"/>
      <c r="B9" s="2217" t="s">
        <v>2036</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9" t="s">
        <v>484</v>
      </c>
      <c r="Q9" s="817" t="str">
        <f t="shared" ref="Q9:Q14" si="6">B9</f>
        <v>用途</v>
      </c>
      <c r="R9" s="1303" t="s">
        <v>5</v>
      </c>
      <c r="S9" s="1304">
        <f t="shared" si="0"/>
        <v>100</v>
      </c>
      <c r="T9" s="1303" t="s">
        <v>5</v>
      </c>
      <c r="U9" s="1304">
        <f t="shared" si="1"/>
        <v>100</v>
      </c>
      <c r="V9" s="1303" t="s">
        <v>5</v>
      </c>
      <c r="W9" s="1304">
        <f t="shared" si="2"/>
        <v>100</v>
      </c>
      <c r="X9" s="1305"/>
      <c r="Y9" s="3547" t="s">
        <v>485</v>
      </c>
      <c r="Z9" s="996" t="str">
        <f t="shared" ref="Z9:Z14" si="7">Q9</f>
        <v>用途</v>
      </c>
      <c r="AA9" s="996">
        <f t="shared" si="3"/>
        <v>1</v>
      </c>
      <c r="AB9" s="996">
        <f t="shared" si="4"/>
        <v>1</v>
      </c>
      <c r="AC9" s="996">
        <f t="shared" si="5"/>
        <v>1</v>
      </c>
    </row>
    <row r="10" spans="1:29" s="1132" customFormat="1" ht="27">
      <c r="A10" s="2211"/>
      <c r="B10" s="2216" t="s">
        <v>2037</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599"/>
      <c r="Q10" s="817" t="str">
        <f t="shared" si="6"/>
        <v>土地使用年限（年）</v>
      </c>
      <c r="R10" s="1303" t="s">
        <v>5</v>
      </c>
      <c r="S10" s="1304">
        <f t="shared" si="0"/>
        <v>100</v>
      </c>
      <c r="T10" s="1303" t="s">
        <v>5</v>
      </c>
      <c r="U10" s="1304">
        <f t="shared" si="1"/>
        <v>100</v>
      </c>
      <c r="V10" s="1303" t="s">
        <v>5</v>
      </c>
      <c r="W10" s="1304">
        <f t="shared" si="2"/>
        <v>100</v>
      </c>
      <c r="X10" s="1305"/>
      <c r="Y10" s="3547"/>
      <c r="Z10" s="996" t="str">
        <f t="shared" si="7"/>
        <v>土地使用年限（年）</v>
      </c>
      <c r="AA10" s="996">
        <f t="shared" si="3"/>
        <v>1</v>
      </c>
      <c r="AB10" s="996">
        <f t="shared" si="4"/>
        <v>1</v>
      </c>
      <c r="AC10" s="996">
        <f t="shared" si="5"/>
        <v>1</v>
      </c>
    </row>
    <row r="11" spans="1:29" ht="15">
      <c r="A11" s="2213"/>
      <c r="B11" s="2219">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599"/>
      <c r="Q11" s="817">
        <f t="shared" si="6"/>
        <v>111</v>
      </c>
      <c r="R11" s="1303" t="s">
        <v>5</v>
      </c>
      <c r="S11" s="1304">
        <f t="shared" si="0"/>
        <v>100</v>
      </c>
      <c r="T11" s="1303" t="s">
        <v>5</v>
      </c>
      <c r="U11" s="1304">
        <f t="shared" si="1"/>
        <v>100</v>
      </c>
      <c r="V11" s="1303" t="s">
        <v>5</v>
      </c>
      <c r="W11" s="1304">
        <f t="shared" si="2"/>
        <v>100</v>
      </c>
      <c r="X11" s="1305"/>
      <c r="Y11" s="3547"/>
      <c r="Z11" s="996">
        <f t="shared" si="7"/>
        <v>111</v>
      </c>
      <c r="AA11" s="996">
        <f t="shared" si="3"/>
        <v>1</v>
      </c>
      <c r="AB11" s="996">
        <f t="shared" si="4"/>
        <v>1</v>
      </c>
      <c r="AC11" s="996">
        <f t="shared" si="5"/>
        <v>1</v>
      </c>
    </row>
    <row r="12" spans="1:29" s="1059" customFormat="1" ht="15">
      <c r="A12" s="2213"/>
      <c r="B12" s="2219">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599"/>
      <c r="Q12" s="817">
        <f t="shared" si="6"/>
        <v>111</v>
      </c>
      <c r="R12" s="1303" t="s">
        <v>5</v>
      </c>
      <c r="S12" s="1304">
        <f t="shared" si="0"/>
        <v>100</v>
      </c>
      <c r="T12" s="1303" t="s">
        <v>5</v>
      </c>
      <c r="U12" s="1304">
        <f t="shared" si="1"/>
        <v>100</v>
      </c>
      <c r="V12" s="1303" t="s">
        <v>5</v>
      </c>
      <c r="W12" s="1304">
        <f t="shared" si="2"/>
        <v>100</v>
      </c>
      <c r="X12" s="1305"/>
      <c r="Y12" s="3547"/>
      <c r="Z12" s="996">
        <f t="shared" si="7"/>
        <v>111</v>
      </c>
      <c r="AA12" s="996">
        <f>D12/F12</f>
        <v>1</v>
      </c>
      <c r="AB12" s="996">
        <f>D12/H12</f>
        <v>1</v>
      </c>
      <c r="AC12" s="996">
        <f>D12/J12</f>
        <v>1</v>
      </c>
    </row>
    <row r="13" spans="1:29" ht="15.75" thickBot="1">
      <c r="A13" s="2214"/>
      <c r="B13" s="2220">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599"/>
      <c r="Q13" s="817">
        <f t="shared" si="6"/>
        <v>111</v>
      </c>
      <c r="R13" s="1303" t="s">
        <v>5</v>
      </c>
      <c r="S13" s="1304">
        <f t="shared" si="0"/>
        <v>100</v>
      </c>
      <c r="T13" s="1303" t="s">
        <v>5</v>
      </c>
      <c r="U13" s="1304">
        <f t="shared" si="1"/>
        <v>100</v>
      </c>
      <c r="V13" s="1303" t="s">
        <v>5</v>
      </c>
      <c r="W13" s="1304">
        <f t="shared" si="2"/>
        <v>100</v>
      </c>
      <c r="X13" s="1305"/>
      <c r="Y13" s="3547"/>
      <c r="Z13" s="996">
        <f t="shared" si="7"/>
        <v>111</v>
      </c>
      <c r="AA13" s="996">
        <f t="shared" si="3"/>
        <v>1</v>
      </c>
      <c r="AB13" s="996">
        <f t="shared" si="4"/>
        <v>1</v>
      </c>
      <c r="AC13" s="996">
        <f t="shared" si="5"/>
        <v>1</v>
      </c>
    </row>
    <row r="14" spans="1:29" ht="15">
      <c r="A14" s="2206" t="s">
        <v>2034</v>
      </c>
      <c r="B14" s="150" t="s">
        <v>492</v>
      </c>
      <c r="C14" s="842" t="str">
        <f>IF(B1="工业",估价对象房地状况!G4,估价对象房地状况!C6)</f>
        <v>较差</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33" t="s">
        <v>489</v>
      </c>
      <c r="Q14" s="1306" t="str">
        <f t="shared" si="6"/>
        <v>交通便捷度</v>
      </c>
      <c r="R14" s="1307" t="s">
        <v>5</v>
      </c>
      <c r="S14" s="1308">
        <f t="shared" si="0"/>
        <v>100</v>
      </c>
      <c r="T14" s="1307" t="s">
        <v>5</v>
      </c>
      <c r="U14" s="1308">
        <f t="shared" si="1"/>
        <v>100</v>
      </c>
      <c r="V14" s="1307" t="s">
        <v>5</v>
      </c>
      <c r="W14" s="1308">
        <f t="shared" si="2"/>
        <v>100</v>
      </c>
      <c r="X14" s="1302"/>
      <c r="Y14" s="3633"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34"/>
      <c r="Q15" s="1306"/>
      <c r="R15" s="1307"/>
      <c r="S15" s="1308"/>
      <c r="T15" s="1307"/>
      <c r="U15" s="1308"/>
      <c r="V15" s="1307"/>
      <c r="W15" s="1308"/>
      <c r="X15" s="1302"/>
      <c r="Y15" s="3634"/>
      <c r="Z15" s="1309"/>
      <c r="AA15" s="1309">
        <v>1</v>
      </c>
      <c r="AB15" s="1309">
        <v>1</v>
      </c>
      <c r="AC15" s="1309">
        <v>1</v>
      </c>
    </row>
    <row r="16" spans="1:29" ht="15">
      <c r="A16" s="482"/>
      <c r="B16" s="2062" t="s">
        <v>1827</v>
      </c>
      <c r="C16" s="801" t="str">
        <f>IF(B1="工业",估价对象房地状况!G5,估价对象房地状况!C7)</f>
        <v>较差</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34"/>
      <c r="Q16" s="1306" t="str">
        <f>B16</f>
        <v>公共配套设施</v>
      </c>
      <c r="R16" s="1307" t="s">
        <v>5</v>
      </c>
      <c r="S16" s="1308">
        <f>F16</f>
        <v>100</v>
      </c>
      <c r="T16" s="1307" t="s">
        <v>5</v>
      </c>
      <c r="U16" s="1308">
        <f>H16</f>
        <v>100</v>
      </c>
      <c r="V16" s="1307" t="s">
        <v>5</v>
      </c>
      <c r="W16" s="1308">
        <f>J16</f>
        <v>100</v>
      </c>
      <c r="X16" s="1302"/>
      <c r="Y16" s="3634"/>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34"/>
      <c r="Q17" s="1306"/>
      <c r="R17" s="1307"/>
      <c r="S17" s="1308"/>
      <c r="T17" s="1307"/>
      <c r="U17" s="1308"/>
      <c r="V17" s="1307"/>
      <c r="W17" s="1308"/>
      <c r="X17" s="1302"/>
      <c r="Y17" s="3634"/>
      <c r="Z17" s="1309"/>
      <c r="AA17" s="1309">
        <v>1</v>
      </c>
      <c r="AB17" s="1309">
        <v>1</v>
      </c>
      <c r="AC17" s="1309">
        <v>1</v>
      </c>
    </row>
    <row r="18" spans="1:29" ht="15">
      <c r="A18" s="482"/>
      <c r="B18" s="2050" t="s">
        <v>1839</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34"/>
      <c r="Q18" s="1306" t="str">
        <f>B18</f>
        <v>基础设施水平</v>
      </c>
      <c r="R18" s="1307" t="s">
        <v>5</v>
      </c>
      <c r="S18" s="1308">
        <f>F18</f>
        <v>100</v>
      </c>
      <c r="T18" s="1307" t="s">
        <v>5</v>
      </c>
      <c r="U18" s="1308">
        <f>H18</f>
        <v>100</v>
      </c>
      <c r="V18" s="1307" t="s">
        <v>5</v>
      </c>
      <c r="W18" s="1308">
        <f>J18</f>
        <v>100</v>
      </c>
      <c r="X18" s="1302"/>
      <c r="Y18" s="3634"/>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34"/>
      <c r="Q19" s="1306"/>
      <c r="R19" s="1307"/>
      <c r="S19" s="1308"/>
      <c r="T19" s="1307"/>
      <c r="U19" s="1308"/>
      <c r="V19" s="1307"/>
      <c r="W19" s="1308"/>
      <c r="X19" s="1302"/>
      <c r="Y19" s="3634"/>
      <c r="Z19" s="1309"/>
      <c r="AA19" s="1309">
        <v>1</v>
      </c>
      <c r="AB19" s="1309">
        <v>1</v>
      </c>
      <c r="AC19" s="1309">
        <v>1</v>
      </c>
    </row>
    <row r="20" spans="1:29" ht="15">
      <c r="A20" s="482"/>
      <c r="B20" s="677" t="s">
        <v>744</v>
      </c>
      <c r="C20" s="801" t="str">
        <f>IF(B1="工业",估价对象房地状况!G7,估价对象房地状况!C9)</f>
        <v>较差</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34"/>
      <c r="Q20" s="1306" t="str">
        <f>B20</f>
        <v>自然及人文环境</v>
      </c>
      <c r="R20" s="1307" t="s">
        <v>5</v>
      </c>
      <c r="S20" s="1308">
        <f>F20</f>
        <v>100</v>
      </c>
      <c r="T20" s="1307" t="s">
        <v>5</v>
      </c>
      <c r="U20" s="1308">
        <f>H20</f>
        <v>100</v>
      </c>
      <c r="V20" s="1307" t="s">
        <v>5</v>
      </c>
      <c r="W20" s="1308">
        <f>J20</f>
        <v>100</v>
      </c>
      <c r="X20" s="1302"/>
      <c r="Y20" s="3634"/>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34"/>
      <c r="Q21" s="1306"/>
      <c r="R21" s="1307"/>
      <c r="S21" s="1308"/>
      <c r="T21" s="1307"/>
      <c r="U21" s="1308"/>
      <c r="V21" s="1307"/>
      <c r="W21" s="1308"/>
      <c r="X21" s="1302"/>
      <c r="Y21" s="3634"/>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34"/>
      <c r="Q22" s="1306" t="str">
        <f>B22</f>
        <v>楼层</v>
      </c>
      <c r="R22" s="1307" t="s">
        <v>5</v>
      </c>
      <c r="S22" s="1308">
        <f>F22</f>
        <v>100</v>
      </c>
      <c r="T22" s="1307" t="s">
        <v>5</v>
      </c>
      <c r="U22" s="1308">
        <f>H22</f>
        <v>100</v>
      </c>
      <c r="V22" s="1307" t="s">
        <v>5</v>
      </c>
      <c r="W22" s="1308">
        <f>J22</f>
        <v>100</v>
      </c>
      <c r="X22" s="1302"/>
      <c r="Y22" s="3634"/>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34"/>
      <c r="Q23" s="1306">
        <f>B23</f>
        <v>111</v>
      </c>
      <c r="R23" s="1307" t="s">
        <v>5</v>
      </c>
      <c r="S23" s="1308">
        <f>F23</f>
        <v>100</v>
      </c>
      <c r="T23" s="1307" t="s">
        <v>5</v>
      </c>
      <c r="U23" s="1308">
        <f>H23</f>
        <v>100</v>
      </c>
      <c r="V23" s="1307" t="s">
        <v>5</v>
      </c>
      <c r="W23" s="1308">
        <f>J23</f>
        <v>100</v>
      </c>
      <c r="X23" s="1302"/>
      <c r="Y23" s="3634"/>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34"/>
      <c r="Q24" s="1306">
        <f t="shared" ref="Q24:Q34" si="8">B24</f>
        <v>111</v>
      </c>
      <c r="R24" s="1307" t="s">
        <v>5</v>
      </c>
      <c r="S24" s="1308">
        <f>F24</f>
        <v>100</v>
      </c>
      <c r="T24" s="1307" t="s">
        <v>5</v>
      </c>
      <c r="U24" s="1308">
        <f>H24</f>
        <v>100</v>
      </c>
      <c r="V24" s="1307" t="s">
        <v>5</v>
      </c>
      <c r="W24" s="1308">
        <f>J24</f>
        <v>100</v>
      </c>
      <c r="X24" s="1302"/>
      <c r="Y24" s="3634"/>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34"/>
      <c r="Q25" s="817">
        <f t="shared" si="8"/>
        <v>111</v>
      </c>
      <c r="R25" s="1303" t="s">
        <v>5</v>
      </c>
      <c r="S25" s="1304">
        <f>F25</f>
        <v>100</v>
      </c>
      <c r="T25" s="1303" t="s">
        <v>5</v>
      </c>
      <c r="U25" s="1304">
        <f>H25</f>
        <v>100</v>
      </c>
      <c r="V25" s="1303" t="s">
        <v>5</v>
      </c>
      <c r="W25" s="1304">
        <f>J25</f>
        <v>100</v>
      </c>
      <c r="X25" s="1305"/>
      <c r="Y25" s="3634"/>
      <c r="Z25" s="996">
        <f>Q25</f>
        <v>111</v>
      </c>
      <c r="AA25" s="1309">
        <f>D25/F25</f>
        <v>1</v>
      </c>
      <c r="AB25" s="1309">
        <f>D25/H25</f>
        <v>1</v>
      </c>
      <c r="AC25" s="1309">
        <f>D25/J25</f>
        <v>1</v>
      </c>
    </row>
    <row r="26" spans="1:29" ht="15">
      <c r="A26" s="2204" t="s">
        <v>2035</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35"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6"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36"/>
      <c r="Q27" s="818" t="str">
        <f t="shared" si="8"/>
        <v>成新率</v>
      </c>
      <c r="R27" s="1310" t="s">
        <v>5</v>
      </c>
      <c r="S27" s="1311" t="e">
        <f t="shared" si="9"/>
        <v>#N/A</v>
      </c>
      <c r="T27" s="1310" t="s">
        <v>5</v>
      </c>
      <c r="U27" s="1311" t="e">
        <f t="shared" si="10"/>
        <v>#N/A</v>
      </c>
      <c r="V27" s="1310" t="s">
        <v>5</v>
      </c>
      <c r="W27" s="1311" t="e">
        <f t="shared" si="11"/>
        <v>#N/A</v>
      </c>
      <c r="X27" s="1312"/>
      <c r="Y27" s="3636"/>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36"/>
      <c r="Q28" s="1306" t="str">
        <f t="shared" si="8"/>
        <v>物业等级</v>
      </c>
      <c r="R28" s="1307" t="s">
        <v>5</v>
      </c>
      <c r="S28" s="1308">
        <f t="shared" si="9"/>
        <v>100</v>
      </c>
      <c r="T28" s="1307" t="s">
        <v>5</v>
      </c>
      <c r="U28" s="1308">
        <f t="shared" si="10"/>
        <v>100</v>
      </c>
      <c r="V28" s="1307" t="s">
        <v>5</v>
      </c>
      <c r="W28" s="1308">
        <f t="shared" si="11"/>
        <v>100</v>
      </c>
      <c r="X28" s="1302"/>
      <c r="Y28" s="3636"/>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36"/>
      <c r="Q29" s="1306" t="str">
        <f t="shared" si="8"/>
        <v>有无电梯</v>
      </c>
      <c r="R29" s="1307" t="s">
        <v>5</v>
      </c>
      <c r="S29" s="1308">
        <f t="shared" si="9"/>
        <v>100</v>
      </c>
      <c r="T29" s="1307" t="s">
        <v>5</v>
      </c>
      <c r="U29" s="1308">
        <f t="shared" si="10"/>
        <v>100</v>
      </c>
      <c r="V29" s="1307" t="s">
        <v>5</v>
      </c>
      <c r="W29" s="1308">
        <f t="shared" si="11"/>
        <v>100</v>
      </c>
      <c r="X29" s="1302"/>
      <c r="Y29" s="3636"/>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36"/>
      <c r="Q30" s="1306" t="str">
        <f t="shared" si="8"/>
        <v>建筑面积</v>
      </c>
      <c r="R30" s="1307" t="s">
        <v>5</v>
      </c>
      <c r="S30" s="1308" t="e">
        <f t="shared" si="9"/>
        <v>#N/A</v>
      </c>
      <c r="T30" s="1307" t="s">
        <v>5</v>
      </c>
      <c r="U30" s="1308" t="e">
        <f t="shared" si="10"/>
        <v>#N/A</v>
      </c>
      <c r="V30" s="1307" t="s">
        <v>5</v>
      </c>
      <c r="W30" s="1308" t="e">
        <f t="shared" si="11"/>
        <v>#N/A</v>
      </c>
      <c r="X30" s="1302"/>
      <c r="Y30" s="3636"/>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36"/>
      <c r="Q31" s="817" t="str">
        <f t="shared" si="8"/>
        <v>是否封闭</v>
      </c>
      <c r="R31" s="1303" t="s">
        <v>5</v>
      </c>
      <c r="S31" s="1304">
        <f t="shared" si="9"/>
        <v>100</v>
      </c>
      <c r="T31" s="1303" t="s">
        <v>5</v>
      </c>
      <c r="U31" s="1304">
        <f t="shared" si="10"/>
        <v>100</v>
      </c>
      <c r="V31" s="1303" t="s">
        <v>5</v>
      </c>
      <c r="W31" s="1304">
        <f t="shared" si="11"/>
        <v>100</v>
      </c>
      <c r="X31" s="1305"/>
      <c r="Y31" s="3636"/>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36" t="s">
        <v>499</v>
      </c>
      <c r="Q32" s="1306">
        <f t="shared" si="8"/>
        <v>111</v>
      </c>
      <c r="R32" s="1307" t="s">
        <v>5</v>
      </c>
      <c r="S32" s="1308">
        <f t="shared" si="9"/>
        <v>100</v>
      </c>
      <c r="T32" s="1307" t="s">
        <v>5</v>
      </c>
      <c r="U32" s="1308">
        <f t="shared" si="10"/>
        <v>100</v>
      </c>
      <c r="V32" s="1307" t="s">
        <v>5</v>
      </c>
      <c r="W32" s="1308">
        <f t="shared" si="11"/>
        <v>100</v>
      </c>
      <c r="X32" s="1302"/>
      <c r="Y32" s="3636"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36"/>
      <c r="Q33" s="1306">
        <f t="shared" si="8"/>
        <v>111</v>
      </c>
      <c r="R33" s="1307" t="s">
        <v>5</v>
      </c>
      <c r="S33" s="1308">
        <f t="shared" si="9"/>
        <v>100</v>
      </c>
      <c r="T33" s="1307" t="s">
        <v>5</v>
      </c>
      <c r="U33" s="1308">
        <f t="shared" si="10"/>
        <v>100</v>
      </c>
      <c r="V33" s="1307" t="s">
        <v>5</v>
      </c>
      <c r="W33" s="1308">
        <f t="shared" si="11"/>
        <v>100</v>
      </c>
      <c r="X33" s="1302"/>
      <c r="Y33" s="3636"/>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36"/>
      <c r="Q34" s="1306">
        <f t="shared" si="8"/>
        <v>111</v>
      </c>
      <c r="R34" s="1307" t="s">
        <v>5</v>
      </c>
      <c r="S34" s="1308">
        <f t="shared" si="9"/>
        <v>100</v>
      </c>
      <c r="T34" s="1307" t="s">
        <v>5</v>
      </c>
      <c r="U34" s="1308">
        <f t="shared" si="10"/>
        <v>100</v>
      </c>
      <c r="V34" s="1307" t="s">
        <v>5</v>
      </c>
      <c r="W34" s="1308">
        <f t="shared" si="11"/>
        <v>100</v>
      </c>
      <c r="X34" s="1302"/>
      <c r="Y34" s="3636"/>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599" t="str">
        <f>A35</f>
        <v>成交单价（元/平方米）</v>
      </c>
      <c r="Q35" s="3599"/>
      <c r="R35" s="3600">
        <f>E35</f>
        <v>0</v>
      </c>
      <c r="S35" s="3600"/>
      <c r="T35" s="3600">
        <f>G35</f>
        <v>0</v>
      </c>
      <c r="U35" s="3600"/>
      <c r="V35" s="3600">
        <f>I35</f>
        <v>0</v>
      </c>
      <c r="W35" s="3600"/>
      <c r="X35" s="799"/>
      <c r="Y35" s="1314"/>
      <c r="Z35" s="799"/>
      <c r="AA35" s="799"/>
      <c r="AB35" s="799"/>
      <c r="AC35" s="799"/>
    </row>
    <row r="36" spans="1:29" ht="15.75" thickBot="1">
      <c r="A36" s="564" t="s">
        <v>2040</v>
      </c>
      <c r="B36" s="812"/>
      <c r="C36" s="2082" t="e">
        <f>R37</f>
        <v>#DIV/0!</v>
      </c>
      <c r="D36" s="2549" t="s">
        <v>2255</v>
      </c>
      <c r="E36" s="2083" t="e">
        <f>R36</f>
        <v>#DIV/0!</v>
      </c>
      <c r="F36" s="2550"/>
      <c r="G36" s="2082" t="e">
        <f>T36</f>
        <v>#DIV/0!</v>
      </c>
      <c r="H36" s="2550"/>
      <c r="I36" s="2083" t="e">
        <f>V36</f>
        <v>#DIV/0!</v>
      </c>
      <c r="J36" s="2550"/>
      <c r="K36" s="2557">
        <f>F36+H36+J36</f>
        <v>0</v>
      </c>
      <c r="L36" s="1751"/>
      <c r="M36" s="1742"/>
      <c r="N36" s="1742"/>
      <c r="O36" s="1742"/>
      <c r="P36" s="3599" t="str">
        <f>A36</f>
        <v>比较价格（元/平方米）</v>
      </c>
      <c r="Q36" s="3599"/>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799"/>
      <c r="Y36" s="799"/>
      <c r="Z36" s="799"/>
      <c r="AA36" s="799"/>
      <c r="AB36" s="799"/>
      <c r="AC36" s="799"/>
    </row>
    <row r="37" spans="1:29" ht="15.75" thickBot="1">
      <c r="A37" s="568" t="s">
        <v>2191</v>
      </c>
      <c r="B37" s="569"/>
      <c r="C37" s="469" t="e">
        <f>R37</f>
        <v>#DIV/0!</v>
      </c>
      <c r="D37" s="469"/>
      <c r="E37" s="469"/>
      <c r="F37" s="469"/>
      <c r="G37" s="469"/>
      <c r="H37" s="469"/>
      <c r="I37" s="469"/>
      <c r="J37" s="469"/>
      <c r="K37" s="1336"/>
      <c r="L37" s="1751"/>
      <c r="M37" s="1742"/>
      <c r="N37" s="1742"/>
      <c r="O37" s="1742"/>
      <c r="P37" s="3637" t="str">
        <f>A37</f>
        <v>估价对象XX用房的比较价格（楼面单价，元/平方米）</v>
      </c>
      <c r="Q37" s="3638"/>
      <c r="R37" s="3654" t="e">
        <f>IF(F1="售价",ROUND(IF(D36="简单平均",AVERAGE(R36:W36),R36*F36+T36*H36+V36*J36),0),ROUND(IF(D36="简单平均",AVERAGE(R36:V36),R36*F36+T36*H36+V36*J36),1))</f>
        <v>#DIV/0!</v>
      </c>
      <c r="S37" s="3654"/>
      <c r="T37" s="3654"/>
      <c r="U37" s="3654"/>
      <c r="V37" s="3654"/>
      <c r="W37" s="3654"/>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2024-11</v>
      </c>
      <c r="D46" s="2115">
        <f>EDATE(C46,-1)</f>
        <v>45566</v>
      </c>
      <c r="E46" s="2115">
        <f t="shared" ref="E46:O46" si="13">EDATE(D46,-1)</f>
        <v>45536</v>
      </c>
      <c r="F46" s="2115">
        <f t="shared" si="13"/>
        <v>45505</v>
      </c>
      <c r="G46" s="2115">
        <f t="shared" si="13"/>
        <v>45474</v>
      </c>
      <c r="H46" s="2115">
        <f t="shared" si="13"/>
        <v>45444</v>
      </c>
      <c r="I46" s="2115">
        <f t="shared" si="13"/>
        <v>45413</v>
      </c>
      <c r="J46" s="2115">
        <f t="shared" si="13"/>
        <v>45383</v>
      </c>
      <c r="K46" s="2115">
        <f t="shared" si="13"/>
        <v>45352</v>
      </c>
      <c r="L46" s="2115">
        <f t="shared" si="13"/>
        <v>45323</v>
      </c>
      <c r="M46" s="2115">
        <f t="shared" si="13"/>
        <v>45292</v>
      </c>
      <c r="N46" s="2115">
        <f t="shared" si="13"/>
        <v>45261</v>
      </c>
      <c r="O46" s="2115">
        <f t="shared" si="13"/>
        <v>45231</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1838</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1839</v>
      </c>
      <c r="C65" s="2057" t="s">
        <v>1840</v>
      </c>
      <c r="D65" s="2057" t="s">
        <v>1841</v>
      </c>
      <c r="E65" s="2057" t="s">
        <v>1842</v>
      </c>
      <c r="F65" s="2057" t="s">
        <v>1843</v>
      </c>
      <c r="G65" s="2057" t="s">
        <v>1844</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D00-000000000000}">
      <formula1>交通便捷度</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8 E8 G8 I8" xr:uid="{00000000-0002-0000-2D00-000003000000}">
      <formula1>仓储交易情况</formula1>
    </dataValidation>
    <dataValidation type="list" allowBlank="1" showInputMessage="1" showErrorMessage="1" sqref="E9 G9 I9" xr:uid="{00000000-0002-0000-2D00-000004000000}">
      <formula1>仓储用途</formula1>
    </dataValidation>
    <dataValidation type="list" allowBlank="1" showInputMessage="1" showErrorMessage="1" sqref="C21 E21 G21 I21" xr:uid="{00000000-0002-0000-2D00-000005000000}">
      <formula1>环境</formula1>
    </dataValidation>
    <dataValidation type="list" allowBlank="1" showInputMessage="1" showErrorMessage="1" sqref="C22 E22 G22 I22" xr:uid="{00000000-0002-0000-2D00-000006000000}">
      <formula1>仓储楼层</formula1>
    </dataValidation>
    <dataValidation type="list" allowBlank="1" showInputMessage="1" showErrorMessage="1" sqref="C26 E26 G26 I26" xr:uid="{00000000-0002-0000-2D00-000007000000}">
      <formula1>仓储公共部分装修</formula1>
    </dataValidation>
    <dataValidation type="list" allowBlank="1" showInputMessage="1" showErrorMessage="1" sqref="C29 E29 G29 I29" xr:uid="{00000000-0002-0000-2D00-000008000000}">
      <formula1>有无电梯</formula1>
    </dataValidation>
    <dataValidation type="list" allowBlank="1" showInputMessage="1" showErrorMessage="1" sqref="C31 E31 G31 I31" xr:uid="{00000000-0002-0000-2D00-000009000000}">
      <formula1>是否封闭</formula1>
    </dataValidation>
    <dataValidation type="list" allowBlank="1" showInputMessage="1" showErrorMessage="1" sqref="B1" xr:uid="{00000000-0002-0000-2D00-00000A000000}">
      <formula1>地类判定</formula1>
    </dataValidation>
    <dataValidation type="list" allowBlank="1" showInputMessage="1" showErrorMessage="1" sqref="C28 E28 G28 I28" xr:uid="{00000000-0002-0000-2D00-00000B000000}">
      <formula1>仓储物业等级</formula1>
    </dataValidation>
    <dataValidation type="list" allowBlank="1" showInputMessage="1" showErrorMessage="1" sqref="C19 E19 G19 I19" xr:uid="{00000000-0002-0000-2D00-00000C000000}">
      <formula1>基础设施水平</formula1>
    </dataValidation>
    <dataValidation type="list" allowBlank="1" showInputMessage="1" showErrorMessage="1" sqref="F1" xr:uid="{00000000-0002-0000-2D00-00000D000000}">
      <formula1>"售价,租金"</formula1>
    </dataValidation>
    <dataValidation type="list" allowBlank="1" showInputMessage="1" showErrorMessage="1" sqref="D36" xr:uid="{00000000-0002-0000-2D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1658</v>
      </c>
      <c r="C1" s="3738" t="s">
        <v>1659</v>
      </c>
      <c r="D1" s="3739"/>
      <c r="E1" s="3739"/>
      <c r="F1" s="3739"/>
      <c r="G1" s="3739"/>
      <c r="H1" s="3739"/>
      <c r="I1" s="3739"/>
      <c r="J1" s="3739"/>
      <c r="K1" s="3739"/>
      <c r="L1" s="3739"/>
      <c r="M1" s="3739"/>
      <c r="N1" s="3739"/>
      <c r="O1" s="3739"/>
      <c r="P1" s="3739"/>
      <c r="Q1" s="3739"/>
      <c r="R1" s="3739"/>
      <c r="S1" s="3740"/>
      <c r="T1" s="1828" t="s">
        <v>1660</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1661</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2184</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2183</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2182</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2195</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2181</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2180</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1662</v>
      </c>
      <c r="B17" s="1870" t="s">
        <v>1663</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5" t="s">
        <v>14</v>
      </c>
      <c r="D22" s="3736"/>
      <c r="E22" s="3736"/>
      <c r="F22" s="3736"/>
      <c r="G22" s="3736"/>
      <c r="H22" s="3736"/>
      <c r="I22" s="3736"/>
      <c r="J22" s="3736"/>
      <c r="K22" s="3736"/>
      <c r="L22" s="3736"/>
      <c r="M22" s="3736"/>
      <c r="N22" s="3736"/>
      <c r="O22" s="3736"/>
      <c r="P22" s="3736"/>
      <c r="Q22" s="3737"/>
      <c r="R22" s="49" t="e">
        <f>ROUND(S22*10000/B22,0)</f>
        <v>#DIV/0!</v>
      </c>
      <c r="S22" s="49">
        <f>SUM(S24:S10000)</f>
        <v>0</v>
      </c>
    </row>
    <row r="23" spans="1:45" s="1337" customFormat="1" ht="24">
      <c r="A23" s="14" t="s">
        <v>770</v>
      </c>
      <c r="B23" s="2418" t="s">
        <v>2203</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B23 B2" xr:uid="{00000000-0002-0000-2E00-000007000000}">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C14" sqref="C14:H14"/>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2063</v>
      </c>
      <c r="C1" s="2294">
        <f>项目基本情况!D3</f>
        <v>45617</v>
      </c>
      <c r="H1" s="2233">
        <f>IF(C1&gt;C13,0,MATCH(C1,C$13:C$114,-1))+IF(SUMIF(C13:C114,C1,D13:D114)=0,13,12)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2094</v>
      </c>
      <c r="C2" s="2295">
        <f>'数据-取费表'!B22</f>
        <v>2</v>
      </c>
      <c r="D2" s="2290" t="s">
        <v>2064</v>
      </c>
      <c r="E2" s="2293">
        <f ca="1">INDIRECT("I"&amp;$I$1)/100</f>
        <v>3.1E-2</v>
      </c>
      <c r="G2" s="2235"/>
      <c r="H2" s="2235"/>
      <c r="I2" s="2235" t="s">
        <v>2065</v>
      </c>
      <c r="K2" s="2235"/>
      <c r="L2" s="2235"/>
      <c r="M2" s="2235"/>
      <c r="N2" s="2235" t="s">
        <v>2066</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2096</v>
      </c>
      <c r="C3" s="2292">
        <f>'数据-取费表'!B19</f>
        <v>0</v>
      </c>
      <c r="D3" s="2290" t="s">
        <v>2064</v>
      </c>
      <c r="E3" s="2293">
        <f ca="1">INDIRECT("J"&amp;$J$1)/100</f>
        <v>0</v>
      </c>
      <c r="G3" s="2237" t="s">
        <v>2067</v>
      </c>
      <c r="H3" s="2238">
        <v>0</v>
      </c>
      <c r="I3" s="2239">
        <f ca="1">INDIRECT("d"&amp;$H$1)</f>
        <v>3.1</v>
      </c>
      <c r="J3" s="2239">
        <f ca="1">INDIRECT("d"&amp;$H$1)</f>
        <v>3.1</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2095</v>
      </c>
      <c r="C4" s="2293">
        <f ca="1">N4/100</f>
        <v>1.4999999999999999E-2</v>
      </c>
      <c r="G4" s="2243" t="s">
        <v>2068</v>
      </c>
      <c r="H4" s="2244">
        <v>0.5</v>
      </c>
      <c r="I4" s="2245">
        <f ca="1">INDIRECT("e"&amp;$H$1)</f>
        <v>3.1</v>
      </c>
      <c r="J4" s="2245">
        <f ca="1">INDIRECT("e"&amp;$H$1)</f>
        <v>3.1</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2069</v>
      </c>
      <c r="H5" s="2244">
        <v>1</v>
      </c>
      <c r="I5" s="2245">
        <f ca="1">INDIRECT("f"&amp;$H$1)</f>
        <v>3.1</v>
      </c>
      <c r="J5" s="2245">
        <f ca="1">INDIRECT("f"&amp;$H$1)</f>
        <v>3.1</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2070</v>
      </c>
      <c r="H6" s="2244">
        <v>3</v>
      </c>
      <c r="I6" s="2245">
        <f ca="1">INDIRECT("g"&amp;$H$1)</f>
        <v>3.1</v>
      </c>
      <c r="J6" s="2245">
        <f ca="1">INDIRECT("g"&amp;$H$1)</f>
        <v>3.1</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2071</v>
      </c>
      <c r="H7" s="2249">
        <v>5</v>
      </c>
      <c r="I7" s="2250">
        <f ca="1">INDIRECT("h"&amp;$H$1)</f>
        <v>3.6</v>
      </c>
      <c r="J7" s="2250">
        <f ca="1">INDIRECT("h"&amp;$H$1)</f>
        <v>3.6</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2072</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2073</v>
      </c>
      <c r="C10" s="2262"/>
      <c r="D10" s="2262"/>
      <c r="E10" s="2262"/>
      <c r="F10" s="2262"/>
      <c r="G10" s="2262"/>
      <c r="H10" s="2262"/>
      <c r="I10" s="2236"/>
      <c r="J10" s="2236"/>
      <c r="K10" s="2262"/>
      <c r="L10" s="2263" t="s">
        <v>2074</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2075</v>
      </c>
      <c r="C11" s="2267" t="s">
        <v>2076</v>
      </c>
      <c r="D11" s="2268" t="s">
        <v>2077</v>
      </c>
      <c r="E11" s="2269"/>
      <c r="F11" s="2268" t="s">
        <v>2078</v>
      </c>
      <c r="G11" s="2270"/>
      <c r="H11" s="2269"/>
      <c r="I11" s="2268" t="s">
        <v>2079</v>
      </c>
      <c r="J11" s="2269"/>
      <c r="K11" s="2265"/>
      <c r="L11" s="2266" t="s">
        <v>2075</v>
      </c>
      <c r="M11" s="2267" t="s">
        <v>2076</v>
      </c>
      <c r="N11" s="2266" t="s">
        <v>2080</v>
      </c>
      <c r="O11" s="2268" t="s">
        <v>2081</v>
      </c>
      <c r="P11" s="2270"/>
      <c r="Q11" s="2270"/>
      <c r="R11" s="2270"/>
      <c r="S11" s="2270"/>
      <c r="T11" s="2269"/>
      <c r="U11" s="2268" t="s">
        <v>2082</v>
      </c>
      <c r="V11" s="2270"/>
      <c r="W11" s="2269"/>
      <c r="X11" s="2266" t="s">
        <v>2083</v>
      </c>
      <c r="Y11" s="2266" t="s">
        <v>2084</v>
      </c>
      <c r="Z11" s="2266" t="s">
        <v>2085</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2086</v>
      </c>
      <c r="E12" s="2274" t="s">
        <v>2087</v>
      </c>
      <c r="F12" s="2274" t="s">
        <v>2088</v>
      </c>
      <c r="G12" s="2274" t="s">
        <v>2089</v>
      </c>
      <c r="H12" s="2274" t="s">
        <v>2071</v>
      </c>
      <c r="I12" s="2275" t="s">
        <v>2090</v>
      </c>
      <c r="J12" s="2275" t="s">
        <v>2090</v>
      </c>
      <c r="K12" s="2265"/>
      <c r="L12" s="2272"/>
      <c r="M12" s="2273"/>
      <c r="N12" s="2272"/>
      <c r="O12" s="2275" t="s">
        <v>2091</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2092</v>
      </c>
      <c r="C13" s="2278">
        <v>45586</v>
      </c>
      <c r="D13" s="2279">
        <v>3.1</v>
      </c>
      <c r="E13" s="2279">
        <f>D13</f>
        <v>3.1</v>
      </c>
      <c r="F13" s="2279">
        <f>D13</f>
        <v>3.1</v>
      </c>
      <c r="G13" s="2279">
        <f>D13</f>
        <v>3.1</v>
      </c>
      <c r="H13" s="2279">
        <v>3.6</v>
      </c>
      <c r="I13" s="2279"/>
      <c r="J13" s="2279"/>
      <c r="K13" s="2276"/>
      <c r="L13" s="2277" t="s">
        <v>2092</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45495</v>
      </c>
      <c r="D14" s="2283">
        <v>3.35</v>
      </c>
      <c r="E14" s="2283">
        <f>D14</f>
        <v>3.35</v>
      </c>
      <c r="F14" s="2283">
        <f>D14</f>
        <v>3.35</v>
      </c>
      <c r="G14" s="2283">
        <f>D14</f>
        <v>3.35</v>
      </c>
      <c r="H14" s="2283">
        <v>3.85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45342</v>
      </c>
      <c r="D15" s="2283">
        <v>3.45</v>
      </c>
      <c r="E15" s="2283">
        <f>D15</f>
        <v>3.45</v>
      </c>
      <c r="F15" s="2283">
        <f>D15</f>
        <v>3.45</v>
      </c>
      <c r="G15" s="2283">
        <f>D15</f>
        <v>3.45</v>
      </c>
      <c r="H15" s="2283">
        <v>3.95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45159</v>
      </c>
      <c r="D16" s="2283">
        <v>3.45</v>
      </c>
      <c r="E16" s="2283">
        <f>D16</f>
        <v>3.45</v>
      </c>
      <c r="F16" s="2283">
        <f>D16</f>
        <v>3.45</v>
      </c>
      <c r="G16" s="2283">
        <f>D16</f>
        <v>3.45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45097</v>
      </c>
      <c r="D17" s="2283">
        <v>3.55</v>
      </c>
      <c r="E17" s="2283">
        <f>D17</f>
        <v>3.55</v>
      </c>
      <c r="F17" s="2283">
        <f>D17</f>
        <v>3.55</v>
      </c>
      <c r="G17" s="2283">
        <f>D17</f>
        <v>3.55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44795</v>
      </c>
      <c r="D18" s="2283">
        <v>3.65</v>
      </c>
      <c r="E18" s="2283">
        <v>3.65</v>
      </c>
      <c r="F18" s="2283">
        <v>3.65</v>
      </c>
      <c r="G18" s="2283">
        <v>3.65</v>
      </c>
      <c r="H18" s="2283">
        <v>4.3</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44701</v>
      </c>
      <c r="D19" s="2283">
        <v>3.7</v>
      </c>
      <c r="E19" s="2283">
        <f>D19</f>
        <v>3.7</v>
      </c>
      <c r="F19" s="2283">
        <f>D19</f>
        <v>3.7</v>
      </c>
      <c r="G19" s="2283">
        <f>D19</f>
        <v>3.7</v>
      </c>
      <c r="H19" s="2283">
        <v>4.45</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44581</v>
      </c>
      <c r="D20" s="2283">
        <v>3.7</v>
      </c>
      <c r="E20" s="2283">
        <f>D20</f>
        <v>3.7</v>
      </c>
      <c r="F20" s="2283">
        <f>D20</f>
        <v>3.7</v>
      </c>
      <c r="G20" s="2283">
        <f>D20</f>
        <v>3.7</v>
      </c>
      <c r="H20" s="2283">
        <v>4.5999999999999996</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77"/>
      <c r="C21" s="2284">
        <v>44550</v>
      </c>
      <c r="D21" s="2283">
        <v>3.8</v>
      </c>
      <c r="E21" s="2283">
        <f>D21</f>
        <v>3.8</v>
      </c>
      <c r="F21" s="2283">
        <f>D21</f>
        <v>3.8</v>
      </c>
      <c r="G21" s="2283">
        <f>D21</f>
        <v>3.8</v>
      </c>
      <c r="H21" s="2283">
        <v>4.6500000000000004</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43941</v>
      </c>
      <c r="D22" s="2283">
        <v>3.85</v>
      </c>
      <c r="E22" s="2283">
        <v>3.85</v>
      </c>
      <c r="F22" s="2283">
        <v>3.85</v>
      </c>
      <c r="G22" s="2283">
        <v>3.85</v>
      </c>
      <c r="H22" s="2283">
        <v>4.6500000000000004</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43881</v>
      </c>
      <c r="D23" s="2283">
        <v>4.05</v>
      </c>
      <c r="E23" s="2283">
        <v>4.05</v>
      </c>
      <c r="F23" s="2283">
        <v>4.05</v>
      </c>
      <c r="G23" s="2283">
        <v>4.05</v>
      </c>
      <c r="H23" s="2283">
        <v>4.75</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43789</v>
      </c>
      <c r="D24" s="2283">
        <v>4.1500000000000004</v>
      </c>
      <c r="E24" s="2283">
        <v>4.1500000000000004</v>
      </c>
      <c r="F24" s="2283">
        <v>4.1500000000000004</v>
      </c>
      <c r="G24" s="2283">
        <v>4.1500000000000004</v>
      </c>
      <c r="H24" s="2283">
        <v>4.8</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43728</v>
      </c>
      <c r="D25" s="2283">
        <v>4.2</v>
      </c>
      <c r="E25" s="2283">
        <v>4.2</v>
      </c>
      <c r="F25" s="2283">
        <v>4.2</v>
      </c>
      <c r="G25" s="2283">
        <v>4.2</v>
      </c>
      <c r="H25" s="2283">
        <v>4.8499999999999996</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277" t="s">
        <v>2281</v>
      </c>
      <c r="C26" s="2285">
        <v>43697</v>
      </c>
      <c r="D26" s="2775">
        <v>4.25</v>
      </c>
      <c r="E26" s="2775">
        <v>4.25</v>
      </c>
      <c r="F26" s="2775">
        <v>4.25</v>
      </c>
      <c r="G26" s="2775">
        <v>4.25</v>
      </c>
      <c r="H26" s="2775">
        <v>4.8499999999999996</v>
      </c>
      <c r="I26" s="2775"/>
      <c r="J26" s="2775"/>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4.25">
      <c r="B27" s="2779"/>
      <c r="C27" s="2780">
        <v>42301</v>
      </c>
      <c r="D27" s="2781">
        <v>4.3499999999999996</v>
      </c>
      <c r="E27" s="2781">
        <v>4.3499999999999996</v>
      </c>
      <c r="F27" s="2781">
        <v>4.75</v>
      </c>
      <c r="G27" s="2781">
        <v>4.75</v>
      </c>
      <c r="H27" s="2781">
        <v>4.9000000000000004</v>
      </c>
      <c r="I27" s="2781"/>
      <c r="J27" s="2781"/>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42242</v>
      </c>
      <c r="D28" s="2283">
        <v>4.5999999999999996</v>
      </c>
      <c r="E28" s="2283">
        <v>4.5999999999999996</v>
      </c>
      <c r="F28" s="2283">
        <v>5</v>
      </c>
      <c r="G28" s="2283">
        <v>5</v>
      </c>
      <c r="H28" s="2283">
        <v>5.15</v>
      </c>
      <c r="I28" s="2283">
        <v>2.75</v>
      </c>
      <c r="J28" s="2283">
        <v>3.25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42183</v>
      </c>
      <c r="D29" s="2283">
        <v>4.8499999999999996</v>
      </c>
      <c r="E29" s="2283">
        <v>4.8499999999999996</v>
      </c>
      <c r="F29" s="2283">
        <v>5.25</v>
      </c>
      <c r="G29" s="2283">
        <v>5.25</v>
      </c>
      <c r="H29" s="2283">
        <v>5.4</v>
      </c>
      <c r="I29" s="2283">
        <v>3</v>
      </c>
      <c r="J29" s="2283">
        <v>3.5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42135</v>
      </c>
      <c r="D30" s="2283">
        <v>5.0999999999999996</v>
      </c>
      <c r="E30" s="2283">
        <v>5.0999999999999996</v>
      </c>
      <c r="F30" s="2283">
        <v>5.5</v>
      </c>
      <c r="G30" s="2283">
        <v>5.5</v>
      </c>
      <c r="H30" s="2283">
        <v>5.65</v>
      </c>
      <c r="I30" s="2283">
        <v>3.25</v>
      </c>
      <c r="J30" s="2283">
        <v>3.75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42064</v>
      </c>
      <c r="D31" s="2283">
        <v>5.35</v>
      </c>
      <c r="E31" s="2283">
        <v>5.35</v>
      </c>
      <c r="F31" s="2283">
        <v>5.75</v>
      </c>
      <c r="G31" s="2283">
        <v>5.75</v>
      </c>
      <c r="H31" s="2283">
        <v>5.9</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41965</v>
      </c>
      <c r="D32" s="2283">
        <v>5.6</v>
      </c>
      <c r="E32" s="2283">
        <v>5.6</v>
      </c>
      <c r="F32" s="2283">
        <v>6</v>
      </c>
      <c r="G32" s="2283">
        <v>6</v>
      </c>
      <c r="H32" s="2283">
        <v>6.15</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41096</v>
      </c>
      <c r="D33" s="2283">
        <v>5.6</v>
      </c>
      <c r="E33" s="2283">
        <v>6</v>
      </c>
      <c r="F33" s="2283">
        <v>6.15</v>
      </c>
      <c r="G33" s="2283">
        <v>6.4</v>
      </c>
      <c r="H33" s="2283">
        <v>6.55</v>
      </c>
      <c r="I33" s="2283">
        <v>4</v>
      </c>
      <c r="J33" s="2283">
        <v>4.5</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41068</v>
      </c>
      <c r="D34" s="2283">
        <v>5.85</v>
      </c>
      <c r="E34" s="2283">
        <v>6.31</v>
      </c>
      <c r="F34" s="2283">
        <v>6.4</v>
      </c>
      <c r="G34" s="2283">
        <v>6.65</v>
      </c>
      <c r="H34" s="2283">
        <v>6.8</v>
      </c>
      <c r="I34" s="2283">
        <v>4.2</v>
      </c>
      <c r="J34" s="2283">
        <v>4.7</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40731</v>
      </c>
      <c r="D35" s="2283">
        <v>6.1</v>
      </c>
      <c r="E35" s="2283">
        <v>6.56</v>
      </c>
      <c r="F35" s="2283">
        <v>6.65</v>
      </c>
      <c r="G35" s="2283">
        <v>6.9</v>
      </c>
      <c r="H35" s="2283">
        <v>7.05</v>
      </c>
      <c r="I35" s="2283">
        <v>4.45</v>
      </c>
      <c r="J35" s="2283">
        <v>4.9000000000000004</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40639</v>
      </c>
      <c r="D36" s="2283">
        <v>5.85</v>
      </c>
      <c r="E36" s="2283">
        <v>6.31</v>
      </c>
      <c r="F36" s="2283">
        <v>6.4</v>
      </c>
      <c r="G36" s="2283">
        <v>6.65</v>
      </c>
      <c r="H36" s="2283">
        <v>6.8</v>
      </c>
      <c r="I36" s="2283">
        <v>4.2</v>
      </c>
      <c r="J36" s="2283">
        <v>4.7</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40583</v>
      </c>
      <c r="D37" s="2283">
        <v>5.6</v>
      </c>
      <c r="E37" s="2283">
        <v>6.06</v>
      </c>
      <c r="F37" s="2283">
        <v>6.1</v>
      </c>
      <c r="G37" s="2283">
        <v>6.45</v>
      </c>
      <c r="H37" s="2283">
        <v>6.6</v>
      </c>
      <c r="I37" s="2283">
        <v>4</v>
      </c>
      <c r="J37" s="2283">
        <v>4.5</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40538</v>
      </c>
      <c r="D38" s="2283">
        <v>5.35</v>
      </c>
      <c r="E38" s="2283">
        <v>5.81</v>
      </c>
      <c r="F38" s="2283">
        <v>5.85</v>
      </c>
      <c r="G38" s="2283">
        <v>6.22</v>
      </c>
      <c r="H38" s="2283">
        <v>6.4</v>
      </c>
      <c r="I38" s="2283">
        <v>3.75</v>
      </c>
      <c r="J38" s="2283">
        <v>4.3</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40471</v>
      </c>
      <c r="D39" s="2283">
        <v>5.0999999999999996</v>
      </c>
      <c r="E39" s="2283">
        <v>5.56</v>
      </c>
      <c r="F39" s="2283">
        <v>5.6</v>
      </c>
      <c r="G39" s="2283">
        <v>5.96</v>
      </c>
      <c r="H39" s="2283">
        <v>6.14</v>
      </c>
      <c r="I39" s="2283">
        <v>3.5</v>
      </c>
      <c r="J39" s="2283">
        <v>4.05</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39805</v>
      </c>
      <c r="D40" s="2283">
        <v>4.8600000000000003</v>
      </c>
      <c r="E40" s="2283">
        <v>5.31</v>
      </c>
      <c r="F40" s="2283">
        <v>5.4</v>
      </c>
      <c r="G40" s="2283">
        <v>5.76</v>
      </c>
      <c r="H40" s="2283">
        <v>5.94</v>
      </c>
      <c r="I40" s="2283">
        <v>3.33</v>
      </c>
      <c r="J40" s="2283">
        <v>3.87</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39779</v>
      </c>
      <c r="D41" s="2283">
        <v>5.04</v>
      </c>
      <c r="E41" s="2283">
        <v>5.58</v>
      </c>
      <c r="F41" s="2283">
        <v>5.67</v>
      </c>
      <c r="G41" s="2283">
        <v>5.94</v>
      </c>
      <c r="H41" s="2283">
        <v>6.12</v>
      </c>
      <c r="I41" s="2283">
        <v>3.51</v>
      </c>
      <c r="J41" s="2283">
        <v>4.05</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39751</v>
      </c>
      <c r="D42" s="2283">
        <v>6.03</v>
      </c>
      <c r="E42" s="2283">
        <v>6.66</v>
      </c>
      <c r="F42" s="2283">
        <v>6.75</v>
      </c>
      <c r="G42" s="2283">
        <v>7.02</v>
      </c>
      <c r="H42" s="2283">
        <v>7.2</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2093</v>
      </c>
      <c r="Y42" s="2283" t="s">
        <v>2093</v>
      </c>
      <c r="Z42" s="2283" t="s">
        <v>2093</v>
      </c>
    </row>
    <row r="43" spans="2:26">
      <c r="B43" s="2283"/>
      <c r="C43" s="2285">
        <v>39748</v>
      </c>
      <c r="D43" s="2283">
        <v>6.12</v>
      </c>
      <c r="E43" s="2283">
        <v>6.93</v>
      </c>
      <c r="F43" s="2283">
        <v>7.02</v>
      </c>
      <c r="G43" s="2283">
        <v>7.29</v>
      </c>
      <c r="H43" s="2283">
        <v>7.47</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2093</v>
      </c>
      <c r="Y43" s="2283" t="s">
        <v>2093</v>
      </c>
      <c r="Z43" s="2283" t="s">
        <v>2093</v>
      </c>
    </row>
    <row r="44" spans="2:26">
      <c r="B44" s="2283"/>
      <c r="C44" s="2284">
        <v>39730</v>
      </c>
      <c r="D44" s="2283">
        <v>6.12</v>
      </c>
      <c r="E44" s="2283">
        <v>6.93</v>
      </c>
      <c r="F44" s="2283">
        <v>7.02</v>
      </c>
      <c r="G44" s="2283">
        <v>7.29</v>
      </c>
      <c r="H44" s="2283">
        <v>7.47</v>
      </c>
      <c r="I44" s="2283">
        <v>4.32</v>
      </c>
      <c r="J44" s="2283">
        <v>4.8600000000000003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2093</v>
      </c>
      <c r="Y44" s="2283" t="s">
        <v>2093</v>
      </c>
      <c r="Z44" s="2283" t="s">
        <v>2093</v>
      </c>
    </row>
    <row r="45" spans="2:26">
      <c r="B45" s="2283"/>
      <c r="C45" s="2284">
        <v>39707</v>
      </c>
      <c r="D45" s="2283">
        <v>6.21</v>
      </c>
      <c r="E45" s="2283">
        <v>7.2</v>
      </c>
      <c r="F45" s="2283">
        <v>7.29</v>
      </c>
      <c r="G45" s="2283">
        <v>7.56</v>
      </c>
      <c r="H45" s="2283">
        <v>7.74</v>
      </c>
      <c r="I45" s="2283">
        <v>4.59</v>
      </c>
      <c r="J45" s="2283">
        <v>5.13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2093</v>
      </c>
      <c r="Y45" s="2283" t="s">
        <v>2093</v>
      </c>
      <c r="Z45" s="2283" t="s">
        <v>2093</v>
      </c>
    </row>
    <row r="46" spans="2:26">
      <c r="B46" s="2283"/>
      <c r="C46" s="2284">
        <v>39437</v>
      </c>
      <c r="D46" s="2283">
        <v>6.57</v>
      </c>
      <c r="E46" s="2283">
        <v>7.47</v>
      </c>
      <c r="F46" s="2283">
        <v>7.56</v>
      </c>
      <c r="G46" s="2283">
        <v>7.74</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2093</v>
      </c>
      <c r="Y46" s="2283" t="s">
        <v>2093</v>
      </c>
      <c r="Z46" s="2283" t="s">
        <v>2093</v>
      </c>
    </row>
    <row r="47" spans="2:26">
      <c r="B47" s="2283"/>
      <c r="C47" s="2284">
        <v>39340</v>
      </c>
      <c r="D47" s="2283">
        <v>6.48</v>
      </c>
      <c r="E47" s="2283">
        <v>7.29</v>
      </c>
      <c r="F47" s="2283">
        <v>7.47</v>
      </c>
      <c r="G47" s="2283">
        <v>7.65</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2093</v>
      </c>
      <c r="Y47" s="2283" t="s">
        <v>2093</v>
      </c>
      <c r="Z47" s="2283" t="s">
        <v>2093</v>
      </c>
    </row>
    <row r="48" spans="2:26">
      <c r="B48" s="2283"/>
      <c r="C48" s="2284">
        <v>39316</v>
      </c>
      <c r="D48" s="2283">
        <v>6.21</v>
      </c>
      <c r="E48" s="2283">
        <v>7.02</v>
      </c>
      <c r="F48" s="2283">
        <v>7.2</v>
      </c>
      <c r="G48" s="2283">
        <v>7.38</v>
      </c>
      <c r="H48" s="2283">
        <v>7.56</v>
      </c>
      <c r="I48" s="2283">
        <v>4.59</v>
      </c>
      <c r="J48" s="2283">
        <v>5.04</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2093</v>
      </c>
      <c r="Y48" s="2283" t="s">
        <v>2093</v>
      </c>
      <c r="Z48" s="2283" t="s">
        <v>2093</v>
      </c>
    </row>
    <row r="49" spans="2:26">
      <c r="B49" s="2283"/>
      <c r="C49" s="2284">
        <v>39284</v>
      </c>
      <c r="D49" s="2283">
        <v>6.03</v>
      </c>
      <c r="E49" s="2283">
        <v>6.84</v>
      </c>
      <c r="F49" s="2283">
        <v>7.02</v>
      </c>
      <c r="G49" s="2283">
        <v>7.2</v>
      </c>
      <c r="H49" s="2283">
        <v>7.38</v>
      </c>
      <c r="I49" s="2283">
        <v>4.5</v>
      </c>
      <c r="J49" s="2283">
        <v>4.95</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2093</v>
      </c>
      <c r="Y49" s="2283" t="s">
        <v>2093</v>
      </c>
      <c r="Z49" s="2283" t="s">
        <v>2093</v>
      </c>
    </row>
    <row r="50" spans="2:26">
      <c r="B50" s="2283"/>
      <c r="C50" s="2284">
        <v>39221</v>
      </c>
      <c r="D50" s="2283">
        <v>5.85</v>
      </c>
      <c r="E50" s="2283">
        <v>6.57</v>
      </c>
      <c r="F50" s="2283">
        <v>6.75</v>
      </c>
      <c r="G50" s="2283">
        <v>6.93</v>
      </c>
      <c r="H50" s="2283">
        <v>7.2</v>
      </c>
      <c r="I50" s="2283">
        <v>4.41</v>
      </c>
      <c r="J50" s="2283">
        <v>4.8600000000000003</v>
      </c>
      <c r="L50" s="2283"/>
      <c r="M50" s="2284">
        <v>33106</v>
      </c>
      <c r="N50" s="2283">
        <v>2.16</v>
      </c>
      <c r="O50" s="2283">
        <v>4.32</v>
      </c>
      <c r="P50" s="2283">
        <v>6.48</v>
      </c>
      <c r="Q50" s="2283">
        <v>8.64</v>
      </c>
      <c r="R50" s="2283">
        <v>9.36</v>
      </c>
      <c r="S50" s="2283">
        <v>10.08</v>
      </c>
      <c r="T50" s="2283">
        <v>11.52</v>
      </c>
      <c r="U50" s="2283">
        <v>7.2</v>
      </c>
      <c r="V50" s="2283">
        <v>8.64</v>
      </c>
      <c r="W50" s="2283">
        <v>10.08</v>
      </c>
      <c r="X50" s="2283" t="s">
        <v>2093</v>
      </c>
      <c r="Y50" s="2283" t="s">
        <v>2093</v>
      </c>
      <c r="Z50" s="2283" t="s">
        <v>2093</v>
      </c>
    </row>
    <row r="51" spans="2:26">
      <c r="B51" s="2283"/>
      <c r="C51" s="2284">
        <v>39159</v>
      </c>
      <c r="D51" s="2283">
        <v>5.67</v>
      </c>
      <c r="E51" s="2283">
        <v>6.39</v>
      </c>
      <c r="F51" s="2283">
        <v>6.57</v>
      </c>
      <c r="G51" s="2283">
        <v>6.75</v>
      </c>
      <c r="H51" s="2283">
        <v>7.11</v>
      </c>
      <c r="I51" s="2283">
        <v>4.32</v>
      </c>
      <c r="J51" s="2283">
        <v>4.7699999999999996</v>
      </c>
      <c r="L51" s="2283"/>
      <c r="M51" s="2284">
        <v>32978</v>
      </c>
      <c r="N51" s="2283">
        <v>2.88</v>
      </c>
      <c r="O51" s="2283">
        <v>6.3</v>
      </c>
      <c r="P51" s="2283">
        <v>7.74</v>
      </c>
      <c r="Q51" s="2283">
        <v>10.08</v>
      </c>
      <c r="R51" s="2283">
        <v>10.98</v>
      </c>
      <c r="S51" s="2283">
        <v>11.88</v>
      </c>
      <c r="T51" s="2283">
        <v>13.68</v>
      </c>
      <c r="U51" s="2283" t="s">
        <v>2093</v>
      </c>
      <c r="V51" s="2283" t="s">
        <v>2093</v>
      </c>
      <c r="W51" s="2283" t="s">
        <v>2093</v>
      </c>
      <c r="X51" s="2283" t="s">
        <v>2093</v>
      </c>
      <c r="Y51" s="2283" t="s">
        <v>2093</v>
      </c>
      <c r="Z51" s="2283" t="s">
        <v>2093</v>
      </c>
    </row>
    <row r="52" spans="2:26">
      <c r="B52" s="2283"/>
      <c r="C52" s="2284">
        <v>38948</v>
      </c>
      <c r="D52" s="2283">
        <v>5.58</v>
      </c>
      <c r="E52" s="2283">
        <v>6.12</v>
      </c>
      <c r="F52" s="2283">
        <v>6.3</v>
      </c>
      <c r="G52" s="2283">
        <v>6.48</v>
      </c>
      <c r="H52" s="2283">
        <v>6.84</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38835</v>
      </c>
      <c r="D53" s="2283">
        <v>5.4</v>
      </c>
      <c r="E53" s="2283">
        <v>5.85</v>
      </c>
      <c r="F53" s="2283">
        <v>6.03</v>
      </c>
      <c r="G53" s="2283">
        <v>6.12</v>
      </c>
      <c r="H53" s="2283">
        <v>6.39</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38428</v>
      </c>
      <c r="D54" s="2283">
        <v>5.22</v>
      </c>
      <c r="E54" s="2283">
        <v>5.58</v>
      </c>
      <c r="F54" s="2283">
        <v>5.76</v>
      </c>
      <c r="G54" s="2283">
        <v>5.85</v>
      </c>
      <c r="H54" s="2283">
        <v>6.12</v>
      </c>
      <c r="I54" s="2283">
        <v>3.96</v>
      </c>
      <c r="J54" s="2283">
        <v>4.41</v>
      </c>
      <c r="L54" s="2283"/>
      <c r="M54" s="2284"/>
      <c r="N54" s="2283"/>
      <c r="O54" s="2283"/>
      <c r="P54" s="2283"/>
      <c r="Q54" s="2283"/>
      <c r="R54" s="2283"/>
      <c r="S54" s="2283"/>
      <c r="T54" s="2283"/>
      <c r="U54" s="2283"/>
      <c r="V54" s="2283"/>
      <c r="W54" s="2283"/>
      <c r="X54" s="2283"/>
      <c r="Y54" s="2283"/>
      <c r="Z54" s="2283"/>
    </row>
    <row r="55" spans="2:26">
      <c r="B55" s="2283"/>
      <c r="C55" s="2284">
        <v>38289</v>
      </c>
      <c r="D55" s="2283">
        <v>5.22</v>
      </c>
      <c r="E55" s="2283">
        <v>5.58</v>
      </c>
      <c r="F55" s="2283">
        <v>5.76</v>
      </c>
      <c r="G55" s="2283">
        <v>5.85</v>
      </c>
      <c r="H55" s="2283">
        <v>6.12</v>
      </c>
      <c r="I55" s="2283">
        <v>3.78</v>
      </c>
      <c r="J55" s="2283">
        <v>4.2300000000000004</v>
      </c>
      <c r="L55" s="2283"/>
      <c r="M55" s="2284"/>
      <c r="N55" s="2283"/>
      <c r="O55" s="2283"/>
      <c r="P55" s="2283"/>
      <c r="Q55" s="2283"/>
      <c r="R55" s="2283"/>
      <c r="S55" s="2283"/>
      <c r="T55" s="2283"/>
      <c r="U55" s="2283"/>
      <c r="V55" s="2283"/>
      <c r="W55" s="2283"/>
      <c r="X55" s="2283"/>
      <c r="Y55" s="2283"/>
      <c r="Z55" s="2283"/>
    </row>
    <row r="56" spans="2:26">
      <c r="B56" s="2283"/>
      <c r="C56" s="2284">
        <v>37308</v>
      </c>
      <c r="D56" s="2283">
        <v>5.04</v>
      </c>
      <c r="E56" s="2283">
        <v>5.31</v>
      </c>
      <c r="F56" s="2283">
        <v>5.49</v>
      </c>
      <c r="G56" s="2283">
        <v>5.58</v>
      </c>
      <c r="H56" s="2283">
        <v>5.76</v>
      </c>
      <c r="I56" s="2283">
        <v>3.6</v>
      </c>
      <c r="J56" s="2283">
        <v>4.05</v>
      </c>
      <c r="L56" s="2283"/>
      <c r="M56" s="2284"/>
      <c r="N56" s="2283"/>
      <c r="O56" s="2283"/>
      <c r="P56" s="2283"/>
      <c r="Q56" s="2283"/>
      <c r="R56" s="2283"/>
      <c r="S56" s="2283"/>
      <c r="T56" s="2283"/>
      <c r="U56" s="2283"/>
      <c r="V56" s="2283"/>
      <c r="W56" s="2283"/>
      <c r="X56" s="2283"/>
      <c r="Y56" s="2283"/>
      <c r="Z56" s="2283"/>
    </row>
    <row r="57" spans="2:26">
      <c r="B57" s="2283"/>
      <c r="C57" s="2284">
        <v>36321</v>
      </c>
      <c r="D57" s="2283">
        <v>5.58</v>
      </c>
      <c r="E57" s="2283">
        <v>5.85</v>
      </c>
      <c r="F57" s="2283">
        <v>5.94</v>
      </c>
      <c r="G57" s="2283">
        <v>6.03</v>
      </c>
      <c r="H57" s="2283">
        <v>6.21</v>
      </c>
      <c r="I57" s="2283">
        <v>4.1399999999999997</v>
      </c>
      <c r="J57" s="2283">
        <v>4.59</v>
      </c>
      <c r="L57" s="2283"/>
      <c r="M57" s="2284"/>
      <c r="N57" s="2283"/>
      <c r="O57" s="2283"/>
      <c r="P57" s="2283"/>
      <c r="Q57" s="2283"/>
      <c r="R57" s="2283"/>
      <c r="S57" s="2283"/>
      <c r="T57" s="2283"/>
      <c r="U57" s="2283"/>
      <c r="V57" s="2283"/>
      <c r="W57" s="2283"/>
      <c r="X57" s="2283"/>
      <c r="Y57" s="2283"/>
      <c r="Z57" s="2283"/>
    </row>
    <row r="58" spans="2:26">
      <c r="B58" s="2283"/>
      <c r="C58" s="2284">
        <v>36136</v>
      </c>
      <c r="D58" s="2283">
        <v>6.12</v>
      </c>
      <c r="E58" s="2283">
        <v>6.39</v>
      </c>
      <c r="F58" s="2283">
        <v>6.66</v>
      </c>
      <c r="G58" s="2283">
        <v>7.2</v>
      </c>
      <c r="H58" s="2283">
        <v>7.56</v>
      </c>
      <c r="I58" s="2283">
        <v>0</v>
      </c>
      <c r="J58" s="2283">
        <v>0</v>
      </c>
    </row>
    <row r="59" spans="2:26">
      <c r="B59" s="2283"/>
      <c r="C59" s="2284">
        <v>35977</v>
      </c>
      <c r="D59" s="2283">
        <v>6.57</v>
      </c>
      <c r="E59" s="2283">
        <v>6.93</v>
      </c>
      <c r="F59" s="2283">
        <v>7.11</v>
      </c>
      <c r="G59" s="2283">
        <v>7.65</v>
      </c>
      <c r="H59" s="2283">
        <v>8.01</v>
      </c>
      <c r="I59" s="2283">
        <v>0</v>
      </c>
      <c r="J59" s="2283">
        <v>0</v>
      </c>
    </row>
    <row r="60" spans="2:26">
      <c r="B60" s="2283"/>
      <c r="C60" s="2284">
        <v>35879</v>
      </c>
      <c r="D60" s="2283">
        <v>7.02</v>
      </c>
      <c r="E60" s="2283">
        <v>7.92</v>
      </c>
      <c r="F60" s="2283">
        <v>9</v>
      </c>
      <c r="G60" s="2283">
        <v>9.7200000000000006</v>
      </c>
      <c r="H60" s="2283">
        <v>10.35</v>
      </c>
      <c r="I60" s="2283">
        <v>0</v>
      </c>
      <c r="J60" s="2283">
        <v>0</v>
      </c>
    </row>
    <row r="61" spans="2:26">
      <c r="B61" s="2283"/>
      <c r="C61" s="2284">
        <v>35726</v>
      </c>
      <c r="D61" s="2283">
        <v>7.65</v>
      </c>
      <c r="E61" s="2283">
        <v>8.64</v>
      </c>
      <c r="F61" s="2283">
        <v>9.36</v>
      </c>
      <c r="G61" s="2283">
        <v>9.9</v>
      </c>
      <c r="H61" s="2283">
        <v>10.53</v>
      </c>
      <c r="I61" s="2283">
        <v>0</v>
      </c>
      <c r="J61" s="2283">
        <v>0</v>
      </c>
    </row>
    <row r="62" spans="2:26">
      <c r="B62" s="2283"/>
      <c r="C62" s="2284">
        <v>35300</v>
      </c>
      <c r="D62" s="2283">
        <v>9.18</v>
      </c>
      <c r="E62" s="2283">
        <v>10.08</v>
      </c>
      <c r="F62" s="2283">
        <v>10.98</v>
      </c>
      <c r="G62" s="2283">
        <v>11.7</v>
      </c>
      <c r="H62" s="2283">
        <v>12.42</v>
      </c>
      <c r="I62" s="2283">
        <v>0</v>
      </c>
      <c r="J62" s="2283">
        <v>0</v>
      </c>
    </row>
    <row r="63" spans="2:26">
      <c r="B63" s="2283"/>
      <c r="C63" s="2284">
        <v>35186</v>
      </c>
      <c r="D63" s="2283">
        <v>9.7200000000000006</v>
      </c>
      <c r="E63" s="2283">
        <v>10.98</v>
      </c>
      <c r="F63" s="2283">
        <v>13.14</v>
      </c>
      <c r="G63" s="2283">
        <v>14.94</v>
      </c>
      <c r="H63" s="2283">
        <v>15.12</v>
      </c>
      <c r="I63" s="2283">
        <v>0</v>
      </c>
      <c r="J63" s="2283">
        <v>0</v>
      </c>
    </row>
    <row r="64" spans="2:26">
      <c r="B64" s="2283"/>
      <c r="C64" s="2284">
        <v>34881</v>
      </c>
      <c r="D64" s="2283">
        <v>10.08</v>
      </c>
      <c r="E64" s="2283">
        <v>12.06</v>
      </c>
      <c r="F64" s="2283">
        <v>13.5</v>
      </c>
      <c r="G64" s="2283">
        <v>15.12</v>
      </c>
      <c r="H64" s="2283">
        <v>15.3</v>
      </c>
      <c r="I64" s="2283">
        <v>0</v>
      </c>
      <c r="J64" s="2283">
        <v>0</v>
      </c>
    </row>
    <row r="65" spans="2:10">
      <c r="B65" s="2283"/>
      <c r="C65" s="2284">
        <v>34700</v>
      </c>
      <c r="D65" s="2283">
        <v>9</v>
      </c>
      <c r="E65" s="2283">
        <v>10.98</v>
      </c>
      <c r="F65" s="2283">
        <v>12.96</v>
      </c>
      <c r="G65" s="2283">
        <v>14.58</v>
      </c>
      <c r="H65" s="2283">
        <v>14.76</v>
      </c>
      <c r="I65" s="2283">
        <v>0</v>
      </c>
      <c r="J65" s="2283">
        <v>0</v>
      </c>
    </row>
    <row r="66" spans="2:10">
      <c r="B66" s="2283"/>
      <c r="C66" s="2284">
        <v>34161</v>
      </c>
      <c r="D66" s="2283">
        <v>9</v>
      </c>
      <c r="E66" s="2283">
        <v>10.98</v>
      </c>
      <c r="F66" s="2283">
        <v>12.24</v>
      </c>
      <c r="G66" s="2283">
        <v>13.86</v>
      </c>
      <c r="H66" s="2283">
        <v>14.04</v>
      </c>
      <c r="I66" s="2283">
        <v>0</v>
      </c>
      <c r="J66" s="2283">
        <v>0</v>
      </c>
    </row>
    <row r="67" spans="2:10">
      <c r="B67" s="2283"/>
      <c r="C67" s="2284">
        <v>34104</v>
      </c>
      <c r="D67" s="2283">
        <v>8.82</v>
      </c>
      <c r="E67" s="2283">
        <v>9.36</v>
      </c>
      <c r="F67" s="2283">
        <v>10.8</v>
      </c>
      <c r="G67" s="2283">
        <v>12.06</v>
      </c>
      <c r="H67" s="2283">
        <v>12.24</v>
      </c>
      <c r="I67" s="2283">
        <v>0</v>
      </c>
      <c r="J67" s="2283">
        <v>0</v>
      </c>
    </row>
    <row r="68" spans="2:10">
      <c r="B68" s="2283"/>
      <c r="C68" s="2284">
        <v>33349</v>
      </c>
      <c r="D68" s="2283">
        <v>8.1</v>
      </c>
      <c r="E68" s="2283">
        <v>8.64</v>
      </c>
      <c r="F68" s="2283">
        <v>9</v>
      </c>
      <c r="G68" s="2283">
        <v>9.5399999999999991</v>
      </c>
      <c r="H68" s="2283">
        <v>9.7200000000000006</v>
      </c>
      <c r="I68" s="2283">
        <v>0</v>
      </c>
      <c r="J68" s="2283">
        <v>0</v>
      </c>
    </row>
    <row r="69" spans="2:10">
      <c r="B69" s="2283"/>
      <c r="C69" s="2284">
        <v>33318</v>
      </c>
      <c r="D69" s="2283">
        <v>9</v>
      </c>
      <c r="E69" s="2283">
        <v>10.08</v>
      </c>
      <c r="F69" s="2283">
        <v>10.8</v>
      </c>
      <c r="G69" s="2283">
        <v>11.52</v>
      </c>
      <c r="H69" s="2283">
        <v>11.88</v>
      </c>
      <c r="I69" s="2283" t="s">
        <v>2093</v>
      </c>
      <c r="J69" s="2283" t="s">
        <v>2093</v>
      </c>
    </row>
    <row r="70" spans="2:10">
      <c r="B70" s="2283"/>
      <c r="C70" s="2284">
        <v>33106</v>
      </c>
      <c r="D70" s="2283">
        <v>8.64</v>
      </c>
      <c r="E70" s="2283">
        <v>9.36</v>
      </c>
      <c r="F70" s="2283">
        <v>10.08</v>
      </c>
      <c r="G70" s="2283">
        <v>10.8</v>
      </c>
      <c r="H70" s="2283">
        <v>11.16</v>
      </c>
      <c r="I70" s="2283">
        <v>0</v>
      </c>
      <c r="J70" s="2283">
        <v>0</v>
      </c>
    </row>
    <row r="71" spans="2:10">
      <c r="B71" s="2283"/>
      <c r="C71" s="2284">
        <v>32540</v>
      </c>
      <c r="D71" s="2283">
        <v>11.34</v>
      </c>
      <c r="E71" s="2283">
        <v>11.34</v>
      </c>
      <c r="F71" s="2283">
        <v>12.78</v>
      </c>
      <c r="G71" s="2283">
        <v>14.4</v>
      </c>
      <c r="H71" s="2283">
        <v>19.260000000000002</v>
      </c>
      <c r="I71" s="2283">
        <v>0</v>
      </c>
      <c r="J71" s="2283">
        <v>0</v>
      </c>
    </row>
    <row r="72" spans="2:10">
      <c r="B72" s="2283"/>
      <c r="C72" s="2284"/>
      <c r="D72" s="2283"/>
      <c r="E72" s="2283"/>
      <c r="F72" s="2283"/>
      <c r="G72" s="2283"/>
      <c r="H72" s="2283"/>
      <c r="I72" s="2283"/>
      <c r="J72" s="2283"/>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36"/>
      <c r="C76" s="2236"/>
      <c r="D76" s="2236"/>
      <c r="E76" s="2236"/>
      <c r="F76" s="2236"/>
      <c r="G76" s="2236"/>
      <c r="H76" s="2236"/>
      <c r="I76" s="2236"/>
      <c r="J76" s="2236"/>
    </row>
    <row r="77" spans="2:10">
      <c r="B77" s="2236"/>
      <c r="C77" s="2236"/>
      <c r="D77" s="2236"/>
      <c r="E77" s="2236"/>
      <c r="F77" s="2236"/>
      <c r="G77" s="2236"/>
      <c r="H77" s="2236"/>
      <c r="I77" s="2236"/>
      <c r="J77" s="2236"/>
    </row>
  </sheetData>
  <sheetProtection password="CEE9" sheet="1" objects="1" scenarios="1"/>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
    <tabColor rgb="FF00B0F0"/>
    <pageSetUpPr fitToPage="1"/>
  </sheetPr>
  <dimension ref="A1:AG76"/>
  <sheetViews>
    <sheetView view="pageBreakPreview" zoomScale="60" zoomScaleNormal="60" workbookViewId="0">
      <selection activeCell="C34" sqref="C3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3305</v>
      </c>
      <c r="D1" s="2362" t="s">
        <v>877</v>
      </c>
      <c r="E1" s="1947" t="s">
        <v>1726</v>
      </c>
      <c r="F1" s="1948">
        <f ca="1">J53</f>
        <v>0</v>
      </c>
      <c r="G1" s="2757">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t="e">
        <f ca="1">C40+J29+L46</f>
        <v>#DIV/0!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1800</v>
      </c>
      <c r="C5" s="51">
        <f ca="1">C6+C10+C12</f>
        <v>0</v>
      </c>
      <c r="D5" s="2001" t="s">
        <v>1803</v>
      </c>
      <c r="E5" s="1995"/>
      <c r="F5" s="1996"/>
      <c r="G5" s="1668"/>
      <c r="H5" s="716">
        <v>1</v>
      </c>
      <c r="I5" s="717" t="s">
        <v>1800</v>
      </c>
      <c r="J5" s="51">
        <f ca="1">J6+J10+J12</f>
        <v>0</v>
      </c>
      <c r="K5" s="2001" t="s">
        <v>1803</v>
      </c>
      <c r="L5" s="1995"/>
      <c r="M5" s="1996"/>
    </row>
    <row r="6" spans="1:33" ht="18" customHeight="1">
      <c r="A6" s="1521" t="s">
        <v>1353</v>
      </c>
      <c r="B6" s="3675" t="s">
        <v>1805</v>
      </c>
      <c r="C6" s="718">
        <f ca="1">ROUND(F6*F8*F7*(1-F9)/10000,0)</f>
        <v>0</v>
      </c>
      <c r="D6" s="2002" t="s">
        <v>1804</v>
      </c>
      <c r="E6" s="719" t="s">
        <v>1267</v>
      </c>
      <c r="F6" s="720">
        <f ca="1">INDIRECT("'数据-取费表'!u"&amp;$G$1)</f>
        <v>0</v>
      </c>
      <c r="G6" s="1668"/>
      <c r="H6" s="2009" t="s">
        <v>1810</v>
      </c>
      <c r="I6" s="3675" t="s">
        <v>1805</v>
      </c>
      <c r="J6" s="718">
        <f ca="1">ROUND(M6*M8*M7*(1-M9)/10000,0)</f>
        <v>0</v>
      </c>
      <c r="K6" s="315" t="s">
        <v>1266</v>
      </c>
      <c r="L6" s="719" t="s">
        <v>1267</v>
      </c>
      <c r="M6" s="720">
        <f ca="1">INDIRECT("'数据-取费表'!z"&amp;$G$1)</f>
        <v>0</v>
      </c>
    </row>
    <row r="7" spans="1:33" ht="18" customHeight="1">
      <c r="A7" s="2005"/>
      <c r="B7" s="3676"/>
      <c r="C7" s="723"/>
      <c r="D7" s="724"/>
      <c r="E7" s="719" t="s">
        <v>1268</v>
      </c>
      <c r="F7" s="720">
        <f ca="1">IF(INDIRECT("'数据-取费表'!ah"&amp;$G$1)="",INDIRECT("'数据-取费表'!k"&amp;$G$1),INDIRECT("'数据-取费表'!ah"&amp;$G$1))</f>
        <v>5896.96</v>
      </c>
      <c r="G7" s="1668"/>
      <c r="H7" s="1994"/>
      <c r="I7" s="3676"/>
      <c r="J7" s="723"/>
      <c r="K7" s="724"/>
      <c r="L7" s="719" t="s">
        <v>1268</v>
      </c>
      <c r="M7" s="720">
        <f ca="1">F7</f>
        <v>5896.96</v>
      </c>
    </row>
    <row r="8" spans="1:33" ht="18" customHeight="1">
      <c r="A8" s="1998"/>
      <c r="B8" s="3677"/>
      <c r="C8" s="723"/>
      <c r="D8" s="724"/>
      <c r="E8" s="719" t="s">
        <v>1269</v>
      </c>
      <c r="F8" s="720">
        <f ca="1">INDIRECT("'数据-取费表'!ai"&amp;$G$1)</f>
        <v>0</v>
      </c>
      <c r="G8" s="1668"/>
      <c r="H8" s="1994"/>
      <c r="I8" s="3677"/>
      <c r="J8" s="723"/>
      <c r="K8" s="724"/>
      <c r="L8" s="719" t="s">
        <v>1269</v>
      </c>
      <c r="M8" s="720">
        <f ca="1">INDIRECT("'数据-取费表'!ai"&amp;$G$1)</f>
        <v>0</v>
      </c>
    </row>
    <row r="9" spans="1:33" ht="18" customHeight="1">
      <c r="A9" s="721"/>
      <c r="B9" s="3678"/>
      <c r="C9" s="723"/>
      <c r="D9" s="724"/>
      <c r="E9" s="719" t="s">
        <v>1270</v>
      </c>
      <c r="F9" s="729">
        <f ca="1">INDIRECT("'数据-取费表'!w"&amp;$G$1)</f>
        <v>0</v>
      </c>
      <c r="G9" s="1668"/>
      <c r="H9" s="2010"/>
      <c r="I9" s="3677"/>
      <c r="J9" s="723"/>
      <c r="K9" s="724"/>
      <c r="L9" s="730" t="s">
        <v>1270</v>
      </c>
      <c r="M9" s="731">
        <f ca="1">INDIRECT("'数据-取费表'!ab"&amp;$G$1)</f>
        <v>0</v>
      </c>
    </row>
    <row r="10" spans="1:33" ht="18" customHeight="1">
      <c r="A10" s="1521" t="s">
        <v>1808</v>
      </c>
      <c r="B10" s="1999" t="s">
        <v>1801</v>
      </c>
      <c r="C10" s="734">
        <f ca="1">ROUND(IF(F10="押一",C6/12*F11,IF(F10="押二",C6/12*2*F11,IF(F10="押三",C6/12*3*F11,C11*F11))),0)</f>
        <v>0</v>
      </c>
      <c r="D10" s="2006" t="s">
        <v>2225</v>
      </c>
      <c r="E10" s="2003" t="s">
        <v>1806</v>
      </c>
      <c r="F10" s="2076"/>
      <c r="G10" s="1668"/>
      <c r="H10" s="2037" t="s">
        <v>1811</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1807</v>
      </c>
      <c r="F11" s="731">
        <f ca="1">'数据-取费表'!B39</f>
        <v>1.4999999999999999E-2</v>
      </c>
      <c r="G11" s="1668"/>
      <c r="H11" s="2038"/>
      <c r="I11" s="2000" t="s">
        <v>1854</v>
      </c>
      <c r="J11" s="2004"/>
      <c r="K11" s="287"/>
      <c r="L11" s="2003" t="s">
        <v>1807</v>
      </c>
      <c r="M11" s="1997">
        <f ca="1">'数据-取费表'!B39</f>
        <v>1.4999999999999999E-2</v>
      </c>
    </row>
    <row r="12" spans="1:33" ht="18" customHeight="1" thickBot="1">
      <c r="A12" s="2013" t="s">
        <v>1809</v>
      </c>
      <c r="B12" s="2014" t="s">
        <v>1802</v>
      </c>
      <c r="C12" s="2015"/>
      <c r="D12" s="2016"/>
      <c r="E12" s="2017"/>
      <c r="F12" s="2018"/>
      <c r="G12" s="1668"/>
      <c r="H12" s="2027" t="s">
        <v>1812</v>
      </c>
      <c r="I12" s="2039" t="s">
        <v>1802</v>
      </c>
      <c r="J12" s="2040"/>
      <c r="K12" s="2016"/>
      <c r="L12" s="2017"/>
      <c r="M12" s="2030"/>
    </row>
    <row r="13" spans="1:33" ht="18" customHeight="1" thickTop="1">
      <c r="A13" s="1520">
        <v>2</v>
      </c>
      <c r="B13" s="1518" t="s">
        <v>1271</v>
      </c>
      <c r="C13" s="727">
        <f ca="1">ROUND(C29*F13,0)</f>
        <v>0</v>
      </c>
      <c r="D13" s="1525" t="s">
        <v>1652</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3669</v>
      </c>
      <c r="D14" s="905" t="s">
        <v>1274</v>
      </c>
      <c r="E14" s="904"/>
      <c r="F14" s="740"/>
      <c r="G14" s="1668"/>
      <c r="H14" s="1369" t="s">
        <v>1359</v>
      </c>
      <c r="I14" s="1825" t="s">
        <v>2101</v>
      </c>
      <c r="J14" s="49">
        <f ca="1">C29</f>
        <v>5112</v>
      </c>
      <c r="K14" s="22"/>
      <c r="L14" s="736"/>
      <c r="M14" s="737"/>
    </row>
    <row r="15" spans="1:33" s="1676" customFormat="1" ht="18" customHeight="1" thickBot="1">
      <c r="A15" s="1368" t="s">
        <v>1410</v>
      </c>
      <c r="B15" s="719" t="s">
        <v>595</v>
      </c>
      <c r="C15" s="49">
        <f ca="1">ROUND(C14*F15,0)</f>
        <v>183</v>
      </c>
      <c r="D15" s="741" t="s">
        <v>1275</v>
      </c>
      <c r="E15" s="741" t="s">
        <v>1276</v>
      </c>
      <c r="F15" s="742">
        <f>'数据-取费表'!B33</f>
        <v>0.05</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0</v>
      </c>
      <c r="K16" s="1514" t="s">
        <v>1279</v>
      </c>
      <c r="L16" s="908"/>
      <c r="M16" s="1996"/>
    </row>
    <row r="17" spans="1:33" s="1676" customFormat="1" ht="18" customHeight="1">
      <c r="A17" s="1368" t="s">
        <v>1412</v>
      </c>
      <c r="B17" s="719" t="s">
        <v>601</v>
      </c>
      <c r="C17" s="49">
        <f ca="1">ROUND(F17*(F43+INDIRECT("'数据-取费表'!S"&amp;$G$1))/10000,0)</f>
        <v>124</v>
      </c>
      <c r="D17" s="719" t="s">
        <v>1280</v>
      </c>
      <c r="E17" s="719" t="s">
        <v>1281</v>
      </c>
      <c r="F17" s="52">
        <f>'数据-取费表'!B35</f>
        <v>200</v>
      </c>
      <c r="G17" s="2759"/>
      <c r="H17" s="1369" t="s">
        <v>1359</v>
      </c>
      <c r="I17" s="719" t="s">
        <v>604</v>
      </c>
      <c r="J17" s="2554">
        <f ca="1">ROUND(IF(AND(项目基本情况!B11="自然人",项目基本情况!B10="北京市"),J6*M17/(1+'数据-取费表'!C42),J18+J19+J20),2)</f>
        <v>0.31</v>
      </c>
      <c r="K17" s="905" t="s">
        <v>1282</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73</v>
      </c>
      <c r="D18" s="719" t="s">
        <v>1275</v>
      </c>
      <c r="E18" s="719" t="s">
        <v>1276</v>
      </c>
      <c r="F18" s="744">
        <f>'数据-取费表'!B36</f>
        <v>0.02</v>
      </c>
      <c r="G18" s="2759"/>
      <c r="H18" s="1368" t="s">
        <v>1409</v>
      </c>
      <c r="I18" s="719" t="s">
        <v>1284</v>
      </c>
      <c r="J18" s="49">
        <f ca="1">ROUND(J6*M18/(1+'数据-取费表'!C42),2)</f>
        <v>0</v>
      </c>
      <c r="K18" s="906"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4049</v>
      </c>
      <c r="D19" s="241" t="s">
        <v>1286</v>
      </c>
      <c r="E19" s="914"/>
      <c r="F19" s="52"/>
      <c r="G19" s="1668"/>
      <c r="H19" s="1368" t="s">
        <v>1410</v>
      </c>
      <c r="I19" s="719" t="s">
        <v>1287</v>
      </c>
      <c r="J19" s="49">
        <f ca="1">IF(K19="按租金收入计税",ROUND(J6*M19/(1+'数据-取费表'!C42),1),ROUND(C29*F33*0.7,2))</f>
        <v>0</v>
      </c>
      <c r="K19" s="745" t="s">
        <v>3237</v>
      </c>
      <c r="L19" s="719" t="s">
        <v>1276</v>
      </c>
      <c r="M19" s="744">
        <f>IF(K19="按租金收入计税",'数据-取费表'!B51,'数据-取费表'!B50)</f>
        <v>0.12</v>
      </c>
    </row>
    <row r="20" spans="1:33" s="1676" customFormat="1" ht="18" customHeight="1">
      <c r="A20" s="1369" t="s">
        <v>1414</v>
      </c>
      <c r="B20" s="719" t="s">
        <v>613</v>
      </c>
      <c r="C20" s="49">
        <f ca="1">ROUND(C19*F20,0)</f>
        <v>81</v>
      </c>
      <c r="D20" s="746" t="s">
        <v>1288</v>
      </c>
      <c r="E20" s="719" t="s">
        <v>1276</v>
      </c>
      <c r="F20" s="744">
        <f>'数据-取费表'!B37</f>
        <v>0.02</v>
      </c>
      <c r="G20" s="2759"/>
      <c r="H20" s="1371" t="s">
        <v>1405</v>
      </c>
      <c r="I20" s="315" t="s">
        <v>1289</v>
      </c>
      <c r="J20" s="50">
        <f ca="1">ROUND(M20*M21/10000,2)</f>
        <v>0.31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1653</v>
      </c>
      <c r="E21" s="719" t="s">
        <v>1294</v>
      </c>
      <c r="F21" s="744">
        <f>'数据-取费表'!B38</f>
        <v>0.03</v>
      </c>
      <c r="G21" s="2759"/>
      <c r="H21" s="2011"/>
      <c r="I21" s="728"/>
      <c r="J21" s="65"/>
      <c r="K21" s="750"/>
      <c r="L21" s="719" t="s">
        <v>1295</v>
      </c>
      <c r="M21" s="720">
        <f ca="1">INDIRECT("'数据-取费表'!r"&amp;$G$1)</f>
        <v>2094.91</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0</v>
      </c>
      <c r="K22" s="906" t="s">
        <v>1298</v>
      </c>
      <c r="L22" s="719" t="s">
        <v>1276</v>
      </c>
      <c r="M22" s="751">
        <f ca="1">INDIRECT("'数据-取费表'!Ak"&amp;$G$1)</f>
        <v>0</v>
      </c>
    </row>
    <row r="23" spans="1:33" s="1676" customFormat="1" ht="18" customHeight="1">
      <c r="A23" s="1368" t="s">
        <v>1360</v>
      </c>
      <c r="B23" s="719" t="s">
        <v>1816</v>
      </c>
      <c r="C23" s="49">
        <f ca="1">ROUND(IF('数据-取费表'!B22&lt;=1,(C19+C20)*F24*F23/2,(C19+C20)*(POWER((1+F24),F23/2)-1)),0)</f>
        <v>128</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0</v>
      </c>
      <c r="K25" s="2024" t="s">
        <v>1306</v>
      </c>
      <c r="L25" s="2025"/>
      <c r="M25" s="2026"/>
    </row>
    <row r="26" spans="1:33" ht="18" customHeight="1">
      <c r="A26" s="1368" t="s">
        <v>1360</v>
      </c>
      <c r="B26" s="719" t="s">
        <v>1783</v>
      </c>
      <c r="C26" s="49">
        <f ca="1">ROUND((C19+C20)*F26,0)</f>
        <v>413</v>
      </c>
      <c r="D26" s="746" t="s">
        <v>1307</v>
      </c>
      <c r="E26" s="730" t="s">
        <v>1308</v>
      </c>
      <c r="F26" s="729">
        <f ca="1">INDIRECT("'数据-取费表'!q"&amp;$G$1)</f>
        <v>0.1</v>
      </c>
      <c r="G26" s="1668"/>
      <c r="H26" s="2007" t="s">
        <v>1309</v>
      </c>
      <c r="I26" s="1826" t="s">
        <v>2102</v>
      </c>
      <c r="J26" s="718">
        <f ca="1">IF(J5&lt;&gt;0,ROUND(J25*(1-((1+M28)/(1+M26))^M27)/(M26-M28),0),0)</f>
        <v>0</v>
      </c>
      <c r="K26" s="748" t="s">
        <v>1310</v>
      </c>
      <c r="L26" s="719" t="s">
        <v>1771</v>
      </c>
      <c r="M26" s="729">
        <f ca="1">INDIRECT("'数据-取费表'!I"&amp;$G$1)</f>
        <v>5.5E-2</v>
      </c>
    </row>
    <row r="27" spans="1:33" ht="18" customHeight="1">
      <c r="A27" s="1368" t="s">
        <v>1361</v>
      </c>
      <c r="B27" s="719" t="s">
        <v>633</v>
      </c>
      <c r="C27" s="49">
        <f ca="1">ROUND(F21*F26,4)</f>
        <v>3.0000000000000001E-3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1654</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5112</v>
      </c>
      <c r="D29" s="2021"/>
      <c r="E29" s="2022"/>
      <c r="F29" s="2023"/>
      <c r="G29" s="2759"/>
      <c r="H29" s="757" t="s">
        <v>1316</v>
      </c>
      <c r="I29" s="758" t="s">
        <v>1317</v>
      </c>
      <c r="J29" s="759">
        <f ca="1">ROUND(J26/(1+F40)^F41,0)</f>
        <v>0</v>
      </c>
      <c r="K29" s="760" t="s">
        <v>1318</v>
      </c>
      <c r="L29" s="761"/>
      <c r="M29" s="762">
        <f ca="1">INDIRECT("'数据-取费表'!k"&amp;$G$1)</f>
        <v>5896.96</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0</v>
      </c>
      <c r="D30" s="1514" t="s">
        <v>1320</v>
      </c>
      <c r="E30" s="908"/>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0.31</v>
      </c>
      <c r="D31" s="905" t="s">
        <v>1321</v>
      </c>
      <c r="E31" s="906" t="s">
        <v>1322</v>
      </c>
      <c r="F31" s="2553" t="str">
        <f>IF(项目基本情况!B11="企业","——",IF(M47="住宅",IF(F6*F7*F8/12/(1+'数据-取费表'!F30)&gt;100000,4%,2.5%),IF(F6*F7*F8/12/(1+'数据-取费表'!F30)&gt;100000,12%,7%)))</f>
        <v>——</v>
      </c>
      <c r="G31" s="1668"/>
      <c r="H31" s="2756" t="s">
        <v>2275</v>
      </c>
      <c r="I31" s="1678"/>
      <c r="J31" s="1679"/>
      <c r="K31" s="1636"/>
      <c r="L31" s="1680"/>
      <c r="M31" s="1681"/>
    </row>
    <row r="32" spans="1:33" ht="18" customHeight="1">
      <c r="A32" s="1368" t="s">
        <v>1360</v>
      </c>
      <c r="B32" s="719" t="s">
        <v>1323</v>
      </c>
      <c r="C32" s="49">
        <f ca="1">ROUND(C6*F32/(1+'数据-取费表'!C42),2)</f>
        <v>0</v>
      </c>
      <c r="D32" s="906"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3237</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0.31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2094.91</v>
      </c>
      <c r="G35" s="1668"/>
      <c r="H35" s="1677"/>
      <c r="I35" s="771" t="s">
        <v>1343</v>
      </c>
      <c r="J35" s="772">
        <f ca="1">ROUND(C13*J36,0)</f>
        <v>0</v>
      </c>
      <c r="K35" s="1689"/>
      <c r="L35" s="1688"/>
      <c r="M35" s="1688"/>
    </row>
    <row r="36" spans="1:18" ht="18" customHeight="1">
      <c r="A36" s="1369" t="s">
        <v>1414</v>
      </c>
      <c r="B36" s="719" t="s">
        <v>1331</v>
      </c>
      <c r="C36" s="49">
        <f ca="1">ROUND(C29*F36,2)</f>
        <v>0</v>
      </c>
      <c r="D36" s="906"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6"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2097</v>
      </c>
      <c r="C39" s="727">
        <f ca="1">C5-C30</f>
        <v>0</v>
      </c>
      <c r="D39" s="2024" t="s">
        <v>1335</v>
      </c>
      <c r="E39" s="2025"/>
      <c r="F39" s="2026"/>
      <c r="G39" s="1668"/>
      <c r="H39" s="1688"/>
      <c r="I39" s="771" t="s">
        <v>1347</v>
      </c>
      <c r="J39" s="779" t="e">
        <f ca="1">ROUND(J35/C39,3)</f>
        <v>#DIV/0!</v>
      </c>
      <c r="K39" s="1693"/>
      <c r="L39" s="1688"/>
      <c r="M39" s="1688"/>
    </row>
    <row r="40" spans="1:18" ht="18" customHeight="1">
      <c r="A40" s="716" t="s">
        <v>1420</v>
      </c>
      <c r="B40" s="1826" t="s">
        <v>1656</v>
      </c>
      <c r="C40" s="718">
        <f ca="1">ROUND(C39*(1-((1+F42)/(1+F40))^F41)/(F40-F42),0)</f>
        <v>0</v>
      </c>
      <c r="D40" s="748" t="s">
        <v>1336</v>
      </c>
      <c r="E40" s="719" t="s">
        <v>1771</v>
      </c>
      <c r="F40" s="729">
        <f ca="1">INDIRECT("'数据-取费表'!I"&amp;$G$1)</f>
        <v>5.5E-2</v>
      </c>
      <c r="G40" s="1668"/>
      <c r="H40" s="1668"/>
      <c r="I40" s="771" t="s">
        <v>1348</v>
      </c>
      <c r="J40" s="779" t="e">
        <f ca="1">1-J39</f>
        <v>#DIV/0!</v>
      </c>
      <c r="K40" s="1693"/>
      <c r="L40" s="1668"/>
      <c r="M40" s="1668"/>
    </row>
    <row r="41" spans="1:18" ht="18" customHeight="1">
      <c r="A41" s="721"/>
      <c r="B41" s="722"/>
      <c r="C41" s="723"/>
      <c r="D41" s="755" t="s">
        <v>1337</v>
      </c>
      <c r="E41" s="719" t="s">
        <v>2217</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5896.96</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0</v>
      </c>
      <c r="D46" s="2760"/>
      <c r="E46" s="2760"/>
      <c r="F46" s="2760"/>
      <c r="I46" s="1939" t="s">
        <v>1695</v>
      </c>
      <c r="J46" s="1940"/>
      <c r="K46" s="1941"/>
      <c r="L46" s="2374" t="e">
        <f ca="1">IF(OR(M47="住宅",D1="土地（套用方法）"),0,IF(L48&gt;J51,L60,J60))</f>
        <v>#DIV/0!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c r="K47" s="2371" t="s">
        <v>1701</v>
      </c>
      <c r="L47" s="2375">
        <f ca="1">INDIRECT("'数据-取费表'!d"&amp;$G$1)</f>
        <v>40</v>
      </c>
      <c r="M47" s="1330" t="str">
        <f>IF(ISNUMBER(FIND("住宅",C1)),"住宅","非住宅")</f>
        <v>非住宅</v>
      </c>
      <c r="O47" s="1954" t="s">
        <v>1727</v>
      </c>
      <c r="P47" s="1955" t="s">
        <v>1728</v>
      </c>
      <c r="Q47" s="1956" t="s">
        <v>1729</v>
      </c>
      <c r="R47" s="1955" t="s">
        <v>1730</v>
      </c>
    </row>
    <row r="48" spans="1:18" s="1672" customFormat="1" ht="18" customHeight="1" thickBot="1">
      <c r="A48" s="2084" t="s">
        <v>1818</v>
      </c>
      <c r="B48" s="2085" t="s">
        <v>1819</v>
      </c>
      <c r="C48" s="1935">
        <f ca="1">ROUND(F48*F50*F49*(1-F51)/10000,0)</f>
        <v>0</v>
      </c>
      <c r="D48" s="1936" t="s">
        <v>584</v>
      </c>
      <c r="E48" s="1937" t="s">
        <v>1651</v>
      </c>
      <c r="F48" s="1938">
        <f ca="1">M6</f>
        <v>0</v>
      </c>
      <c r="G48" s="1699"/>
      <c r="I48" s="2363" t="s">
        <v>1697</v>
      </c>
      <c r="J48" s="1943"/>
      <c r="K48" s="2372" t="s">
        <v>1703</v>
      </c>
      <c r="L48" s="1567">
        <f ca="1">INDIRECT("'数据-取费表'!f"&amp;$G$1)</f>
        <v>39.07</v>
      </c>
      <c r="M48" s="2761"/>
      <c r="O48" s="1957" t="s">
        <v>1731</v>
      </c>
      <c r="P48" s="1958" t="s">
        <v>1757</v>
      </c>
      <c r="Q48" s="1959">
        <f ca="1">C40+J29</f>
        <v>0</v>
      </c>
      <c r="R48" s="1958" t="s">
        <v>1732</v>
      </c>
    </row>
    <row r="49" spans="1:18" s="1672" customFormat="1" ht="18" customHeight="1" thickBot="1">
      <c r="A49" s="721"/>
      <c r="B49" s="722"/>
      <c r="C49" s="723"/>
      <c r="D49" s="724"/>
      <c r="E49" s="719" t="s">
        <v>1268</v>
      </c>
      <c r="F49" s="720">
        <f ca="1">F7</f>
        <v>5896.96</v>
      </c>
      <c r="G49" s="1699"/>
      <c r="H49" s="1702"/>
      <c r="I49" s="2363" t="s">
        <v>1698</v>
      </c>
      <c r="J49" s="1944"/>
      <c r="K49" s="2373" t="s">
        <v>1704</v>
      </c>
      <c r="L49" s="1566"/>
      <c r="M49" s="2761"/>
      <c r="O49" s="1957" t="s">
        <v>1733</v>
      </c>
      <c r="P49" s="1958" t="s">
        <v>1758</v>
      </c>
      <c r="Q49" s="1959" t="str">
        <f ca="1">J60</f>
        <v>0</v>
      </c>
      <c r="R49" s="1958" t="s">
        <v>1734</v>
      </c>
    </row>
    <row r="50" spans="1:18" s="1672" customFormat="1" ht="18" customHeight="1" thickBot="1">
      <c r="A50" s="721"/>
      <c r="B50" s="722"/>
      <c r="C50" s="723"/>
      <c r="D50" s="724"/>
      <c r="E50" s="719" t="s">
        <v>1269</v>
      </c>
      <c r="F50" s="720">
        <f ca="1">F8</f>
        <v>0</v>
      </c>
      <c r="H50" s="1702"/>
      <c r="I50" s="2363" t="s">
        <v>1699</v>
      </c>
      <c r="J50" s="2370">
        <f>SUMPRODUCT((I63:I65=J47)*(J62:L62=J48)*(J63:L65))</f>
        <v>0</v>
      </c>
      <c r="K50" s="2373" t="s">
        <v>1705</v>
      </c>
      <c r="L50" s="1566"/>
      <c r="M50" s="2761"/>
      <c r="O50" s="1960" t="s">
        <v>1735</v>
      </c>
      <c r="P50" s="1958" t="s">
        <v>1759</v>
      </c>
      <c r="Q50" s="1959">
        <f ca="1">C29</f>
        <v>5112</v>
      </c>
      <c r="R50" s="1958" t="s">
        <v>1732</v>
      </c>
    </row>
    <row r="51" spans="1:18" s="1672" customFormat="1" ht="18" customHeight="1" thickBot="1">
      <c r="A51" s="721"/>
      <c r="B51" s="722"/>
      <c r="C51" s="723"/>
      <c r="D51" s="724"/>
      <c r="E51" s="719" t="s">
        <v>588</v>
      </c>
      <c r="F51" s="1934"/>
      <c r="H51" s="1702"/>
      <c r="I51" s="2367" t="s">
        <v>1700</v>
      </c>
      <c r="J51" s="1567">
        <f>IF(J49="",J50,J49+J50-YEAR('数据-取费表'!B2))</f>
        <v>0</v>
      </c>
      <c r="K51" s="2363" t="s">
        <v>1706</v>
      </c>
      <c r="L51" s="2376">
        <f ca="1">ROUND(-PV(INDIRECT("'数据-取费表'!h"&amp;$G$1),J51,(C39-C13*J36),0),0)</f>
        <v>0</v>
      </c>
      <c r="M51" s="2761"/>
      <c r="O51" s="1960" t="s">
        <v>1736</v>
      </c>
      <c r="P51" s="1958" t="s">
        <v>1737</v>
      </c>
      <c r="Q51" s="1961" t="e">
        <f ca="1">J58</f>
        <v>#VALUE!</v>
      </c>
      <c r="R51" s="1962"/>
    </row>
    <row r="52" spans="1:18" s="1672" customFormat="1" ht="18" customHeight="1" thickBot="1">
      <c r="A52" s="716" t="s">
        <v>1817</v>
      </c>
      <c r="B52" s="1999" t="s">
        <v>1801</v>
      </c>
      <c r="C52" s="734">
        <f ca="1">ROUND(IF(F52="押一",C48/12*F11,IF(F52="押二",C48/12*2*F11,IF(F52="押三",C48/12*3*F11,C53*F11))),0)</f>
        <v>0</v>
      </c>
      <c r="D52" s="2006" t="s">
        <v>2226</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0</v>
      </c>
      <c r="K53" s="3679" t="s">
        <v>2219</v>
      </c>
      <c r="L53" s="3680"/>
      <c r="M53" s="2761"/>
      <c r="O53" s="1960" t="s">
        <v>1740</v>
      </c>
      <c r="P53" s="1958" t="s">
        <v>1741</v>
      </c>
      <c r="Q53" s="1959">
        <f ca="1">J53</f>
        <v>0</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696"/>
      <c r="M54" s="2761"/>
      <c r="O54" s="1957" t="s">
        <v>1743</v>
      </c>
      <c r="P54" s="1958" t="s">
        <v>1760</v>
      </c>
      <c r="Q54" s="1959">
        <f ca="1">Q48+Q49</f>
        <v>0</v>
      </c>
      <c r="R54" s="1962" t="s">
        <v>1744</v>
      </c>
    </row>
    <row r="55" spans="1:18" s="1672" customFormat="1" ht="18" customHeight="1" thickTop="1" thickBot="1">
      <c r="A55" s="732">
        <v>2</v>
      </c>
      <c r="B55" s="733" t="s">
        <v>592</v>
      </c>
      <c r="C55" s="734">
        <f ca="1">C13</f>
        <v>0</v>
      </c>
      <c r="D55" s="730"/>
      <c r="E55" s="730"/>
      <c r="F55" s="735"/>
      <c r="I55" s="2379" t="s">
        <v>1707</v>
      </c>
      <c r="J55" s="2352" t="e">
        <f ca="1">ROUND(IF(J47="钢混",J57/J50,1-(1-2%)*(J50-J57)/J50),3)</f>
        <v>#VALUE!</v>
      </c>
      <c r="K55" s="2380" t="s">
        <v>1708</v>
      </c>
      <c r="L55" s="1946"/>
      <c r="M55" s="2761"/>
      <c r="O55" s="1963" t="s">
        <v>1763</v>
      </c>
      <c r="P55" s="1144"/>
      <c r="Q55" s="1330"/>
      <c r="R55" s="1144"/>
    </row>
    <row r="56" spans="1:18" s="1672" customFormat="1" ht="42.75" customHeight="1" thickBot="1">
      <c r="A56" s="1370"/>
      <c r="B56" s="1825" t="s">
        <v>1657</v>
      </c>
      <c r="C56" s="49">
        <f ca="1">C29</f>
        <v>5112</v>
      </c>
      <c r="D56" s="906"/>
      <c r="E56" s="719"/>
      <c r="F56" s="744"/>
      <c r="I56" s="2381" t="s">
        <v>1709</v>
      </c>
      <c r="J56" s="2391"/>
      <c r="K56" s="2363" t="s">
        <v>1714</v>
      </c>
      <c r="L56" s="1567">
        <f ca="1">IF(L48&lt;J51,"——",L48-J51)</f>
        <v>39.07</v>
      </c>
      <c r="M56" s="2761"/>
      <c r="O56" s="1954" t="s">
        <v>1727</v>
      </c>
      <c r="P56" s="1955" t="s">
        <v>1728</v>
      </c>
      <c r="Q56" s="1956" t="s">
        <v>1729</v>
      </c>
      <c r="R56" s="1955" t="s">
        <v>1730</v>
      </c>
    </row>
    <row r="57" spans="1:18" s="1672" customFormat="1" ht="28.5" customHeight="1" thickBot="1">
      <c r="A57" s="732" t="s">
        <v>1277</v>
      </c>
      <c r="B57" s="733" t="s">
        <v>599</v>
      </c>
      <c r="C57" s="734">
        <f ca="1">ROUND(C58+C63+C64+C65,0)</f>
        <v>0</v>
      </c>
      <c r="D57" s="22" t="s">
        <v>1279</v>
      </c>
      <c r="E57" s="914"/>
      <c r="F57" s="52"/>
      <c r="I57" s="2382" t="s">
        <v>1710</v>
      </c>
      <c r="J57" s="2383" t="str">
        <f ca="1">IF(OR(M47="住宅",J51&lt;L48,J56="是"),"——",J51-L48)</f>
        <v>——</v>
      </c>
      <c r="K57" s="2363" t="s">
        <v>1715</v>
      </c>
      <c r="L57" s="1567">
        <f ca="1">IF(L48&lt;J51,"——",IF(L55="比较法",L49,IF(L55="基准地价",L50,L51)))</f>
        <v>0</v>
      </c>
      <c r="M57" s="2761"/>
      <c r="O57" s="1957" t="s">
        <v>1731</v>
      </c>
      <c r="P57" s="1958" t="s">
        <v>1761</v>
      </c>
      <c r="Q57" s="1959">
        <f ca="1">C40+J29</f>
        <v>0</v>
      </c>
      <c r="R57" s="1958" t="s">
        <v>1732</v>
      </c>
    </row>
    <row r="58" spans="1:18" s="1672" customFormat="1" ht="28.5" customHeight="1" thickBot="1">
      <c r="A58" s="1369" t="s">
        <v>1353</v>
      </c>
      <c r="B58" s="719" t="s">
        <v>604</v>
      </c>
      <c r="C58" s="2554">
        <f ca="1">ROUND(IF(AND(项目基本情况!B11="自然人",项目基本情况!B10="北京市"),C48*F58/(1+'数据-取费表'!C42),C59+C60+C61),2)</f>
        <v>0.31</v>
      </c>
      <c r="D58" s="905" t="s">
        <v>605</v>
      </c>
      <c r="E58" s="906" t="s">
        <v>637</v>
      </c>
      <c r="F58" s="2553" t="str">
        <f>IF(项目基本情况!B11="企业","——",IF('数据-取费表'!B10="住宅",IF(F48*F49*F50/12/(1+'数据-取费表'!F30)&gt;100000,4%,2.5%),IF(F48*F49*F50/12/(1+'数据-取费表'!F30)&gt;100000,12%,7%)))</f>
        <v>——</v>
      </c>
      <c r="I58" s="2382" t="s">
        <v>1711</v>
      </c>
      <c r="J58" s="2353" t="e">
        <f ca="1">IF(J55&lt;0.4,0.4,J55)</f>
        <v>#VALUE!</v>
      </c>
      <c r="K58" s="2363" t="s">
        <v>1716</v>
      </c>
      <c r="L58" s="1567" t="e">
        <f ca="1">ROUND(POWER(1+L52,L47-L48)*(POWER(1+L52,L48)-1)/(POWER(1+L52,L47)-1),4)</f>
        <v>#DIV/0!</v>
      </c>
      <c r="M58" s="2761"/>
      <c r="O58" s="1957" t="s">
        <v>1733</v>
      </c>
      <c r="P58" s="1958" t="s">
        <v>1764</v>
      </c>
      <c r="Q58" s="1959" t="e">
        <f ca="1">L60</f>
        <v>#DIV/0!</v>
      </c>
      <c r="R58" s="1962" t="s">
        <v>1766</v>
      </c>
    </row>
    <row r="59" spans="1:18" s="1672" customFormat="1" ht="28.5" customHeight="1" thickBot="1">
      <c r="A59" s="1368" t="s">
        <v>1360</v>
      </c>
      <c r="B59" s="719" t="s">
        <v>608</v>
      </c>
      <c r="C59" s="49">
        <f ca="1">ROUND(C47*F59/1.05,2)</f>
        <v>0</v>
      </c>
      <c r="D59" s="906" t="s">
        <v>1285</v>
      </c>
      <c r="E59" s="719" t="s">
        <v>1276</v>
      </c>
      <c r="F59" s="744">
        <f t="shared" ref="F59:F65" si="0">F32</f>
        <v>5.5000000000000007E-2</v>
      </c>
      <c r="I59" s="2382" t="s">
        <v>1712</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4" t="s">
        <v>1713</v>
      </c>
      <c r="J60" s="2385" t="str">
        <f ca="1">IF(OR(M47="住宅",J51&lt;L48,J56="是"),"0",ROUND(J59/(1+J52)^J53,0))</f>
        <v>0</v>
      </c>
      <c r="K60" s="2386" t="s">
        <v>1718</v>
      </c>
      <c r="L60" s="2385" t="e">
        <f ca="1">IF(OR(M47="住宅",L48&lt;J51),0,ROUND(L57*(L58/L59-1),0))</f>
        <v>#DIV/0!</v>
      </c>
      <c r="M60" s="2761"/>
      <c r="O60" s="1960" t="s">
        <v>1736</v>
      </c>
      <c r="P60" s="1958" t="s">
        <v>1745</v>
      </c>
      <c r="Q60" s="1961">
        <f>L52</f>
        <v>0</v>
      </c>
      <c r="R60" s="1962"/>
    </row>
    <row r="61" spans="1:18" s="1672" customFormat="1" ht="18" customHeight="1" thickBot="1">
      <c r="A61" s="1371" t="s">
        <v>1362</v>
      </c>
      <c r="B61" s="315" t="s">
        <v>615</v>
      </c>
      <c r="C61" s="50">
        <f ca="1">ROUND(F61*F62/10000,2)</f>
        <v>0.31</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2094.91</v>
      </c>
      <c r="I62" s="2387" t="s">
        <v>1719</v>
      </c>
      <c r="J62" s="2388" t="s">
        <v>1720</v>
      </c>
      <c r="K62" s="2388" t="s">
        <v>1721</v>
      </c>
      <c r="L62" s="2388" t="s">
        <v>1702</v>
      </c>
      <c r="M62" s="2389" t="s">
        <v>2198</v>
      </c>
      <c r="O62" s="1960" t="s">
        <v>1740</v>
      </c>
      <c r="P62" s="1958" t="str">
        <f>K59</f>
        <v>建筑物剩余耐用年限下的土地年期修正系数Kn</v>
      </c>
      <c r="Q62" s="1959" t="e">
        <f ca="1">L59</f>
        <v>#DIV/0!</v>
      </c>
      <c r="R62" s="1962" t="s">
        <v>1749</v>
      </c>
    </row>
    <row r="63" spans="1:18" s="1672" customFormat="1" ht="15.75" thickBot="1">
      <c r="A63" s="1369" t="s">
        <v>1414</v>
      </c>
      <c r="B63" s="719" t="s">
        <v>623</v>
      </c>
      <c r="C63" s="49">
        <f ca="1">ROUND(C56*F63,2)</f>
        <v>0</v>
      </c>
      <c r="D63" s="906" t="s">
        <v>1332</v>
      </c>
      <c r="E63" s="719" t="s">
        <v>1276</v>
      </c>
      <c r="F63" s="751">
        <f t="shared" ca="1" si="0"/>
        <v>0</v>
      </c>
      <c r="I63" s="2387" t="s">
        <v>1722</v>
      </c>
      <c r="J63" s="2388">
        <v>70</v>
      </c>
      <c r="K63" s="2388">
        <v>50</v>
      </c>
      <c r="L63" s="2388">
        <v>80</v>
      </c>
      <c r="M63" s="2390">
        <v>0.02</v>
      </c>
      <c r="O63" s="1957" t="s">
        <v>1743</v>
      </c>
      <c r="P63" s="1958" t="s">
        <v>1760</v>
      </c>
      <c r="Q63" s="1959" t="e">
        <f ca="1">Q57+Q58</f>
        <v>#DIV/0!</v>
      </c>
      <c r="R63" s="1962" t="s">
        <v>1744</v>
      </c>
    </row>
    <row r="64" spans="1:18" s="1672" customFormat="1" ht="16.5" thickBot="1">
      <c r="A64" s="1369" t="s">
        <v>1415</v>
      </c>
      <c r="B64" s="719" t="s">
        <v>626</v>
      </c>
      <c r="C64" s="49">
        <f ca="1">ROUND(C55*F64,2)</f>
        <v>0</v>
      </c>
      <c r="D64" s="906" t="s">
        <v>627</v>
      </c>
      <c r="E64" s="719" t="s">
        <v>1276</v>
      </c>
      <c r="F64" s="752">
        <f t="shared" ca="1" si="0"/>
        <v>0</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1276</v>
      </c>
      <c r="F65" s="729">
        <f t="shared" ca="1" si="0"/>
        <v>0</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0</v>
      </c>
      <c r="D66" s="905" t="s">
        <v>647</v>
      </c>
      <c r="E66" s="903"/>
      <c r="F66" s="754"/>
      <c r="K66" s="1696"/>
      <c r="O66" s="1957" t="s">
        <v>1731</v>
      </c>
      <c r="P66" s="1958" t="s">
        <v>1761</v>
      </c>
      <c r="Q66" s="1959">
        <f ca="1">C40+J29</f>
        <v>0</v>
      </c>
      <c r="R66" s="1958" t="s">
        <v>1732</v>
      </c>
    </row>
    <row r="67" spans="1:18" s="1672" customFormat="1" ht="20.25" thickBot="1">
      <c r="A67" s="716" t="s">
        <v>1309</v>
      </c>
      <c r="B67" s="1826" t="s">
        <v>1656</v>
      </c>
      <c r="C67" s="718">
        <f ca="1">ROUND(C66*(1-((1+F69)/(1+F67))^F68)/(F67-F69),0)</f>
        <v>0</v>
      </c>
      <c r="D67" s="748" t="s">
        <v>651</v>
      </c>
      <c r="E67" s="719" t="s">
        <v>652</v>
      </c>
      <c r="F67" s="729">
        <f ca="1">F40</f>
        <v>5.5E-2</v>
      </c>
      <c r="K67" s="1696"/>
      <c r="O67" s="1957" t="s">
        <v>1733</v>
      </c>
      <c r="P67" s="1958" t="s">
        <v>1764</v>
      </c>
      <c r="Q67" s="1959" t="e">
        <f ca="1">L60</f>
        <v>#DIV/0!</v>
      </c>
      <c r="R67" s="1962" t="s">
        <v>1766</v>
      </c>
    </row>
    <row r="68" spans="1:18" ht="21.75" thickBot="1">
      <c r="A68" s="721"/>
      <c r="B68" s="722"/>
      <c r="C68" s="723"/>
      <c r="D68" s="755" t="s">
        <v>1337</v>
      </c>
      <c r="E68" s="719" t="s">
        <v>1313</v>
      </c>
      <c r="F68" s="756">
        <f ca="1">F41</f>
        <v>0</v>
      </c>
      <c r="O68" s="1960" t="s">
        <v>1735</v>
      </c>
      <c r="P68" s="1958" t="s">
        <v>1765</v>
      </c>
      <c r="Q68" s="1964">
        <f ca="1">L51</f>
        <v>0</v>
      </c>
      <c r="R68" s="1965" t="s">
        <v>1768</v>
      </c>
    </row>
    <row r="69" spans="1:18" ht="20.25" thickBot="1">
      <c r="A69" s="725"/>
      <c r="B69" s="726"/>
      <c r="C69" s="727"/>
      <c r="D69" s="750"/>
      <c r="E69" s="719" t="s">
        <v>657</v>
      </c>
      <c r="F69" s="1934"/>
      <c r="O69" s="1960" t="s">
        <v>1736</v>
      </c>
      <c r="P69" s="1966" t="s">
        <v>1750</v>
      </c>
      <c r="Q69" s="1959">
        <f ca="1">ROUND(Q70-Q71*Q72,0)</f>
        <v>0</v>
      </c>
      <c r="R69" s="1962"/>
    </row>
    <row r="70" spans="1:18" ht="15.75" thickBot="1">
      <c r="A70" s="757" t="s">
        <v>1316</v>
      </c>
      <c r="B70" s="758" t="s">
        <v>1339</v>
      </c>
      <c r="C70" s="759">
        <f ca="1">ROUND(C67*10000/F70,0)</f>
        <v>0</v>
      </c>
      <c r="D70" s="760" t="s">
        <v>1340</v>
      </c>
      <c r="E70" s="761" t="s">
        <v>1341</v>
      </c>
      <c r="F70" s="762">
        <f ca="1">F43</f>
        <v>5896.96</v>
      </c>
      <c r="O70" s="1960" t="s">
        <v>1751</v>
      </c>
      <c r="P70" s="1966" t="s">
        <v>1752</v>
      </c>
      <c r="Q70" s="1959">
        <f ca="1">C39</f>
        <v>0</v>
      </c>
      <c r="R70" s="1958" t="s">
        <v>1732</v>
      </c>
    </row>
    <row r="71" spans="1:18" ht="15.75" thickBot="1">
      <c r="O71" s="1960" t="s">
        <v>1753</v>
      </c>
      <c r="P71" s="1966" t="s">
        <v>1754</v>
      </c>
      <c r="Q71" s="1959">
        <f ca="1">C13</f>
        <v>0</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建筑物剩余耐用年限下的土地年期修正系数Kn</v>
      </c>
      <c r="Q75" s="1959" t="e">
        <f ca="1">L59</f>
        <v>#DIV/0!</v>
      </c>
      <c r="R75" s="1962" t="s">
        <v>1749</v>
      </c>
    </row>
    <row r="76" spans="1:18" ht="15.75" thickBot="1">
      <c r="O76" s="1957" t="s">
        <v>1743</v>
      </c>
      <c r="P76" s="1958" t="s">
        <v>1760</v>
      </c>
      <c r="Q76" s="1959" t="e">
        <f ca="1">Q66+Q67</f>
        <v>#DIV/0!</v>
      </c>
      <c r="R76" s="1962"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 priority="4">
      <formula>$F$10="自定义"</formula>
    </cfRule>
  </conditionalFormatting>
  <conditionalFormatting sqref="C53">
    <cfRule type="expression" dxfId="5" priority="1">
      <formula>$F$52="自定义"</formula>
    </cfRule>
  </conditionalFormatting>
  <conditionalFormatting sqref="I55">
    <cfRule type="expression" dxfId="4" priority="8">
      <formula>$J$51&gt;$L$48</formula>
    </cfRule>
  </conditionalFormatting>
  <conditionalFormatting sqref="I60">
    <cfRule type="expression" dxfId="3" priority="6">
      <formula>$J$51&gt;$L$48</formula>
    </cfRule>
  </conditionalFormatting>
  <conditionalFormatting sqref="J11">
    <cfRule type="expression" dxfId="2" priority="2">
      <formula>$M$10="自定义"</formula>
    </cfRule>
  </conditionalFormatting>
  <conditionalFormatting sqref="K55">
    <cfRule type="expression" dxfId="1" priority="7">
      <formula>$L$48&gt;$J$51</formula>
    </cfRule>
  </conditionalFormatting>
  <conditionalFormatting sqref="K60">
    <cfRule type="expression" dxfId="0" priority="5">
      <formula>$L$48&gt;$J$51</formula>
    </cfRule>
  </conditionalFormatting>
  <dataValidations count="8">
    <dataValidation type="list" allowBlank="1" showInputMessage="1" showErrorMessage="1" sqref="C1:C3" xr:uid="{00000000-0002-0000-3000-000000000000}">
      <formula1>项目类型</formula1>
    </dataValidation>
    <dataValidation type="list" allowBlank="1" showInputMessage="1" showErrorMessage="1" sqref="K19" xr:uid="{00000000-0002-0000-3000-000001000000}">
      <formula1>"按租金收入计税,按房产原值计税"</formula1>
    </dataValidation>
    <dataValidation type="list" allowBlank="1" showInputMessage="1" showErrorMessage="1" sqref="D33" xr:uid="{00000000-0002-0000-3000-000002000000}">
      <formula1>"按租金收入计税,按房产原值计税,按票据"</formula1>
    </dataValidation>
    <dataValidation type="list" allowBlank="1" showInputMessage="1" showErrorMessage="1" sqref="J56" xr:uid="{00000000-0002-0000-3000-000003000000}">
      <formula1>估价范围判定</formula1>
    </dataValidation>
    <dataValidation type="list" allowBlank="1" showInputMessage="1" showErrorMessage="1" sqref="J47" xr:uid="{00000000-0002-0000-3000-000004000000}">
      <formula1>"钢,钢混,砖混"</formula1>
    </dataValidation>
    <dataValidation type="list" allowBlank="1" showInputMessage="1" showErrorMessage="1" sqref="J48" xr:uid="{00000000-0002-0000-3000-000005000000}">
      <formula1>"非生产用房,生产用房,受腐蚀的生产用房"</formula1>
    </dataValidation>
    <dataValidation type="list" allowBlank="1" showInputMessage="1" showErrorMessage="1" sqref="F10 M10 F52" xr:uid="{00000000-0002-0000-3000-000006000000}">
      <formula1>"押一,押二,押三,自定义"</formula1>
    </dataValidation>
    <dataValidation type="list" allowBlank="1" showInputMessage="1" showErrorMessage="1" sqref="D1" xr:uid="{00000000-0002-0000-30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0" t="s">
        <v>1554</v>
      </c>
      <c r="B1" s="3430"/>
      <c r="C1" s="3430"/>
      <c r="D1" s="3430"/>
      <c r="E1" s="3430"/>
      <c r="F1" s="3430"/>
      <c r="G1" s="3430"/>
      <c r="H1" s="3430"/>
      <c r="I1" s="3430"/>
      <c r="J1" s="3430"/>
      <c r="K1" s="3430"/>
      <c r="L1" s="3430"/>
      <c r="M1" s="3430"/>
      <c r="N1" s="3430"/>
      <c r="O1" s="3430"/>
      <c r="P1" s="3430"/>
      <c r="Q1" s="3430"/>
      <c r="R1" s="3430"/>
    </row>
    <row r="2" spans="1:18">
      <c r="A2" s="1502" t="s">
        <v>1556</v>
      </c>
      <c r="B2" s="1502"/>
      <c r="C2" s="1502"/>
      <c r="D2" s="1502"/>
      <c r="E2" s="1502"/>
      <c r="F2" s="1502"/>
      <c r="G2" s="1502"/>
      <c r="H2" s="1502"/>
      <c r="I2" s="1503"/>
      <c r="J2" s="1503"/>
      <c r="K2" s="1504" t="str">
        <f>"估价期日："&amp;TEXT(项目基本情况!D3,"yyyy年m月d日;;")</f>
        <v>估价期日：2024年11月21日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31" t="s">
        <v>1545</v>
      </c>
      <c r="B3" s="3431" t="s">
        <v>2011</v>
      </c>
      <c r="C3" s="3432" t="s">
        <v>1546</v>
      </c>
      <c r="D3" s="3431" t="s">
        <v>2015</v>
      </c>
      <c r="E3" s="3433" t="s">
        <v>1547</v>
      </c>
      <c r="F3" s="3433"/>
      <c r="G3" s="3433"/>
      <c r="H3" s="3433" t="s">
        <v>1548</v>
      </c>
      <c r="I3" s="3433"/>
      <c r="J3" s="3433"/>
      <c r="K3" s="3432" t="s">
        <v>1549</v>
      </c>
      <c r="L3" s="3432" t="s">
        <v>1550</v>
      </c>
      <c r="M3" s="3431" t="s">
        <v>2012</v>
      </c>
      <c r="N3" s="3431" t="str">
        <f>"（分摊）"&amp;项目基本情况!A17&amp;"国有建设用地使用权面积/㎡"</f>
        <v>（分摊）出让国有建设用地使用权面积/㎡</v>
      </c>
      <c r="O3" s="3431" t="s">
        <v>1579</v>
      </c>
      <c r="P3" s="3432" t="s">
        <v>1559</v>
      </c>
      <c r="Q3" s="3432" t="s">
        <v>1580</v>
      </c>
      <c r="R3" s="3432" t="s">
        <v>1551</v>
      </c>
    </row>
    <row r="4" spans="1:18" ht="36.75" customHeight="1">
      <c r="A4" s="3431"/>
      <c r="B4" s="3431"/>
      <c r="C4" s="3432"/>
      <c r="D4" s="3431"/>
      <c r="E4" s="1505" t="s">
        <v>1558</v>
      </c>
      <c r="F4" s="1505" t="s">
        <v>2024</v>
      </c>
      <c r="G4" s="1505" t="s">
        <v>1552</v>
      </c>
      <c r="H4" s="1505" t="s">
        <v>1553</v>
      </c>
      <c r="I4" s="1505" t="s">
        <v>2025</v>
      </c>
      <c r="J4" s="1505" t="s">
        <v>1552</v>
      </c>
      <c r="K4" s="3432"/>
      <c r="L4" s="3432"/>
      <c r="M4" s="3431"/>
      <c r="N4" s="3431"/>
      <c r="O4" s="3431"/>
      <c r="P4" s="3432"/>
      <c r="Q4" s="3432"/>
      <c r="R4" s="3432"/>
    </row>
    <row r="5" spans="1:18" ht="135" customHeight="1">
      <c r="A5" s="1602" t="s">
        <v>1935</v>
      </c>
      <c r="B5" s="2172" t="s">
        <v>1933</v>
      </c>
      <c r="C5" s="2089">
        <v>22</v>
      </c>
      <c r="D5" s="2088" t="s">
        <v>1934</v>
      </c>
      <c r="E5" s="1505" t="str">
        <f>项目基本情况!B12</f>
        <v>F1</v>
      </c>
      <c r="F5" s="2088">
        <v>258</v>
      </c>
      <c r="G5" s="1505">
        <f>项目基本情况!B13</f>
        <v>0</v>
      </c>
      <c r="H5" s="2088">
        <v>1.5</v>
      </c>
      <c r="I5" s="2088">
        <v>1.5</v>
      </c>
      <c r="J5" s="2088">
        <v>1.5</v>
      </c>
      <c r="K5" s="1505" t="str">
        <f>"红线外"&amp;项目基本情况!T40&amp;"、宗地红线内"&amp;项目基本情况!B35</f>
        <v>红线外七通、宗地红线内场地平整</v>
      </c>
      <c r="L5" s="1505" t="str">
        <f>"红线外"&amp;项目基本情况!T40&amp;"、宗地红线内场地"&amp;项目基本情况!D36</f>
        <v>红线外七通、宗地红线内场地平整</v>
      </c>
      <c r="M5" s="1505">
        <f>IF(项目基本情况!A17="出让",项目基本情况!D20,"——")</f>
        <v>0</v>
      </c>
      <c r="N5" s="1505">
        <f>项目基本情况!C22</f>
        <v>19518.45</v>
      </c>
      <c r="O5" s="1505">
        <f>项目基本情况!C21</f>
        <v>57989.509999999995</v>
      </c>
      <c r="P5" s="1505">
        <f ca="1">结果表!E42</f>
        <v>26621</v>
      </c>
      <c r="Q5" s="1505">
        <f ca="1">结果表!D42</f>
        <v>8960</v>
      </c>
      <c r="R5" s="1506">
        <f ca="1">结果表!C42</f>
        <v>51961</v>
      </c>
    </row>
    <row r="6" spans="1:18">
      <c r="A6" s="3434" t="str">
        <f>IF(项目基本情况!B9="市场价格","——","抵押价格")</f>
        <v>抵押价格</v>
      </c>
      <c r="B6" s="3435"/>
      <c r="C6" s="3435"/>
      <c r="D6" s="3435"/>
      <c r="E6" s="3435"/>
      <c r="F6" s="3435"/>
      <c r="G6" s="3435"/>
      <c r="H6" s="3435"/>
      <c r="I6" s="3435"/>
      <c r="J6" s="3435"/>
      <c r="K6" s="3435"/>
      <c r="L6" s="3435"/>
      <c r="M6" s="3435"/>
      <c r="N6" s="3435"/>
      <c r="O6" s="3435"/>
      <c r="P6" s="3435"/>
      <c r="Q6" s="3436"/>
      <c r="R6" s="1507">
        <f ca="1">结果表!O39</f>
        <v>51620</v>
      </c>
    </row>
    <row r="7" spans="1:18">
      <c r="A7" s="3434" t="str">
        <f>IF(项目基本情况!B9="市场价格","——",IF(项目基本情况!E8="已注销及未注销","抵押担保权已注销时的抵押价格","——"))</f>
        <v>——</v>
      </c>
      <c r="B7" s="3435"/>
      <c r="C7" s="3435"/>
      <c r="D7" s="3435"/>
      <c r="E7" s="3435"/>
      <c r="F7" s="3435"/>
      <c r="G7" s="3435"/>
      <c r="H7" s="3435"/>
      <c r="I7" s="3435"/>
      <c r="J7" s="3435"/>
      <c r="K7" s="3435"/>
      <c r="L7" s="3435"/>
      <c r="M7" s="3435"/>
      <c r="N7" s="3435"/>
      <c r="O7" s="3435"/>
      <c r="P7" s="3435"/>
      <c r="Q7" s="3436"/>
      <c r="R7" s="1507" t="str">
        <f>结果表!O40</f>
        <v>——</v>
      </c>
    </row>
    <row r="8" spans="1:18">
      <c r="A8" s="3434" t="str">
        <f>IF(项目基本情况!B9="市场价格","——",项目基本情况!E9)</f>
        <v>抵押净值</v>
      </c>
      <c r="B8" s="3435"/>
      <c r="C8" s="3435"/>
      <c r="D8" s="3435"/>
      <c r="E8" s="3435"/>
      <c r="F8" s="3435"/>
      <c r="G8" s="3435"/>
      <c r="H8" s="3435"/>
      <c r="I8" s="3435"/>
      <c r="J8" s="3435"/>
      <c r="K8" s="3435"/>
      <c r="L8" s="3435"/>
      <c r="M8" s="3435"/>
      <c r="N8" s="3435"/>
      <c r="O8" s="3435"/>
      <c r="P8" s="3435"/>
      <c r="Q8" s="3436"/>
      <c r="R8" s="1507">
        <f ca="1">结果表!O41</f>
        <v>48872</v>
      </c>
    </row>
    <row r="9" spans="1:18">
      <c r="A9" s="1508" t="s">
        <v>1557</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1544</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3"/>
  <sheetViews>
    <sheetView workbookViewId="0">
      <selection activeCell="D12" sqref="D12"/>
    </sheetView>
  </sheetViews>
  <sheetFormatPr defaultRowHeight="13.5"/>
  <cols>
    <col min="2" max="2" width="11.625" bestFit="1" customWidth="1"/>
  </cols>
  <sheetData>
    <row r="1" spans="1:4">
      <c r="A1" s="2746" t="s">
        <v>3280</v>
      </c>
    </row>
    <row r="2" spans="1:4">
      <c r="A2" s="2746" t="s">
        <v>3281</v>
      </c>
      <c r="B2" s="2746" t="s">
        <v>3283</v>
      </c>
    </row>
    <row r="3" spans="1:4">
      <c r="A3" s="2746" t="s">
        <v>3284</v>
      </c>
      <c r="B3">
        <v>21672.98</v>
      </c>
    </row>
    <row r="4" spans="1:4">
      <c r="A4" s="2746" t="s">
        <v>3285</v>
      </c>
      <c r="B4" s="2746" t="s">
        <v>3286</v>
      </c>
    </row>
    <row r="5" spans="1:4">
      <c r="A5" s="2746" t="s">
        <v>3287</v>
      </c>
      <c r="B5" s="2746" t="s">
        <v>3288</v>
      </c>
    </row>
    <row r="6" spans="1:4">
      <c r="A6" s="2746" t="s">
        <v>3289</v>
      </c>
      <c r="B6" s="2746" t="s">
        <v>3290</v>
      </c>
      <c r="C6" s="2746" t="s">
        <v>3291</v>
      </c>
      <c r="D6" s="2746" t="s">
        <v>3292</v>
      </c>
    </row>
    <row r="7" spans="1:4">
      <c r="B7">
        <v>70</v>
      </c>
      <c r="C7">
        <v>40</v>
      </c>
      <c r="D7">
        <v>50</v>
      </c>
    </row>
    <row r="8" spans="1:4">
      <c r="A8" s="2746" t="s">
        <v>3293</v>
      </c>
      <c r="B8">
        <v>50000</v>
      </c>
    </row>
    <row r="9" spans="1:4">
      <c r="A9" s="2746" t="s">
        <v>3294</v>
      </c>
      <c r="B9">
        <v>11535</v>
      </c>
    </row>
    <row r="10" spans="1:4">
      <c r="A10" s="2746" t="s">
        <v>3295</v>
      </c>
      <c r="B10">
        <v>43345.96</v>
      </c>
      <c r="C10" s="2746" t="s">
        <v>3290</v>
      </c>
      <c r="D10" s="2746" t="s">
        <v>3299</v>
      </c>
    </row>
    <row r="11" spans="1:4">
      <c r="A11" s="2746" t="s">
        <v>3296</v>
      </c>
      <c r="B11">
        <v>2</v>
      </c>
      <c r="C11">
        <v>34676.767999999996</v>
      </c>
      <c r="D11">
        <v>8669.1919999999991</v>
      </c>
    </row>
    <row r="12" spans="1:4">
      <c r="A12" s="2746" t="s">
        <v>3297</v>
      </c>
      <c r="B12" s="3388">
        <v>45637</v>
      </c>
    </row>
    <row r="13" spans="1:4">
      <c r="A13" s="2746" t="s">
        <v>3298</v>
      </c>
      <c r="B13" s="3388">
        <v>46732</v>
      </c>
    </row>
  </sheetData>
  <phoneticPr fontId="22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38" t="s">
        <v>1581</v>
      </c>
      <c r="B1" s="3438"/>
      <c r="C1" s="3438"/>
      <c r="D1" s="3438"/>
    </row>
    <row r="2" spans="1:4" ht="47.25" customHeight="1">
      <c r="A2" s="3439" t="str">
        <f>"1.权利限制："&amp;项目基本情况!L24&amp;"未设定租赁等其他他项权利。"</f>
        <v>1.权利限制：根据估价对象《不动产权证书》复印件、，截至估价期日，估价对象抵押权未见登记。未设定租赁等其他他项权利。</v>
      </c>
      <c r="B2" s="3439"/>
      <c r="C2" s="3439"/>
      <c r="D2" s="3439"/>
    </row>
    <row r="3" spans="1:4" ht="48" customHeight="1">
      <c r="A3" s="343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38"/>
      <c r="C3" s="3438"/>
      <c r="D3" s="3438"/>
    </row>
    <row r="4" spans="1:4" ht="36.75" customHeight="1">
      <c r="A4" s="3438" t="str">
        <f>"3.估价规划限制条件：详见"&amp;项目基本情况!E21&amp;"。"</f>
        <v>3.估价规划限制条件：详见《建设工程规划许可证》[]、《出让合同》[]。</v>
      </c>
      <c r="B4" s="3438"/>
      <c r="C4" s="3438"/>
      <c r="D4" s="3438"/>
    </row>
    <row r="5" spans="1:4">
      <c r="A5" s="3437" t="s">
        <v>1582</v>
      </c>
      <c r="B5" s="3437"/>
      <c r="C5" s="3437"/>
      <c r="D5" s="3437"/>
    </row>
    <row r="6" spans="1:4">
      <c r="A6" s="3438" t="s">
        <v>1560</v>
      </c>
      <c r="B6" s="3438"/>
      <c r="C6" s="3438"/>
      <c r="D6" s="3438"/>
    </row>
    <row r="7" spans="1:4" ht="33" customHeight="1">
      <c r="A7" s="3438" t="s">
        <v>1855</v>
      </c>
      <c r="B7" s="3438"/>
      <c r="C7" s="3438"/>
      <c r="D7" s="3438"/>
    </row>
    <row r="8" spans="1:4" ht="32.25" customHeight="1">
      <c r="A8" s="34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8"/>
      <c r="C8" s="3438"/>
      <c r="D8" s="3438"/>
    </row>
    <row r="9" spans="1:4" ht="33.75" customHeight="1">
      <c r="A9" s="34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8"/>
      <c r="C9" s="3438"/>
      <c r="D9" s="3438"/>
    </row>
    <row r="10" spans="1:4">
      <c r="A10" s="3438" t="str">
        <f>IF(项目基本情况!B8="抵押","4.估价师所知悉的法定优先受偿款情况为：","——")</f>
        <v>4.估价师所知悉的法定优先受偿款情况为：</v>
      </c>
      <c r="B10" s="3438"/>
      <c r="C10" s="3438"/>
      <c r="D10" s="3438"/>
    </row>
    <row r="11" spans="1:4" ht="37.5" customHeight="1">
      <c r="A11" s="3438" t="str">
        <f>IF(项目基本情况!B8="抵押","（1）"&amp;CONCATENATE(项目基本情况!L24,项目基本情况!L25,项目基本情况!L26),"——")</f>
        <v>（1）根据估价对象《不动产权证书》复印件、，截至估价期日，估价对象抵押权未见登记。</v>
      </c>
      <c r="B11" s="3438"/>
      <c r="C11" s="3438"/>
      <c r="D11" s="3438"/>
    </row>
    <row r="12" spans="1:4" ht="168" customHeight="1">
      <c r="A12" s="3437" t="s">
        <v>1584</v>
      </c>
      <c r="B12" s="3437"/>
      <c r="C12" s="3437"/>
      <c r="D12" s="3437"/>
    </row>
    <row r="13" spans="1:4">
      <c r="A13" s="3440" t="s">
        <v>2026</v>
      </c>
      <c r="B13" s="3440"/>
      <c r="C13" s="3440"/>
      <c r="D13" s="3440"/>
    </row>
    <row r="14" spans="1:4">
      <c r="A14" s="3438" t="str">
        <f>IF(项目基本情况!B8="抵押","综上，"&amp;结果表!K47,"——")</f>
        <v>综上，本次评估估价师知悉的法定优先受偿款为人民币341万元整。</v>
      </c>
      <c r="B14" s="3438"/>
      <c r="C14" s="3438"/>
      <c r="D14" s="3438"/>
    </row>
    <row r="15" spans="1:4" ht="58.5" customHeight="1">
      <c r="A15" s="34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8"/>
      <c r="C15" s="3438"/>
      <c r="D15" s="3438"/>
    </row>
    <row r="16" spans="1:4" ht="70.5" customHeight="1">
      <c r="A16" s="34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8"/>
      <c r="C16" s="3438"/>
      <c r="D16" s="3438"/>
    </row>
    <row r="17" spans="1:4">
      <c r="A17" s="3438" t="s">
        <v>1982</v>
      </c>
      <c r="B17" s="3438"/>
      <c r="C17" s="3438"/>
      <c r="D17" s="3438"/>
    </row>
    <row r="18" spans="1:4">
      <c r="A18" s="3438" t="s">
        <v>1974</v>
      </c>
      <c r="B18" s="3438"/>
      <c r="C18" s="3438"/>
      <c r="D18" s="3438"/>
    </row>
    <row r="19" spans="1:4">
      <c r="A19" s="2173" t="s">
        <v>1975</v>
      </c>
      <c r="B19" s="2173" t="s">
        <v>1976</v>
      </c>
      <c r="C19" s="2173" t="s">
        <v>1977</v>
      </c>
      <c r="D19" s="2173" t="s">
        <v>1978</v>
      </c>
    </row>
    <row r="20" spans="1:4">
      <c r="A20" s="2173" t="str">
        <f>项目基本情况!B4</f>
        <v>吴薇</v>
      </c>
      <c r="B20" s="2173">
        <f ca="1">项目基本情况!C4</f>
        <v>2002110125</v>
      </c>
      <c r="C20" s="2175"/>
      <c r="D20" s="1496" t="s">
        <v>1983</v>
      </c>
    </row>
    <row r="21" spans="1:4">
      <c r="A21" s="2173" t="str">
        <f>项目基本情况!D4</f>
        <v>郑燚</v>
      </c>
      <c r="B21" s="2173">
        <f ca="1">项目基本情况!E4</f>
        <v>2014110011</v>
      </c>
      <c r="C21" s="2175"/>
      <c r="D21" s="1496" t="s">
        <v>1984</v>
      </c>
    </row>
    <row r="23" spans="1:4">
      <c r="A23" s="3438" t="s">
        <v>1979</v>
      </c>
      <c r="B23" s="3438"/>
      <c r="C23" s="3438"/>
      <c r="D23" s="3438"/>
    </row>
    <row r="24" spans="1:4">
      <c r="A24" s="2173" t="s">
        <v>1975</v>
      </c>
      <c r="B24" s="2173" t="s">
        <v>1980</v>
      </c>
      <c r="C24" s="2173" t="s">
        <v>1977</v>
      </c>
      <c r="D24" s="2173" t="s">
        <v>1978</v>
      </c>
    </row>
    <row r="25" spans="1:4">
      <c r="A25" s="2176" t="s">
        <v>1981</v>
      </c>
      <c r="B25" s="2173" t="s">
        <v>877</v>
      </c>
      <c r="C25" s="2175"/>
      <c r="D25" s="1496" t="s">
        <v>1984</v>
      </c>
    </row>
    <row r="29" spans="1:4">
      <c r="D29" s="2174" t="s">
        <v>1555</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48" t="s">
        <v>27</v>
      </c>
      <c r="B15" s="3449" t="s">
        <v>784</v>
      </c>
      <c r="C15" s="3445"/>
    </row>
    <row r="16" spans="1:7" ht="14.25">
      <c r="A16" s="3448"/>
      <c r="B16" s="3446" t="s">
        <v>28</v>
      </c>
      <c r="C16" s="1016" t="s">
        <v>27</v>
      </c>
    </row>
    <row r="17" spans="1:3" ht="14.25">
      <c r="A17" s="3448"/>
      <c r="B17" s="3446"/>
      <c r="C17" s="1016" t="s">
        <v>29</v>
      </c>
    </row>
    <row r="18" spans="1:3" ht="14.25">
      <c r="A18" s="3448"/>
      <c r="B18" s="3446"/>
      <c r="C18" s="1016" t="s">
        <v>30</v>
      </c>
    </row>
    <row r="19" spans="1:3" ht="14.25">
      <c r="A19" s="3448"/>
      <c r="B19" s="3444" t="s">
        <v>31</v>
      </c>
      <c r="C19" s="3445"/>
    </row>
    <row r="20" spans="1:3" ht="14.25">
      <c r="A20" s="1017" t="s">
        <v>32</v>
      </c>
      <c r="B20" s="1018"/>
      <c r="C20" s="1019"/>
    </row>
    <row r="21" spans="1:3" ht="14.25">
      <c r="A21" s="3447" t="s">
        <v>33</v>
      </c>
      <c r="B21" s="3444" t="s">
        <v>34</v>
      </c>
      <c r="C21" s="3445"/>
    </row>
    <row r="22" spans="1:3" ht="14.25">
      <c r="A22" s="3447"/>
      <c r="B22" s="3444" t="s">
        <v>35</v>
      </c>
      <c r="C22" s="3445"/>
    </row>
    <row r="23" spans="1:3" ht="14.25">
      <c r="A23" s="3447"/>
      <c r="B23" s="3444" t="s">
        <v>36</v>
      </c>
      <c r="C23" s="3445"/>
    </row>
    <row r="24" spans="1:3" ht="14.25">
      <c r="A24" s="3447"/>
      <c r="B24" s="3450" t="s">
        <v>37</v>
      </c>
      <c r="C24" s="1020" t="s">
        <v>775</v>
      </c>
    </row>
    <row r="25" spans="1:3" ht="14.25">
      <c r="A25" s="3447"/>
      <c r="B25" s="3451"/>
      <c r="C25" s="1020" t="s">
        <v>776</v>
      </c>
    </row>
    <row r="26" spans="1:3" ht="14.25">
      <c r="A26" s="3447"/>
      <c r="B26" s="3451"/>
      <c r="C26" s="1020" t="s">
        <v>777</v>
      </c>
    </row>
    <row r="27" spans="1:3" ht="14.25">
      <c r="A27" s="3447"/>
      <c r="B27" s="3451"/>
      <c r="C27" s="1020" t="s">
        <v>778</v>
      </c>
    </row>
    <row r="28" spans="1:3" ht="14.25">
      <c r="A28" s="3447"/>
      <c r="B28" s="3451"/>
      <c r="C28" s="1020" t="s">
        <v>779</v>
      </c>
    </row>
    <row r="29" spans="1:3" ht="14.25">
      <c r="A29" s="3447"/>
      <c r="B29" s="3451"/>
      <c r="C29" s="1020" t="s">
        <v>780</v>
      </c>
    </row>
    <row r="30" spans="1:3" ht="14.25">
      <c r="A30" s="3447"/>
      <c r="B30" s="3451"/>
      <c r="C30" s="1020" t="s">
        <v>781</v>
      </c>
    </row>
    <row r="31" spans="1:3" ht="14.25">
      <c r="A31" s="3447"/>
      <c r="B31" s="3451"/>
      <c r="C31" s="1020" t="s">
        <v>782</v>
      </c>
    </row>
    <row r="32" spans="1:3" ht="14.25">
      <c r="A32" s="3447"/>
      <c r="B32" s="3451"/>
      <c r="C32" s="1020" t="s">
        <v>1181</v>
      </c>
    </row>
    <row r="33" spans="1:3" ht="14.25">
      <c r="A33" s="3447"/>
      <c r="B33" s="3441" t="s">
        <v>1187</v>
      </c>
      <c r="C33" s="1020" t="s">
        <v>1182</v>
      </c>
    </row>
    <row r="34" spans="1:3" ht="14.25">
      <c r="A34" s="3447"/>
      <c r="B34" s="3442"/>
      <c r="C34" s="1025" t="s">
        <v>1183</v>
      </c>
    </row>
    <row r="35" spans="1:3" ht="14.25">
      <c r="A35" s="3447"/>
      <c r="B35" s="3442"/>
      <c r="C35" s="1026" t="s">
        <v>1184</v>
      </c>
    </row>
    <row r="36" spans="1:3" ht="14.25">
      <c r="A36" s="3447"/>
      <c r="B36" s="3442"/>
      <c r="C36" s="1026" t="s">
        <v>1185</v>
      </c>
    </row>
    <row r="37" spans="1:3" ht="14.25">
      <c r="A37" s="3447"/>
      <c r="B37" s="3443"/>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45622</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2232</v>
      </c>
      <c r="B12" s="2564">
        <f ca="1">IF(C12&lt;B2,"已过期",1120040230)</f>
        <v>1120040230</v>
      </c>
      <c r="C12" s="2567">
        <v>45937</v>
      </c>
      <c r="D12" s="2573" t="s">
        <v>2233</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2243</v>
      </c>
      <c r="B15" s="2564" t="str">
        <f ca="1">IF(C15&lt;B2,"已过期",1119980106)</f>
        <v>已过期</v>
      </c>
      <c r="C15" s="2567">
        <v>44969</v>
      </c>
      <c r="D15" s="2573"/>
      <c r="E15" s="2564"/>
      <c r="F15" s="2564"/>
      <c r="G15" s="2559"/>
    </row>
    <row r="16" spans="1:7" ht="20.25" customHeight="1">
      <c r="A16" s="2563" t="s">
        <v>2441</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455" t="s">
        <v>1448</v>
      </c>
      <c r="B18" s="3456"/>
      <c r="C18" s="3456"/>
      <c r="D18" s="3456"/>
      <c r="E18" s="3456"/>
      <c r="F18" s="3456"/>
      <c r="G18" s="2559"/>
    </row>
    <row r="19" spans="1:7" ht="20.25" customHeight="1">
      <c r="A19" s="3452" t="s">
        <v>1449</v>
      </c>
      <c r="B19" s="3452"/>
      <c r="C19" s="3453"/>
      <c r="D19" s="3454" t="s">
        <v>1450</v>
      </c>
      <c r="E19" s="3452"/>
      <c r="F19" s="3452"/>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2442</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96" priority="50" stopIfTrue="1" operator="equal">
      <formula>"已过期"</formula>
    </cfRule>
  </conditionalFormatting>
  <conditionalFormatting sqref="C4">
    <cfRule type="expression" dxfId="195" priority="3">
      <formula>AND($C4-TODAY()&lt;30,TODAY()&lt;$C4)</formula>
    </cfRule>
    <cfRule type="cellIs" dxfId="194" priority="4" stopIfTrue="1" operator="lessThan">
      <formula>$B$2</formula>
    </cfRule>
  </conditionalFormatting>
  <conditionalFormatting sqref="C5:C10">
    <cfRule type="expression" dxfId="193" priority="7">
      <formula>AND($C5-TODAY()&lt;30,TODAY()&lt;$C5)</formula>
    </cfRule>
    <cfRule type="cellIs" dxfId="192" priority="8" stopIfTrue="1" operator="lessThan">
      <formula>$B$2</formula>
    </cfRule>
  </conditionalFormatting>
  <conditionalFormatting sqref="C7:C8">
    <cfRule type="expression" dxfId="191" priority="5">
      <formula>AND($C7-TODAY()&lt;30,TODAY()&lt;$C7)</formula>
    </cfRule>
    <cfRule type="cellIs" dxfId="190" priority="6" stopIfTrue="1" operator="lessThan">
      <formula>$B$2</formula>
    </cfRule>
  </conditionalFormatting>
  <conditionalFormatting sqref="C11">
    <cfRule type="cellIs" dxfId="189" priority="83" stopIfTrue="1" operator="lessThan">
      <formula>$B$2</formula>
    </cfRule>
  </conditionalFormatting>
  <conditionalFormatting sqref="C11:C16">
    <cfRule type="expression" dxfId="188" priority="62">
      <formula>AND($C11-TODAY()&lt;30,TODAY()&lt;$C11)</formula>
    </cfRule>
  </conditionalFormatting>
  <conditionalFormatting sqref="C12">
    <cfRule type="expression" dxfId="187" priority="53">
      <formula>AND($C12-TODAY()&lt;30,TODAY()&lt;$C12)</formula>
    </cfRule>
    <cfRule type="cellIs" dxfId="186" priority="54" stopIfTrue="1" operator="lessThan">
      <formula>$B$2</formula>
    </cfRule>
  </conditionalFormatting>
  <conditionalFormatting sqref="C13:C16">
    <cfRule type="cellIs" dxfId="185" priority="63" stopIfTrue="1" operator="lessThan">
      <formula>$B$2</formula>
    </cfRule>
  </conditionalFormatting>
  <conditionalFormatting sqref="C21">
    <cfRule type="expression" dxfId="184" priority="150">
      <formula>AND($C21-TODAY()&lt;30,TODAY()&lt;$C21)</formula>
    </cfRule>
    <cfRule type="cellIs" dxfId="183" priority="152" stopIfTrue="1" operator="lessThan">
      <formula>$B$2</formula>
    </cfRule>
  </conditionalFormatting>
  <conditionalFormatting sqref="C17:D17">
    <cfRule type="expression" dxfId="182" priority="144">
      <formula>AND($C17-TODAY()&lt;30,TODAY()&lt;$C17)</formula>
    </cfRule>
    <cfRule type="cellIs" dxfId="181" priority="145" stopIfTrue="1" operator="lessThan">
      <formula>$B$2</formula>
    </cfRule>
    <cfRule type="expression" dxfId="180" priority="151">
      <formula>AND($C17-TODAY()&lt;30,TODAY()&lt;$C17)</formula>
    </cfRule>
  </conditionalFormatting>
  <conditionalFormatting sqref="E4:E16">
    <cfRule type="cellIs" dxfId="179" priority="40" stopIfTrue="1" operator="equal">
      <formula>"已过期"</formula>
    </cfRule>
  </conditionalFormatting>
  <conditionalFormatting sqref="F4:F14">
    <cfRule type="cellIs" dxfId="178" priority="39" stopIfTrue="1" operator="lessThan">
      <formula>$B$2</formula>
    </cfRule>
  </conditionalFormatting>
  <conditionalFormatting sqref="F21:F22">
    <cfRule type="cellIs" dxfId="177" priority="1" stopIfTrue="1" operator="lessThan">
      <formula>$B$2</formula>
    </cfRule>
    <cfRule type="expression" dxfId="17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G30" sqref="G30"/>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2754</v>
      </c>
      <c r="E1" s="4" t="s">
        <v>100</v>
      </c>
      <c r="F1" s="4" t="s">
        <v>101</v>
      </c>
      <c r="G1" s="4" t="s">
        <v>102</v>
      </c>
      <c r="H1" s="4" t="s">
        <v>103</v>
      </c>
      <c r="I1" s="4" t="s">
        <v>104</v>
      </c>
      <c r="J1" s="4" t="s">
        <v>105</v>
      </c>
      <c r="K1" s="4" t="s">
        <v>106</v>
      </c>
      <c r="L1" s="4" t="s">
        <v>107</v>
      </c>
      <c r="M1" s="4" t="s">
        <v>108</v>
      </c>
      <c r="N1" s="4" t="s">
        <v>109</v>
      </c>
      <c r="O1" s="4" t="s">
        <v>110</v>
      </c>
      <c r="P1" s="4" t="s">
        <v>111</v>
      </c>
      <c r="Q1" s="2048" t="s">
        <v>1826</v>
      </c>
      <c r="R1" s="2047" t="s">
        <v>1820</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2740</v>
      </c>
      <c r="J2" s="7" t="s">
        <v>98</v>
      </c>
      <c r="K2" s="7" t="s">
        <v>49</v>
      </c>
      <c r="L2" s="7" t="s">
        <v>49</v>
      </c>
      <c r="M2" s="7" t="s">
        <v>49</v>
      </c>
      <c r="N2" s="7" t="s">
        <v>49</v>
      </c>
      <c r="O2" s="7" t="s">
        <v>49</v>
      </c>
      <c r="P2" s="917" t="s">
        <v>817</v>
      </c>
      <c r="Q2" s="7" t="s">
        <v>49</v>
      </c>
      <c r="R2" s="917" t="s">
        <v>1821</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2741</v>
      </c>
      <c r="J3" s="7" t="s">
        <v>56</v>
      </c>
      <c r="K3" s="7" t="s">
        <v>57</v>
      </c>
      <c r="L3" s="7" t="s">
        <v>57</v>
      </c>
      <c r="M3" s="7" t="s">
        <v>57</v>
      </c>
      <c r="N3" s="7" t="s">
        <v>57</v>
      </c>
      <c r="O3" s="7" t="s">
        <v>57</v>
      </c>
      <c r="P3" s="917" t="s">
        <v>548</v>
      </c>
      <c r="Q3" s="7" t="s">
        <v>57</v>
      </c>
      <c r="R3" s="917" t="s">
        <v>1822</v>
      </c>
      <c r="S3" s="7" t="s">
        <v>57</v>
      </c>
      <c r="T3" s="7" t="s">
        <v>58</v>
      </c>
      <c r="U3" s="7" t="s">
        <v>57</v>
      </c>
      <c r="V3" s="7" t="s">
        <v>59</v>
      </c>
      <c r="W3" s="7" t="s">
        <v>813</v>
      </c>
    </row>
    <row r="4" spans="1:23">
      <c r="A4" s="6" t="s">
        <v>60</v>
      </c>
      <c r="B4" s="6" t="s">
        <v>118</v>
      </c>
      <c r="C4" s="1294" t="s">
        <v>1240</v>
      </c>
      <c r="D4" s="7" t="s">
        <v>1510</v>
      </c>
      <c r="E4" s="7" t="s">
        <v>61</v>
      </c>
      <c r="F4" s="7" t="s">
        <v>62</v>
      </c>
      <c r="G4" s="7">
        <v>50</v>
      </c>
      <c r="H4" s="7" t="s">
        <v>63</v>
      </c>
      <c r="I4" s="7" t="s">
        <v>2742</v>
      </c>
      <c r="K4" s="7" t="s">
        <v>64</v>
      </c>
      <c r="L4" s="7" t="s">
        <v>64</v>
      </c>
      <c r="M4" s="7" t="s">
        <v>64</v>
      </c>
      <c r="N4" s="7" t="s">
        <v>64</v>
      </c>
      <c r="O4" s="7" t="s">
        <v>64</v>
      </c>
      <c r="P4" s="917" t="s">
        <v>700</v>
      </c>
      <c r="Q4" s="7" t="s">
        <v>64</v>
      </c>
      <c r="R4" s="917" t="s">
        <v>1823</v>
      </c>
      <c r="S4" s="7" t="s">
        <v>64</v>
      </c>
      <c r="T4" s="7" t="s">
        <v>65</v>
      </c>
      <c r="U4" s="7" t="s">
        <v>64</v>
      </c>
      <c r="W4" s="7" t="s">
        <v>814</v>
      </c>
    </row>
    <row r="5" spans="1:23">
      <c r="A5" s="6" t="s">
        <v>66</v>
      </c>
      <c r="B5" s="6" t="s">
        <v>119</v>
      </c>
      <c r="C5" s="1294" t="s">
        <v>1241</v>
      </c>
      <c r="F5" s="7" t="s">
        <v>67</v>
      </c>
      <c r="G5" s="7">
        <v>70</v>
      </c>
      <c r="H5" s="7" t="s">
        <v>44</v>
      </c>
      <c r="I5" s="7" t="s">
        <v>2743</v>
      </c>
      <c r="K5" s="7" t="s">
        <v>68</v>
      </c>
      <c r="L5" s="7" t="s">
        <v>68</v>
      </c>
      <c r="M5" s="7" t="s">
        <v>68</v>
      </c>
      <c r="N5" s="7" t="s">
        <v>68</v>
      </c>
      <c r="O5" s="7" t="s">
        <v>68</v>
      </c>
      <c r="P5" s="917" t="s">
        <v>495</v>
      </c>
      <c r="Q5" s="7" t="s">
        <v>68</v>
      </c>
      <c r="R5" s="917" t="s">
        <v>1824</v>
      </c>
      <c r="S5" s="7" t="s">
        <v>68</v>
      </c>
      <c r="T5" s="7" t="s">
        <v>69</v>
      </c>
      <c r="U5" s="7" t="s">
        <v>68</v>
      </c>
      <c r="W5" s="7" t="s">
        <v>815</v>
      </c>
    </row>
    <row r="6" spans="1:23">
      <c r="A6" s="6" t="s">
        <v>70</v>
      </c>
      <c r="B6" s="995" t="s">
        <v>1176</v>
      </c>
      <c r="C6" s="1295" t="s">
        <v>1242</v>
      </c>
      <c r="F6" s="7" t="s">
        <v>45</v>
      </c>
      <c r="H6" s="7" t="s">
        <v>46</v>
      </c>
      <c r="I6" s="7" t="s">
        <v>2744</v>
      </c>
      <c r="K6" s="7" t="s">
        <v>71</v>
      </c>
      <c r="L6" s="7" t="s">
        <v>71</v>
      </c>
      <c r="M6" s="7" t="s">
        <v>71</v>
      </c>
      <c r="N6" s="7" t="s">
        <v>71</v>
      </c>
      <c r="O6" s="7" t="s">
        <v>71</v>
      </c>
      <c r="P6" s="917" t="s">
        <v>818</v>
      </c>
      <c r="Q6" s="7" t="s">
        <v>71</v>
      </c>
      <c r="R6" s="917" t="s">
        <v>1825</v>
      </c>
      <c r="S6" s="7" t="s">
        <v>71</v>
      </c>
      <c r="T6" s="7"/>
      <c r="U6" s="7" t="s">
        <v>71</v>
      </c>
      <c r="W6" s="7" t="s">
        <v>816</v>
      </c>
    </row>
    <row r="7" spans="1:23">
      <c r="A7" s="6" t="s">
        <v>72</v>
      </c>
      <c r="B7" s="6" t="s">
        <v>73</v>
      </c>
      <c r="C7" s="1294" t="s">
        <v>1243</v>
      </c>
      <c r="F7" s="7" t="s">
        <v>120</v>
      </c>
      <c r="H7" s="7" t="s">
        <v>74</v>
      </c>
      <c r="I7" s="7" t="s">
        <v>2745</v>
      </c>
    </row>
    <row r="8" spans="1:23">
      <c r="A8" s="6" t="s">
        <v>75</v>
      </c>
      <c r="B8" s="6" t="s">
        <v>76</v>
      </c>
      <c r="C8" s="1294" t="s">
        <v>1244</v>
      </c>
      <c r="F8" s="7" t="s">
        <v>121</v>
      </c>
      <c r="H8" s="3080" t="s">
        <v>2739</v>
      </c>
      <c r="I8" s="7" t="s">
        <v>2746</v>
      </c>
    </row>
    <row r="9" spans="1:23">
      <c r="A9" s="6" t="s">
        <v>77</v>
      </c>
      <c r="B9" s="6" t="s">
        <v>122</v>
      </c>
      <c r="C9" s="1294" t="s">
        <v>1245</v>
      </c>
      <c r="F9" s="7" t="s">
        <v>78</v>
      </c>
      <c r="H9" s="7"/>
      <c r="I9" s="7" t="s">
        <v>2747</v>
      </c>
    </row>
    <row r="10" spans="1:23">
      <c r="A10" s="6" t="s">
        <v>79</v>
      </c>
      <c r="B10" s="6" t="s">
        <v>123</v>
      </c>
      <c r="C10" s="1294" t="s">
        <v>1246</v>
      </c>
      <c r="F10" s="3080" t="s">
        <v>2738</v>
      </c>
      <c r="I10" s="7" t="s">
        <v>2748</v>
      </c>
    </row>
    <row r="11" spans="1:23">
      <c r="A11" s="6" t="s">
        <v>80</v>
      </c>
      <c r="B11" s="6" t="s">
        <v>124</v>
      </c>
      <c r="C11" s="1294" t="s">
        <v>1247</v>
      </c>
      <c r="I11" s="7" t="s">
        <v>2749</v>
      </c>
    </row>
    <row r="12" spans="1:23">
      <c r="A12" s="6" t="s">
        <v>81</v>
      </c>
      <c r="B12" s="6" t="s">
        <v>125</v>
      </c>
      <c r="C12" s="1294" t="s">
        <v>1248</v>
      </c>
      <c r="I12" s="7" t="s">
        <v>2750</v>
      </c>
    </row>
    <row r="13" spans="1:23">
      <c r="A13" s="6" t="s">
        <v>82</v>
      </c>
      <c r="B13" s="6" t="s">
        <v>126</v>
      </c>
      <c r="C13" s="1294" t="s">
        <v>1249</v>
      </c>
      <c r="I13" s="7" t="s">
        <v>2751</v>
      </c>
    </row>
    <row r="14" spans="1:23">
      <c r="A14" s="6" t="s">
        <v>83</v>
      </c>
      <c r="B14" s="6" t="s">
        <v>127</v>
      </c>
      <c r="C14" s="1296" t="s">
        <v>1421</v>
      </c>
      <c r="I14" s="7" t="s">
        <v>2752</v>
      </c>
    </row>
    <row r="15" spans="1:23">
      <c r="A15" s="6" t="s">
        <v>84</v>
      </c>
      <c r="B15" s="6" t="s">
        <v>1214</v>
      </c>
      <c r="C15" s="1296"/>
      <c r="I15" s="7" t="s">
        <v>2753</v>
      </c>
    </row>
    <row r="16" spans="1:23">
      <c r="A16" s="6" t="s">
        <v>85</v>
      </c>
      <c r="B16" s="6" t="s">
        <v>1215</v>
      </c>
      <c r="C16" s="1296"/>
    </row>
    <row r="17" spans="1:3">
      <c r="A17" s="6" t="s">
        <v>86</v>
      </c>
      <c r="B17" s="6" t="s">
        <v>1216</v>
      </c>
      <c r="C17" s="1296"/>
    </row>
    <row r="18" spans="1:3">
      <c r="A18" s="6" t="s">
        <v>87</v>
      </c>
      <c r="B18" s="2356" t="s">
        <v>2209</v>
      </c>
      <c r="C18" s="1296"/>
    </row>
    <row r="19" spans="1:3">
      <c r="A19" s="6" t="s">
        <v>88</v>
      </c>
      <c r="B19" s="2356" t="s">
        <v>2216</v>
      </c>
      <c r="C19" s="1296"/>
    </row>
    <row r="20" spans="1:3">
      <c r="A20" s="6" t="s">
        <v>89</v>
      </c>
      <c r="B20" s="2356" t="s">
        <v>2256</v>
      </c>
      <c r="C20" s="1296"/>
    </row>
    <row r="21" spans="1:3">
      <c r="A21" s="6" t="s">
        <v>90</v>
      </c>
      <c r="B21" s="6" t="s">
        <v>2434</v>
      </c>
      <c r="C21" s="1296"/>
    </row>
    <row r="22" spans="1:3">
      <c r="A22" s="6" t="s">
        <v>91</v>
      </c>
      <c r="B22" s="6" t="s">
        <v>3357</v>
      </c>
      <c r="C22" s="1296"/>
    </row>
    <row r="23" spans="1:3">
      <c r="A23" s="6" t="s">
        <v>92</v>
      </c>
      <c r="B23" s="6" t="s">
        <v>3358</v>
      </c>
      <c r="C23" s="1296"/>
    </row>
    <row r="24" spans="1:3">
      <c r="A24" s="6" t="s">
        <v>9</v>
      </c>
      <c r="B24" s="2356" t="s">
        <v>4097</v>
      </c>
      <c r="C24" s="1296"/>
    </row>
    <row r="25" spans="1:3">
      <c r="A25" s="6" t="s">
        <v>93</v>
      </c>
      <c r="B25" s="2356" t="s">
        <v>4095</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华夏）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1502</v>
      </c>
      <c r="B52" s="1469" t="s">
        <v>1503</v>
      </c>
      <c r="C52" s="1468" t="s">
        <v>1504</v>
      </c>
      <c r="D52" s="1468" t="s">
        <v>1505</v>
      </c>
      <c r="E52" s="1469"/>
    </row>
    <row r="53" spans="1:5">
      <c r="A53" s="3457" t="s">
        <v>1506</v>
      </c>
      <c r="B53" s="1468" t="s">
        <v>1512</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c r="D53" s="1469"/>
      <c r="E53" s="1469"/>
    </row>
    <row r="54" spans="1:5">
      <c r="A54" s="3457"/>
      <c r="B54" s="1468" t="s">
        <v>1513</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7"/>
      <c r="B55" s="1468" t="s">
        <v>1507</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7"/>
      <c r="B56" s="1468" t="s">
        <v>1508</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7"/>
      <c r="B57" s="1468" t="s">
        <v>1509</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1565</v>
      </c>
      <c r="B58" s="1468" t="s">
        <v>1566</v>
      </c>
      <c r="C58" s="9" t="s">
        <v>1567</v>
      </c>
      <c r="D58" s="1122"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158</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vt:lpstr>
      <vt:lpstr>案例</vt:lpstr>
      <vt:lpstr>不动产收益法-酒店模型</vt:lpstr>
      <vt:lpstr>不动产收益法-商业</vt:lpstr>
      <vt:lpstr>不动产比较法-车位</vt:lpstr>
      <vt:lpstr>不动产收益法-机械车位</vt:lpstr>
      <vt:lpstr>基准地价（汇总）</vt:lpstr>
      <vt:lpstr>基准地价</vt:lpstr>
      <vt:lpstr>修正</vt:lpstr>
      <vt:lpstr>区片价</vt:lpstr>
      <vt:lpstr>区片价-范围</vt:lpstr>
      <vt:lpstr>容积率修正</vt:lpstr>
      <vt:lpstr>因素修正幅度</vt:lpstr>
      <vt:lpstr>地价</vt:lpstr>
      <vt:lpstr>地价-分区</vt:lpstr>
      <vt:lpstr>收益还原法</vt:lpstr>
      <vt:lpstr>基准地价 (2)</vt:lpstr>
      <vt:lpstr>基准地价 (3)</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vt:lpstr>
      <vt:lpstr>信息</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'不动产收益法-机械车位'!Print_Area</vt:lpstr>
      <vt:lpstr>'不动产收益法-商业'!Print_Area</vt:lpstr>
      <vt:lpstr>成本逼近法!Print_Area</vt:lpstr>
      <vt:lpstr>估价对象房地状况!Print_Area</vt:lpstr>
      <vt:lpstr>估价师及机构信息!Print_Area</vt:lpstr>
      <vt:lpstr>基准地价!Print_Area</vt:lpstr>
      <vt:lpstr>'基准地价 (2)'!Print_Area</vt:lpstr>
      <vt:lpstr>'基准地价 (3)'!Print_Area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 (2)'!季度</vt:lpstr>
      <vt:lpstr>'基准地价 (3)'!季度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2024-11-26T04:11:46Z</dcterms:modified>
</cp:coreProperties>
</file>