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33" l="1"/>
  <c r="D66" i="33"/>
  <c r="E66" i="33" s="1"/>
  <c r="F66" i="33" s="1"/>
  <c r="G66" i="33" s="1"/>
  <c r="AM6" i="1" l="1"/>
  <c r="I36" i="33" l="1"/>
  <c r="G36" i="33"/>
  <c r="E36" i="33"/>
  <c r="D104" i="33"/>
  <c r="E104" i="33" s="1"/>
  <c r="F104" i="33" s="1"/>
  <c r="G104" i="33" s="1"/>
  <c r="H104" i="33" s="1"/>
  <c r="I47" i="33" l="1"/>
  <c r="J49" i="67"/>
  <c r="B21" i="1" l="1"/>
  <c r="N20" i="1"/>
  <c r="N22" i="1" s="1"/>
  <c r="N6" i="1" l="1"/>
  <c r="F19" i="6"/>
  <c r="D3" i="4"/>
  <c r="C36" i="33" l="1"/>
  <c r="Y6" i="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T26" i="79" s="1"/>
  <c r="W26" i="79" s="1"/>
  <c r="L35" i="79"/>
  <c r="I35" i="79"/>
  <c r="AB29" i="79"/>
  <c r="AA29" i="79"/>
  <c r="Z29" i="79"/>
  <c r="N29" i="79"/>
  <c r="M29" i="79"/>
  <c r="L29" i="79"/>
  <c r="I29" i="79"/>
  <c r="AD29" i="79" s="1"/>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U15" i="79" s="1"/>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T17" i="79"/>
  <c r="W17" i="79" s="1"/>
  <c r="U40" i="79"/>
  <c r="AD41" i="79"/>
  <c r="AB3" i="79"/>
  <c r="U17" i="79"/>
  <c r="U30" i="79"/>
  <c r="AD36" i="79"/>
  <c r="S37" i="79"/>
  <c r="U39" i="79"/>
  <c r="AD40" i="79"/>
  <c r="T15" i="79"/>
  <c r="W15" i="79" s="1"/>
  <c r="T29" i="79"/>
  <c r="T28" i="79"/>
  <c r="W28" i="79" s="1"/>
  <c r="U5" i="79"/>
  <c r="V3" i="79"/>
  <c r="S13" i="79"/>
  <c r="N26" i="79"/>
  <c r="S28" i="79"/>
  <c r="AA26" i="79"/>
  <c r="AD26" i="79" s="1"/>
  <c r="T30" i="79"/>
  <c r="W30" i="79" s="1"/>
  <c r="U36" i="79"/>
  <c r="AD37" i="79"/>
  <c r="S38" i="79"/>
  <c r="Y3" i="79"/>
  <c r="AC3" i="79"/>
  <c r="S15" i="79"/>
  <c r="S16" i="79"/>
  <c r="L26" i="79"/>
  <c r="U26" i="79"/>
  <c r="U28" i="79"/>
  <c r="U38" i="79"/>
  <c r="AD39" i="79"/>
  <c r="S40" i="79"/>
  <c r="Z3" i="79"/>
  <c r="R13" i="79"/>
  <c r="V13" i="79"/>
  <c r="S14" i="79"/>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O25" i="71"/>
  <c r="N25" i="71"/>
  <c r="B24" i="71"/>
  <c r="B23" i="71" s="1"/>
  <c r="B22" i="71" s="1"/>
  <c r="B21" i="71" s="1"/>
  <c r="B20"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B80" i="71"/>
  <c r="S80" i="71"/>
  <c r="Q79" i="71"/>
  <c r="P79" i="71"/>
  <c r="O79" i="71"/>
  <c r="N79" i="71"/>
  <c r="F79" i="71"/>
  <c r="F78" i="71" s="1"/>
  <c r="B79" i="71"/>
  <c r="B78" i="71" s="1"/>
  <c r="Q78" i="71"/>
  <c r="P78" i="71"/>
  <c r="O78" i="71"/>
  <c r="N78" i="71"/>
  <c r="Q77" i="71"/>
  <c r="P77" i="71"/>
  <c r="O77" i="71"/>
  <c r="N77" i="71"/>
  <c r="D77" i="71"/>
  <c r="Q76" i="71"/>
  <c r="P76" i="71"/>
  <c r="O76" i="71"/>
  <c r="N76" i="71"/>
  <c r="F76" i="71"/>
  <c r="F75" i="71" s="1"/>
  <c r="F74" i="71" s="1"/>
  <c r="V76" i="71"/>
  <c r="E76" i="71"/>
  <c r="U76" i="71" s="1"/>
  <c r="C76" i="71"/>
  <c r="T76" i="71"/>
  <c r="B76" i="71"/>
  <c r="Q75" i="71"/>
  <c r="P75" i="71"/>
  <c r="O75" i="71"/>
  <c r="N75" i="71"/>
  <c r="Q74" i="71"/>
  <c r="P74" i="71"/>
  <c r="O74" i="71"/>
  <c r="N74" i="71"/>
  <c r="Q73" i="71"/>
  <c r="P73" i="71"/>
  <c r="O73" i="71"/>
  <c r="N73" i="71"/>
  <c r="D73" i="71"/>
  <c r="Q72" i="71"/>
  <c r="P72" i="71"/>
  <c r="O72" i="71"/>
  <c r="N72" i="71"/>
  <c r="F72" i="71"/>
  <c r="V72" i="71"/>
  <c r="E72" i="71"/>
  <c r="U72" i="71" s="1"/>
  <c r="C72" i="71"/>
  <c r="B72" i="71"/>
  <c r="S72" i="71" s="1"/>
  <c r="Q71" i="71"/>
  <c r="P71" i="71"/>
  <c r="O71" i="71"/>
  <c r="N71" i="71"/>
  <c r="F71" i="71"/>
  <c r="F70" i="71"/>
  <c r="Q70" i="71"/>
  <c r="P70" i="71"/>
  <c r="O70" i="71"/>
  <c r="N70" i="71"/>
  <c r="Q69" i="71"/>
  <c r="P69" i="71"/>
  <c r="O69" i="71"/>
  <c r="N69" i="71"/>
  <c r="D69" i="71"/>
  <c r="F68" i="71"/>
  <c r="V68" i="71" s="1"/>
  <c r="E68" i="7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D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7" i="71" s="1"/>
  <c r="P39" i="71"/>
  <c r="AA39" i="71" s="1"/>
  <c r="O39" i="71"/>
  <c r="Y39" i="71"/>
  <c r="Z39" i="71"/>
  <c r="N39" i="71"/>
  <c r="X39" i="71" s="1"/>
  <c r="Q38" i="71"/>
  <c r="P38" i="71"/>
  <c r="O38" i="71"/>
  <c r="Y38" i="71"/>
  <c r="Z38" i="71"/>
  <c r="N38" i="71"/>
  <c r="Q37" i="71"/>
  <c r="F38" i="71" s="1"/>
  <c r="P37" i="71"/>
  <c r="AA35" i="71" s="1"/>
  <c r="O37" i="71"/>
  <c r="N37" i="71"/>
  <c r="D37" i="71"/>
  <c r="Q36" i="71"/>
  <c r="P36" i="71"/>
  <c r="O36" i="71"/>
  <c r="N36" i="71"/>
  <c r="X36" i="71" s="1"/>
  <c r="Q35" i="71"/>
  <c r="P35" i="71"/>
  <c r="O35" i="71"/>
  <c r="N35" i="71"/>
  <c r="Q34" i="71"/>
  <c r="P34" i="71"/>
  <c r="O34" i="71"/>
  <c r="Y34" i="71" s="1"/>
  <c r="Z34" i="71" s="1"/>
  <c r="N34" i="71"/>
  <c r="Q33" i="71"/>
  <c r="F34" i="71" s="1"/>
  <c r="F35" i="71" s="1"/>
  <c r="P33" i="71"/>
  <c r="E34" i="71" s="1"/>
  <c r="E35" i="71" s="1"/>
  <c r="E36" i="71" s="1"/>
  <c r="U36" i="71" s="1"/>
  <c r="O33" i="71"/>
  <c r="N33" i="71"/>
  <c r="D33" i="71"/>
  <c r="Q32" i="71"/>
  <c r="P32" i="71"/>
  <c r="AA32" i="71" s="1"/>
  <c r="O32" i="71"/>
  <c r="N32" i="71"/>
  <c r="Q31" i="71"/>
  <c r="P31" i="71"/>
  <c r="O31" i="71"/>
  <c r="N31" i="71"/>
  <c r="Q30" i="71"/>
  <c r="P30" i="71"/>
  <c r="O30" i="71"/>
  <c r="N30" i="71"/>
  <c r="Q29" i="71"/>
  <c r="F30" i="71" s="1"/>
  <c r="P29" i="71"/>
  <c r="E30" i="71" s="1"/>
  <c r="E31" i="71" s="1"/>
  <c r="O29" i="71"/>
  <c r="C30" i="71" s="1"/>
  <c r="N29" i="71"/>
  <c r="D29" i="71"/>
  <c r="O28" i="71"/>
  <c r="N28" i="71"/>
  <c r="B30" i="71"/>
  <c r="B31" i="71" s="1"/>
  <c r="B32" i="71" s="1"/>
  <c r="S32" i="71" s="1"/>
  <c r="B34" i="71"/>
  <c r="B35" i="71"/>
  <c r="X33" i="71"/>
  <c r="B38" i="71"/>
  <c r="B39" i="71" s="1"/>
  <c r="B40" i="71" s="1"/>
  <c r="S40" i="71" s="1"/>
  <c r="X37" i="71"/>
  <c r="E38" i="71"/>
  <c r="E39" i="71" s="1"/>
  <c r="E40" i="71" s="1"/>
  <c r="U40" i="71" s="1"/>
  <c r="AA37" i="71"/>
  <c r="AA33" i="71"/>
  <c r="Y33" i="71"/>
  <c r="Z33" i="71" s="1"/>
  <c r="AA34" i="71"/>
  <c r="AA36" i="71"/>
  <c r="C38" i="71"/>
  <c r="D38" i="71" s="1"/>
  <c r="X38" i="71"/>
  <c r="AA38" i="71"/>
  <c r="C28" i="71"/>
  <c r="Y27" i="71"/>
  <c r="Z27" i="71" s="1"/>
  <c r="B28" i="71"/>
  <c r="B27" i="71"/>
  <c r="B26" i="71" s="1"/>
  <c r="P28" i="71"/>
  <c r="Q28" i="71"/>
  <c r="C63" i="71"/>
  <c r="T68" i="71"/>
  <c r="O68" i="71"/>
  <c r="D68" i="71"/>
  <c r="C67" i="71"/>
  <c r="D67" i="71" s="1"/>
  <c r="E71" i="71"/>
  <c r="E70" i="71" s="1"/>
  <c r="C75" i="71"/>
  <c r="D75" i="71" s="1"/>
  <c r="E75" i="71"/>
  <c r="E74" i="71" s="1"/>
  <c r="D76" i="71"/>
  <c r="E79" i="71"/>
  <c r="E78" i="71" s="1"/>
  <c r="C83" i="71"/>
  <c r="C87" i="71"/>
  <c r="C86" i="71" s="1"/>
  <c r="D86" i="71" s="1"/>
  <c r="S28" i="71"/>
  <c r="F28" i="71"/>
  <c r="F27" i="71" s="1"/>
  <c r="F26" i="71" s="1"/>
  <c r="AA28" i="71"/>
  <c r="C66" i="71"/>
  <c r="O65" i="71" s="1"/>
  <c r="O67" i="71"/>
  <c r="D83" i="71"/>
  <c r="C82" i="71"/>
  <c r="D82"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C21" i="34"/>
  <c r="Q21" i="33"/>
  <c r="Z21" i="33" s="1"/>
  <c r="D83" i="33"/>
  <c r="E83" i="33" s="1"/>
  <c r="F83" i="33" s="1"/>
  <c r="G83" i="33" s="1"/>
  <c r="C21" i="33"/>
  <c r="C21" i="21"/>
  <c r="Q21" i="21"/>
  <c r="Z21" i="21" s="1"/>
  <c r="H19" i="21"/>
  <c r="D83" i="21"/>
  <c r="F21" i="21"/>
  <c r="D81" i="21"/>
  <c r="G20" i="20"/>
  <c r="B88" i="43"/>
  <c r="C22" i="20"/>
  <c r="B100" i="43" s="1"/>
  <c r="C25" i="40"/>
  <c r="S25" i="40"/>
  <c r="S18" i="36"/>
  <c r="H25" i="40"/>
  <c r="J25" i="40"/>
  <c r="H29" i="39"/>
  <c r="J29" i="39"/>
  <c r="AC29" i="39" s="1"/>
  <c r="J18" i="36"/>
  <c r="W18" i="36" s="1"/>
  <c r="H18" i="35"/>
  <c r="S18" i="35"/>
  <c r="J18" i="35"/>
  <c r="H21" i="37"/>
  <c r="U21" i="37" s="1"/>
  <c r="F21" i="37"/>
  <c r="S21" i="37" s="1"/>
  <c r="H21" i="34"/>
  <c r="U21" i="34" s="1"/>
  <c r="H21" i="33"/>
  <c r="U21" i="33" s="1"/>
  <c r="F21" i="33"/>
  <c r="S21" i="33" s="1"/>
  <c r="E83" i="21"/>
  <c r="H1" i="69"/>
  <c r="AC25" i="40"/>
  <c r="W25" i="40"/>
  <c r="AB25" i="40"/>
  <c r="U25" i="40"/>
  <c r="AC18" i="36"/>
  <c r="AB21" i="37"/>
  <c r="AA21" i="37"/>
  <c r="AC18" i="35"/>
  <c r="W18" i="35"/>
  <c r="J21" i="37"/>
  <c r="J21" i="34"/>
  <c r="AC21" i="34" s="1"/>
  <c r="J21" i="33"/>
  <c r="W21" i="33" s="1"/>
  <c r="F83" i="21"/>
  <c r="G83" i="21" s="1"/>
  <c r="H21" i="21"/>
  <c r="AB21" i="21" s="1"/>
  <c r="F38" i="69"/>
  <c r="E37" i="69"/>
  <c r="F36" i="69"/>
  <c r="F35" i="69"/>
  <c r="F21" i="69"/>
  <c r="F40" i="69" s="1"/>
  <c r="F20" i="69"/>
  <c r="F39" i="69" s="1"/>
  <c r="E10" i="69"/>
  <c r="E9" i="69"/>
  <c r="C7" i="69"/>
  <c r="AC21" i="37"/>
  <c r="W21" i="37"/>
  <c r="W21" i="34"/>
  <c r="AC21" i="33"/>
  <c r="U21"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K5" i="3" s="1"/>
  <c r="BM582" i="3"/>
  <c r="BN582" i="3"/>
  <c r="BO582" i="3"/>
  <c r="BP582" i="3"/>
  <c r="BL582" i="3" s="1"/>
  <c r="BQ582" i="3"/>
  <c r="BR582" i="3"/>
  <c r="BS582" i="3"/>
  <c r="BT582" i="3"/>
  <c r="BT5" i="3" s="1"/>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H5" i="3" s="1"/>
  <c r="BI584" i="3"/>
  <c r="BJ584" i="3"/>
  <c r="BK584" i="3"/>
  <c r="BM584" i="3"/>
  <c r="BM5" i="3" s="1"/>
  <c r="BN584" i="3"/>
  <c r="BO584" i="3"/>
  <c r="BP584" i="3"/>
  <c r="BQ584" i="3"/>
  <c r="BR584" i="3"/>
  <c r="BS584" i="3"/>
  <c r="BT584" i="3"/>
  <c r="H7" i="12"/>
  <c r="I7" i="12"/>
  <c r="J7" i="12"/>
  <c r="K7" i="12"/>
  <c r="H111" i="21"/>
  <c r="B109" i="39"/>
  <c r="F35" i="39" s="1"/>
  <c r="B111" i="39"/>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H37" i="33" s="1"/>
  <c r="U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c r="F34" i="40"/>
  <c r="Q33" i="40"/>
  <c r="Z33" i="40" s="1"/>
  <c r="Q32" i="40"/>
  <c r="Z32" i="40" s="1"/>
  <c r="Q31" i="40"/>
  <c r="Z31" i="40" s="1"/>
  <c r="Q30" i="40"/>
  <c r="Z30" i="40" s="1"/>
  <c r="Q28" i="40"/>
  <c r="Z28" i="40"/>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F9" i="40"/>
  <c r="S9" i="40" s="1"/>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J39" i="37"/>
  <c r="AC39" i="37" s="1"/>
  <c r="B108" i="37"/>
  <c r="J38" i="37" s="1"/>
  <c r="AC38" i="37" s="1"/>
  <c r="C23" i="37"/>
  <c r="C19" i="37"/>
  <c r="C17" i="37"/>
  <c r="C15" i="37"/>
  <c r="B112" i="37"/>
  <c r="D107" i="37"/>
  <c r="E107" i="37" s="1"/>
  <c r="D105" i="37"/>
  <c r="E105" i="37" s="1"/>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c r="F68" i="36" s="1"/>
  <c r="G68" i="36" s="1"/>
  <c r="D64" i="36"/>
  <c r="E64" i="36" s="1"/>
  <c r="F64" i="36" s="1"/>
  <c r="G64" i="36" s="1"/>
  <c r="J16" i="36"/>
  <c r="W16" i="36"/>
  <c r="D62" i="36"/>
  <c r="E62" i="36" s="1"/>
  <c r="F62" i="36" s="1"/>
  <c r="G62" i="36" s="1"/>
  <c r="B59" i="36"/>
  <c r="B57" i="36"/>
  <c r="J12" i="36"/>
  <c r="B55" i="36"/>
  <c r="F11" i="36" s="1"/>
  <c r="AA11" i="36" s="1"/>
  <c r="C51" i="36"/>
  <c r="P37" i="36"/>
  <c r="P36" i="36"/>
  <c r="V35" i="36"/>
  <c r="T35" i="36"/>
  <c r="R35" i="36"/>
  <c r="P35" i="36"/>
  <c r="Q34" i="36"/>
  <c r="Z34" i="36" s="1"/>
  <c r="Q33" i="36"/>
  <c r="Z33" i="36" s="1"/>
  <c r="Q32" i="36"/>
  <c r="Z32" i="36" s="1"/>
  <c r="Q31" i="36"/>
  <c r="Z31" i="36"/>
  <c r="Q30" i="36"/>
  <c r="Z30" i="36" s="1"/>
  <c r="AC30" i="36"/>
  <c r="Q29" i="36"/>
  <c r="Z29" i="36"/>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c r="Q20" i="36"/>
  <c r="Z20" i="36" s="1"/>
  <c r="Q16" i="36"/>
  <c r="Z16" i="36" s="1"/>
  <c r="Q14" i="36"/>
  <c r="Z14" i="36" s="1"/>
  <c r="Q13" i="36"/>
  <c r="Z13" i="36" s="1"/>
  <c r="Q12" i="36"/>
  <c r="Z12" i="36" s="1"/>
  <c r="H12" i="36"/>
  <c r="AB12" i="36" s="1"/>
  <c r="Q11" i="36"/>
  <c r="Z11" i="36" s="1"/>
  <c r="Q10" i="36"/>
  <c r="Z10" i="36"/>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s="1"/>
  <c r="AB36" i="35" s="1"/>
  <c r="B99" i="35"/>
  <c r="B97" i="35"/>
  <c r="B77" i="35"/>
  <c r="F25" i="35" s="1"/>
  <c r="S25" i="35" s="1"/>
  <c r="B75" i="35"/>
  <c r="J24" i="35" s="1"/>
  <c r="AC24" i="35" s="1"/>
  <c r="B73" i="35"/>
  <c r="F23" i="35" s="1"/>
  <c r="AA23" i="35" s="1"/>
  <c r="H23" i="35"/>
  <c r="U23" i="35" s="1"/>
  <c r="B57" i="35"/>
  <c r="B61" i="35"/>
  <c r="F13" i="35" s="1"/>
  <c r="B59" i="35"/>
  <c r="J12" i="35" s="1"/>
  <c r="W12" i="35" s="1"/>
  <c r="B131" i="34"/>
  <c r="B129" i="34"/>
  <c r="B127" i="34"/>
  <c r="F45" i="34" s="1"/>
  <c r="S45" i="34" s="1"/>
  <c r="B99" i="34"/>
  <c r="H32" i="34" s="1"/>
  <c r="B97" i="34"/>
  <c r="B95" i="34"/>
  <c r="B93" i="34"/>
  <c r="J29" i="34" s="1"/>
  <c r="B75" i="34"/>
  <c r="H14" i="34" s="1"/>
  <c r="B73" i="34"/>
  <c r="B71" i="34"/>
  <c r="B130" i="33"/>
  <c r="H46" i="33" s="1"/>
  <c r="AB46" i="33" s="1"/>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c r="Q33" i="35"/>
  <c r="Z33" i="35"/>
  <c r="Q32" i="35"/>
  <c r="Z32" i="35" s="1"/>
  <c r="H32" i="35"/>
  <c r="AB32" i="35" s="1"/>
  <c r="F32" i="35"/>
  <c r="AA32" i="35" s="1"/>
  <c r="Q31" i="35"/>
  <c r="Z31" i="35" s="1"/>
  <c r="AC31" i="35"/>
  <c r="Q30" i="35"/>
  <c r="Z30" i="35" s="1"/>
  <c r="Q29" i="35"/>
  <c r="Z29" i="35" s="1"/>
  <c r="Q28" i="35"/>
  <c r="Z28" i="35" s="1"/>
  <c r="J28" i="35"/>
  <c r="W28" i="35" s="1"/>
  <c r="H28" i="35"/>
  <c r="AB28" i="35" s="1"/>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H12" i="35"/>
  <c r="U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c r="J12" i="34"/>
  <c r="H12" i="34"/>
  <c r="F12" i="34"/>
  <c r="S12" i="34" s="1"/>
  <c r="Q11" i="34"/>
  <c r="Z11" i="34" s="1"/>
  <c r="Q10" i="34"/>
  <c r="Z10" i="34" s="1"/>
  <c r="F10" i="34"/>
  <c r="AA10" i="34" s="1"/>
  <c r="Q9" i="34"/>
  <c r="Z9" i="34" s="1"/>
  <c r="H9" i="34"/>
  <c r="F9" i="34"/>
  <c r="AA9" i="34" s="1"/>
  <c r="J8" i="34"/>
  <c r="AC8" i="34" s="1"/>
  <c r="H8" i="34"/>
  <c r="U8" i="34" s="1"/>
  <c r="F8" i="34"/>
  <c r="D121" i="33"/>
  <c r="E121" i="33" s="1"/>
  <c r="F109" i="33"/>
  <c r="E109" i="33"/>
  <c r="D109" i="33"/>
  <c r="C109" i="33"/>
  <c r="D91" i="33"/>
  <c r="E91" i="33" s="1"/>
  <c r="B88" i="33"/>
  <c r="F26" i="33" s="1"/>
  <c r="S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F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B79" i="43"/>
  <c r="C18" i="20"/>
  <c r="C21" i="39" s="1"/>
  <c r="C17" i="20"/>
  <c r="B61" i="43"/>
  <c r="C16" i="20"/>
  <c r="C17" i="39" s="1"/>
  <c r="C15" i="20"/>
  <c r="B72"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B130" i="21"/>
  <c r="J46" i="21" s="1"/>
  <c r="W46" i="21" s="1"/>
  <c r="B128" i="21"/>
  <c r="J45" i="21" s="1"/>
  <c r="W45" i="21" s="1"/>
  <c r="B126" i="21"/>
  <c r="B98" i="21"/>
  <c r="H31" i="21" s="1"/>
  <c r="B96" i="21"/>
  <c r="B94" i="21"/>
  <c r="J29" i="21" s="1"/>
  <c r="AC29" i="21" s="1"/>
  <c r="B92" i="21"/>
  <c r="B90" i="21"/>
  <c r="H27" i="21" s="1"/>
  <c r="AB27" i="21" s="1"/>
  <c r="B74" i="21"/>
  <c r="B72" i="21"/>
  <c r="H13" i="21"/>
  <c r="U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B5" i="3" s="1"/>
  <c r="BC585" i="3"/>
  <c r="BD585" i="3"/>
  <c r="BE585" i="3"/>
  <c r="BF585" i="3"/>
  <c r="BG585" i="3"/>
  <c r="BH585" i="3"/>
  <c r="BI585" i="3"/>
  <c r="BJ585" i="3"/>
  <c r="BJ5" i="3" s="1"/>
  <c r="BK585" i="3"/>
  <c r="BM585" i="3"/>
  <c r="BN585" i="3"/>
  <c r="BO585" i="3"/>
  <c r="BP585" i="3"/>
  <c r="BQ585" i="3"/>
  <c r="BR585" i="3"/>
  <c r="BS585" i="3"/>
  <c r="BS5" i="3" s="1"/>
  <c r="BT585" i="3"/>
  <c r="BB586" i="3"/>
  <c r="BC586" i="3"/>
  <c r="BD586" i="3"/>
  <c r="BA586" i="3" s="1"/>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c r="F36" i="39"/>
  <c r="S36" i="39" s="1"/>
  <c r="H36" i="39"/>
  <c r="AB36" i="39" s="1"/>
  <c r="J35" i="39"/>
  <c r="AC35" i="39" s="1"/>
  <c r="J36" i="39"/>
  <c r="AC36" i="39" s="1"/>
  <c r="U9" i="39"/>
  <c r="W25" i="37"/>
  <c r="U30" i="37"/>
  <c r="W31"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c r="F36" i="34"/>
  <c r="J35" i="34"/>
  <c r="U34" i="34"/>
  <c r="H39" i="33"/>
  <c r="AB39" i="33" s="1"/>
  <c r="S40" i="33"/>
  <c r="H39" i="37"/>
  <c r="AB39" i="37" s="1"/>
  <c r="S27" i="35"/>
  <c r="F11" i="40"/>
  <c r="AA11" i="40"/>
  <c r="H11" i="40"/>
  <c r="AB11" i="40" s="1"/>
  <c r="W8" i="40"/>
  <c r="AC40" i="40"/>
  <c r="AA9"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U34" i="21"/>
  <c r="S34" i="21"/>
  <c r="C25" i="39"/>
  <c r="H11" i="39"/>
  <c r="U11" i="39" s="1"/>
  <c r="S40" i="39"/>
  <c r="H32" i="33"/>
  <c r="AB32" i="33" s="1"/>
  <c r="H11" i="21"/>
  <c r="U11" i="21" s="1"/>
  <c r="J11" i="21"/>
  <c r="W11" i="21" s="1"/>
  <c r="H37" i="40"/>
  <c r="U37" i="40"/>
  <c r="H36" i="40"/>
  <c r="AB36" i="40" s="1"/>
  <c r="F35" i="40"/>
  <c r="AA35" i="40" s="1"/>
  <c r="H23" i="40"/>
  <c r="AB23" i="40" s="1"/>
  <c r="H17" i="40"/>
  <c r="U17" i="40" s="1"/>
  <c r="J15" i="40"/>
  <c r="W15" i="40" s="1"/>
  <c r="J11" i="40"/>
  <c r="W11" i="40" s="1"/>
  <c r="AB8" i="39"/>
  <c r="AA12" i="34"/>
  <c r="W32" i="40"/>
  <c r="J34" i="36"/>
  <c r="W34" i="36" s="1"/>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s="1"/>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s="1"/>
  <c r="F25" i="34"/>
  <c r="S25" i="34" s="1"/>
  <c r="H23" i="34"/>
  <c r="U23" i="34" s="1"/>
  <c r="J23" i="34"/>
  <c r="F19" i="34"/>
  <c r="S19" i="34" s="1"/>
  <c r="H17" i="34"/>
  <c r="U17" i="34" s="1"/>
  <c r="F15" i="34"/>
  <c r="S15" i="34" s="1"/>
  <c r="J15" i="34"/>
  <c r="H15" i="34"/>
  <c r="AB15" i="34" s="1"/>
  <c r="W8" i="34"/>
  <c r="F41" i="33"/>
  <c r="AA41" i="33" s="1"/>
  <c r="F32" i="33"/>
  <c r="AA32" i="33" s="1"/>
  <c r="J19" i="33"/>
  <c r="W19" i="33" s="1"/>
  <c r="F11" i="33"/>
  <c r="AA11" i="33" s="1"/>
  <c r="W40" i="33"/>
  <c r="F37" i="40"/>
  <c r="AA37" i="40" s="1"/>
  <c r="F36" i="40"/>
  <c r="AA36" i="40" s="1"/>
  <c r="H28" i="40"/>
  <c r="U28" i="40" s="1"/>
  <c r="F23" i="40"/>
  <c r="AA23"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AA15" i="34"/>
  <c r="H11" i="33"/>
  <c r="F28" i="40"/>
  <c r="AA28" i="40" s="1"/>
  <c r="AA29" i="35"/>
  <c r="S42" i="34"/>
  <c r="AC38" i="34"/>
  <c r="AA38" i="34"/>
  <c r="J37" i="34"/>
  <c r="AC37" i="34" s="1"/>
  <c r="J11" i="33"/>
  <c r="U23" i="40"/>
  <c r="J42" i="21"/>
  <c r="AC42" i="21" s="1"/>
  <c r="H42" i="21"/>
  <c r="J44" i="34"/>
  <c r="W44" i="34" s="1"/>
  <c r="F44" i="34"/>
  <c r="AA44" i="34" s="1"/>
  <c r="J10" i="35"/>
  <c r="AC10" i="35" s="1"/>
  <c r="J14" i="21"/>
  <c r="W14" i="21" s="1"/>
  <c r="F14" i="21"/>
  <c r="S14" i="21" s="1"/>
  <c r="H14" i="21"/>
  <c r="H28" i="21"/>
  <c r="AB28" i="21" s="1"/>
  <c r="F28" i="21"/>
  <c r="AA28" i="21" s="1"/>
  <c r="J28" i="21"/>
  <c r="W28" i="21" s="1"/>
  <c r="H30" i="21"/>
  <c r="U30" i="21" s="1"/>
  <c r="F30" i="21"/>
  <c r="S30" i="21" s="1"/>
  <c r="J30" i="21"/>
  <c r="AC30" i="21" s="1"/>
  <c r="J44" i="21"/>
  <c r="AC44" i="21" s="1"/>
  <c r="H44" i="21"/>
  <c r="F44" i="21"/>
  <c r="AA44" i="21" s="1"/>
  <c r="H46" i="21"/>
  <c r="U46" i="21" s="1"/>
  <c r="E119" i="21"/>
  <c r="F119" i="21" s="1"/>
  <c r="G119" i="21" s="1"/>
  <c r="H119" i="21" s="1"/>
  <c r="I119" i="21" s="1"/>
  <c r="J119" i="21" s="1"/>
  <c r="K119" i="21" s="1"/>
  <c r="L119" i="21" s="1"/>
  <c r="M119" i="21" s="1"/>
  <c r="H26" i="33"/>
  <c r="AB26" i="33" s="1"/>
  <c r="F28" i="33"/>
  <c r="AA28" i="33" s="1"/>
  <c r="F33" i="35"/>
  <c r="J33" i="35"/>
  <c r="AC33" i="35" s="1"/>
  <c r="F30" i="35"/>
  <c r="S30" i="35" s="1"/>
  <c r="H10" i="36"/>
  <c r="AB10" i="36" s="1"/>
  <c r="J14" i="36"/>
  <c r="AC14" i="36" s="1"/>
  <c r="H14" i="36"/>
  <c r="U14" i="36"/>
  <c r="F28" i="36"/>
  <c r="AA28" i="36" s="1"/>
  <c r="J13" i="21"/>
  <c r="AC13" i="21" s="1"/>
  <c r="H29" i="21"/>
  <c r="J31" i="21"/>
  <c r="AC31" i="21" s="1"/>
  <c r="F31" i="21"/>
  <c r="S31" i="21" s="1"/>
  <c r="F45" i="21"/>
  <c r="AA45" i="21" s="1"/>
  <c r="J13" i="33"/>
  <c r="AC13" i="33" s="1"/>
  <c r="H13" i="33"/>
  <c r="U13" i="33" s="1"/>
  <c r="F13" i="33"/>
  <c r="S13" i="33" s="1"/>
  <c r="J29" i="33"/>
  <c r="H29" i="33"/>
  <c r="U29" i="33" s="1"/>
  <c r="F29" i="33"/>
  <c r="S29" i="33" s="1"/>
  <c r="J31" i="33"/>
  <c r="W31" i="33" s="1"/>
  <c r="H31" i="33"/>
  <c r="U31" i="33" s="1"/>
  <c r="F31" i="33"/>
  <c r="H45" i="33"/>
  <c r="U45" i="33" s="1"/>
  <c r="F45" i="33"/>
  <c r="AA45" i="33" s="1"/>
  <c r="J14" i="34"/>
  <c r="W14" i="34" s="1"/>
  <c r="F14" i="34"/>
  <c r="H30" i="34"/>
  <c r="F30" i="34"/>
  <c r="S30" i="34" s="1"/>
  <c r="J30" i="34"/>
  <c r="F32" i="34"/>
  <c r="J32" i="34"/>
  <c r="W32" i="34" s="1"/>
  <c r="H46" i="34"/>
  <c r="U46" i="34" s="1"/>
  <c r="F46" i="34"/>
  <c r="J46" i="34"/>
  <c r="W46" i="34" s="1"/>
  <c r="H11" i="35"/>
  <c r="AB11" i="35" s="1"/>
  <c r="J11" i="35"/>
  <c r="F11" i="35"/>
  <c r="S11" i="35" s="1"/>
  <c r="J26" i="36"/>
  <c r="H28" i="36"/>
  <c r="U28" i="36" s="1"/>
  <c r="H32" i="36"/>
  <c r="AB32" i="36" s="1"/>
  <c r="J32" i="36"/>
  <c r="W32" i="36" s="1"/>
  <c r="J11" i="36"/>
  <c r="AC11" i="36" s="1"/>
  <c r="H11" i="36"/>
  <c r="U11" i="36" s="1"/>
  <c r="H13" i="36"/>
  <c r="AB13" i="36" s="1"/>
  <c r="J13" i="36"/>
  <c r="W13" i="36" s="1"/>
  <c r="F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AA30" i="33" s="1"/>
  <c r="J30" i="33"/>
  <c r="H44" i="33"/>
  <c r="J44" i="33"/>
  <c r="AC44" i="33" s="1"/>
  <c r="F44" i="33"/>
  <c r="J46" i="33"/>
  <c r="AC46" i="33" s="1"/>
  <c r="F46" i="33"/>
  <c r="AA46" i="33" s="1"/>
  <c r="H13" i="34"/>
  <c r="U13" i="34" s="1"/>
  <c r="J13" i="34"/>
  <c r="F13" i="34"/>
  <c r="AA13" i="34" s="1"/>
  <c r="F29" i="34"/>
  <c r="S29" i="34" s="1"/>
  <c r="H29" i="34"/>
  <c r="AB29" i="34" s="1"/>
  <c r="J31" i="34"/>
  <c r="AC31" i="34" s="1"/>
  <c r="H31" i="34"/>
  <c r="F31" i="34"/>
  <c r="S31" i="34" s="1"/>
  <c r="H45" i="34"/>
  <c r="U45" i="34" s="1"/>
  <c r="J45" i="34"/>
  <c r="H47" i="34"/>
  <c r="U47" i="34" s="1"/>
  <c r="F47" i="34"/>
  <c r="S47" i="34" s="1"/>
  <c r="J47" i="34"/>
  <c r="AC47" i="34" s="1"/>
  <c r="J13" i="35"/>
  <c r="H13" i="35"/>
  <c r="U13" i="35" s="1"/>
  <c r="J25" i="35"/>
  <c r="W25" i="35" s="1"/>
  <c r="J35" i="35"/>
  <c r="F35" i="35"/>
  <c r="AA35" i="35" s="1"/>
  <c r="H35" i="35"/>
  <c r="AB35" i="35" s="1"/>
  <c r="J25" i="36"/>
  <c r="W25" i="36" s="1"/>
  <c r="F25" i="36"/>
  <c r="H25" i="36"/>
  <c r="AB25" i="36" s="1"/>
  <c r="H13" i="37"/>
  <c r="AB13" i="37" s="1"/>
  <c r="F13" i="37"/>
  <c r="S13" i="37"/>
  <c r="J13" i="37"/>
  <c r="W13" i="37" s="1"/>
  <c r="F28" i="37"/>
  <c r="AA28" i="37" s="1"/>
  <c r="J28" i="37"/>
  <c r="AC28" i="37" s="1"/>
  <c r="H28" i="37"/>
  <c r="H38" i="37"/>
  <c r="AB38" i="37" s="1"/>
  <c r="F38" i="37"/>
  <c r="S38" i="37" s="1"/>
  <c r="H43" i="39"/>
  <c r="U43" i="39" s="1"/>
  <c r="F14" i="39"/>
  <c r="H14" i="39"/>
  <c r="AB14" i="39" s="1"/>
  <c r="F12" i="40"/>
  <c r="S12" i="40"/>
  <c r="H12" i="40"/>
  <c r="AB12" i="40" s="1"/>
  <c r="H30" i="40"/>
  <c r="AB30" i="40"/>
  <c r="F33" i="40"/>
  <c r="AA33" i="40" s="1"/>
  <c r="H33" i="40"/>
  <c r="U33" i="40"/>
  <c r="J35" i="40"/>
  <c r="AC35" i="40" s="1"/>
  <c r="J37" i="40"/>
  <c r="AC37" i="40"/>
  <c r="H13" i="40"/>
  <c r="U13" i="40" s="1"/>
  <c r="W13" i="40"/>
  <c r="F13" i="40"/>
  <c r="AA13" i="40" s="1"/>
  <c r="F14" i="37"/>
  <c r="S14" i="37"/>
  <c r="F27" i="37"/>
  <c r="AA27" i="37" s="1"/>
  <c r="F13" i="39"/>
  <c r="J13" i="39"/>
  <c r="H13" i="39"/>
  <c r="J14" i="37"/>
  <c r="J27" i="37"/>
  <c r="AC27" i="37" s="1"/>
  <c r="J36" i="37"/>
  <c r="AC36" i="37"/>
  <c r="J10" i="36"/>
  <c r="AC10" i="36" s="1"/>
  <c r="AA14" i="37"/>
  <c r="AC13" i="36"/>
  <c r="S11" i="36"/>
  <c r="S45" i="33"/>
  <c r="AB31" i="33"/>
  <c r="S44" i="34"/>
  <c r="F17" i="21"/>
  <c r="AA17" i="21"/>
  <c r="H17" i="21"/>
  <c r="AB17" i="21" s="1"/>
  <c r="F15" i="21"/>
  <c r="S15" i="21"/>
  <c r="J41" i="39"/>
  <c r="W41" i="39" s="1"/>
  <c r="AC45" i="39"/>
  <c r="W35" i="39"/>
  <c r="U36" i="39"/>
  <c r="G544" i="3"/>
  <c r="G540" i="3"/>
  <c r="G536" i="3"/>
  <c r="G532" i="3"/>
  <c r="G531" i="3"/>
  <c r="G528" i="3"/>
  <c r="G523" i="3"/>
  <c r="G518" i="3"/>
  <c r="G514" i="3"/>
  <c r="G508" i="3"/>
  <c r="G504" i="3"/>
  <c r="G500" i="3"/>
  <c r="G580" i="3"/>
  <c r="G576" i="3"/>
  <c r="G568" i="3"/>
  <c r="G564" i="3"/>
  <c r="G560" i="3"/>
  <c r="G554" i="3"/>
  <c r="G550" i="3"/>
  <c r="BL580" i="3"/>
  <c r="BL572" i="3"/>
  <c r="AZ572" i="3" s="1"/>
  <c r="BL568" i="3"/>
  <c r="BL564" i="3"/>
  <c r="BL554" i="3"/>
  <c r="BL546" i="3"/>
  <c r="BL542" i="3"/>
  <c r="BL534" i="3"/>
  <c r="BL530" i="3"/>
  <c r="BL526" i="3"/>
  <c r="BL516" i="3"/>
  <c r="BL512" i="3"/>
  <c r="BL506" i="3"/>
  <c r="BL498" i="3"/>
  <c r="BL494" i="3"/>
  <c r="BL574" i="3"/>
  <c r="BL570" i="3"/>
  <c r="BL566" i="3"/>
  <c r="BL556" i="3"/>
  <c r="BL552" i="3"/>
  <c r="BL544" i="3"/>
  <c r="BL536" i="3"/>
  <c r="G533" i="3"/>
  <c r="BL532" i="3"/>
  <c r="G529" i="3"/>
  <c r="BL528" i="3"/>
  <c r="G525" i="3"/>
  <c r="BL524" i="3"/>
  <c r="BL514" i="3"/>
  <c r="BL510" i="3"/>
  <c r="BL504" i="3"/>
  <c r="BL496" i="3"/>
  <c r="G493" i="3"/>
  <c r="BA580" i="3"/>
  <c r="AZ580" i="3"/>
  <c r="BA576" i="3"/>
  <c r="BA572" i="3"/>
  <c r="BA570" i="3"/>
  <c r="BA568" i="3"/>
  <c r="AZ568" i="3"/>
  <c r="BA566" i="3"/>
  <c r="AZ566" i="3" s="1"/>
  <c r="BA564" i="3"/>
  <c r="AZ564" i="3" s="1"/>
  <c r="BA562" i="3"/>
  <c r="BA560" i="3"/>
  <c r="BA558" i="3"/>
  <c r="AZ558" i="3" s="1"/>
  <c r="BA556" i="3"/>
  <c r="BA552" i="3"/>
  <c r="AZ552" i="3" s="1"/>
  <c r="BA548" i="3"/>
  <c r="BA546" i="3"/>
  <c r="AZ546" i="3" s="1"/>
  <c r="BA542" i="3"/>
  <c r="BA540" i="3"/>
  <c r="BA538" i="3"/>
  <c r="BA534" i="3"/>
  <c r="AZ534" i="3" s="1"/>
  <c r="BA532" i="3"/>
  <c r="AZ532" i="3" s="1"/>
  <c r="BA530" i="3"/>
  <c r="AZ530" i="3" s="1"/>
  <c r="BA526" i="3"/>
  <c r="BA522" i="3"/>
  <c r="BA520" i="3"/>
  <c r="BA516" i="3"/>
  <c r="BA514" i="3"/>
  <c r="BA510" i="3"/>
  <c r="BA508" i="3"/>
  <c r="BA506" i="3"/>
  <c r="BA502" i="3"/>
  <c r="BA500" i="3"/>
  <c r="BA498" i="3"/>
  <c r="BA494" i="3"/>
  <c r="AZ494" i="3" s="1"/>
  <c r="BA579" i="3"/>
  <c r="BA577" i="3"/>
  <c r="BA575" i="3"/>
  <c r="BA571" i="3"/>
  <c r="BA569" i="3"/>
  <c r="BA567" i="3"/>
  <c r="BA563" i="3"/>
  <c r="BA561" i="3"/>
  <c r="BA559" i="3"/>
  <c r="BA553" i="3"/>
  <c r="BA549" i="3"/>
  <c r="AZ549" i="3" s="1"/>
  <c r="BA547" i="3"/>
  <c r="BA543" i="3"/>
  <c r="BA541" i="3"/>
  <c r="AZ541" i="3" s="1"/>
  <c r="BA539" i="3"/>
  <c r="BA535" i="3"/>
  <c r="BA533" i="3"/>
  <c r="BA531" i="3"/>
  <c r="BA527" i="3"/>
  <c r="BA525" i="3"/>
  <c r="BA523" i="3"/>
  <c r="BA517" i="3"/>
  <c r="AZ517" i="3" s="1"/>
  <c r="BA515" i="3"/>
  <c r="BA513" i="3"/>
  <c r="BA507" i="3"/>
  <c r="BA505" i="3"/>
  <c r="BA503" i="3"/>
  <c r="BA499" i="3"/>
  <c r="BA497" i="3"/>
  <c r="BA495" i="3"/>
  <c r="G583" i="3"/>
  <c r="G581" i="3"/>
  <c r="G579" i="3"/>
  <c r="G575" i="3"/>
  <c r="G573" i="3"/>
  <c r="G571" i="3"/>
  <c r="G567" i="3"/>
  <c r="G565" i="3"/>
  <c r="G563" i="3"/>
  <c r="G561" i="3"/>
  <c r="BL558" i="3"/>
  <c r="BA557" i="3"/>
  <c r="AC557" i="3"/>
  <c r="BQ557" i="3"/>
  <c r="BL557" i="3" s="1"/>
  <c r="AZ557" i="3" s="1"/>
  <c r="BQ583" i="3"/>
  <c r="BQ581" i="3"/>
  <c r="BL581" i="3" s="1"/>
  <c r="BQ579" i="3"/>
  <c r="BL579" i="3" s="1"/>
  <c r="AZ579" i="3" s="1"/>
  <c r="BQ577" i="3"/>
  <c r="BQ575" i="3"/>
  <c r="BL575" i="3" s="1"/>
  <c r="AZ575" i="3" s="1"/>
  <c r="BQ573" i="3"/>
  <c r="BQ571" i="3"/>
  <c r="BL571" i="3" s="1"/>
  <c r="BQ569" i="3"/>
  <c r="BL569" i="3" s="1"/>
  <c r="BQ567" i="3"/>
  <c r="BQ565" i="3"/>
  <c r="BL565" i="3"/>
  <c r="BQ563" i="3"/>
  <c r="BL563" i="3" s="1"/>
  <c r="BQ561" i="3"/>
  <c r="BQ559" i="3"/>
  <c r="BL559" i="3" s="1"/>
  <c r="G555" i="3"/>
  <c r="G553" i="3"/>
  <c r="G549" i="3"/>
  <c r="G545" i="3"/>
  <c r="G543" i="3"/>
  <c r="G541" i="3"/>
  <c r="G537" i="3"/>
  <c r="BQ555" i="3"/>
  <c r="BL555" i="3" s="1"/>
  <c r="BQ553" i="3"/>
  <c r="BL553" i="3"/>
  <c r="AZ553" i="3" s="1"/>
  <c r="BQ551" i="3"/>
  <c r="BL551" i="3" s="1"/>
  <c r="BQ549" i="3"/>
  <c r="BQ547" i="3"/>
  <c r="BL547" i="3"/>
  <c r="AZ547" i="3" s="1"/>
  <c r="BQ545" i="3"/>
  <c r="BL545" i="3" s="1"/>
  <c r="BQ543" i="3"/>
  <c r="BL543" i="3"/>
  <c r="AZ543" i="3" s="1"/>
  <c r="BQ541" i="3"/>
  <c r="BL541" i="3" s="1"/>
  <c r="BQ539" i="3"/>
  <c r="BQ537" i="3"/>
  <c r="BL537" i="3" s="1"/>
  <c r="BQ535" i="3"/>
  <c r="BL535" i="3" s="1"/>
  <c r="AZ535" i="3" s="1"/>
  <c r="BQ533" i="3"/>
  <c r="BQ531" i="3"/>
  <c r="BL531" i="3"/>
  <c r="AZ531" i="3" s="1"/>
  <c r="BQ529" i="3"/>
  <c r="BL529" i="3" s="1"/>
  <c r="BQ527" i="3"/>
  <c r="BL527" i="3" s="1"/>
  <c r="AZ527" i="3" s="1"/>
  <c r="BQ525" i="3"/>
  <c r="BL525" i="3" s="1"/>
  <c r="BQ523" i="3"/>
  <c r="BL523" i="3"/>
  <c r="AZ523" i="3" s="1"/>
  <c r="BA521" i="3"/>
  <c r="AC521" i="3"/>
  <c r="BQ521" i="3"/>
  <c r="BL520" i="3"/>
  <c r="G519" i="3"/>
  <c r="G517" i="3"/>
  <c r="G515" i="3"/>
  <c r="G513" i="3"/>
  <c r="G511" i="3"/>
  <c r="BQ519" i="3"/>
  <c r="BQ517" i="3"/>
  <c r="BL517" i="3" s="1"/>
  <c r="BQ515" i="3"/>
  <c r="BQ513" i="3"/>
  <c r="BL513" i="3" s="1"/>
  <c r="AZ513" i="3" s="1"/>
  <c r="BQ511" i="3"/>
  <c r="BL511" i="3" s="1"/>
  <c r="AC509" i="3"/>
  <c r="BQ509" i="3"/>
  <c r="BL509" i="3" s="1"/>
  <c r="BL508" i="3"/>
  <c r="G505" i="3"/>
  <c r="G503" i="3"/>
  <c r="G501" i="3"/>
  <c r="G497" i="3"/>
  <c r="G495"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43" i="33"/>
  <c r="AB43" i="33" s="1"/>
  <c r="H17" i="37"/>
  <c r="U17" i="37" s="1"/>
  <c r="AB27" i="37"/>
  <c r="AA36" i="39"/>
  <c r="F39" i="33"/>
  <c r="AA39" i="33" s="1"/>
  <c r="F14" i="36"/>
  <c r="F22" i="36"/>
  <c r="S22" i="36" s="1"/>
  <c r="F26" i="36"/>
  <c r="S26" i="36" s="1"/>
  <c r="H27" i="34"/>
  <c r="AB27" i="34" s="1"/>
  <c r="H35" i="34"/>
  <c r="U35" i="34" s="1"/>
  <c r="F41" i="34"/>
  <c r="S41" i="34" s="1"/>
  <c r="H41" i="34"/>
  <c r="U41" i="34" s="1"/>
  <c r="J41" i="34"/>
  <c r="AC41" i="34"/>
  <c r="F10" i="35"/>
  <c r="S10" i="35" s="1"/>
  <c r="F24" i="35"/>
  <c r="AA24" i="35" s="1"/>
  <c r="H24" i="35"/>
  <c r="AB24" i="35"/>
  <c r="H23" i="37"/>
  <c r="AB23" i="37" s="1"/>
  <c r="J32" i="37"/>
  <c r="AC32" i="37" s="1"/>
  <c r="F36" i="37"/>
  <c r="AA36" i="37" s="1"/>
  <c r="F37" i="37"/>
  <c r="AA37" i="37" s="1"/>
  <c r="F32" i="40"/>
  <c r="H32" i="40"/>
  <c r="AB32" i="40" s="1"/>
  <c r="J36" i="40"/>
  <c r="W36" i="40" s="1"/>
  <c r="AA41" i="34"/>
  <c r="H19" i="37"/>
  <c r="AB19" i="37" s="1"/>
  <c r="J43" i="33"/>
  <c r="W43" i="33" s="1"/>
  <c r="S28" i="31"/>
  <c r="S27" i="31"/>
  <c r="S26" i="31"/>
  <c r="U35" i="35"/>
  <c r="AA12" i="35"/>
  <c r="W23" i="35"/>
  <c r="U39" i="37"/>
  <c r="W47" i="34"/>
  <c r="AB13" i="34"/>
  <c r="AC36" i="34"/>
  <c r="AA13" i="33"/>
  <c r="AC31" i="33"/>
  <c r="AC45" i="33"/>
  <c r="W44" i="33"/>
  <c r="U19" i="21"/>
  <c r="W44"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H19" i="40"/>
  <c r="U19" i="40" s="1"/>
  <c r="F88" i="40"/>
  <c r="G88" i="40"/>
  <c r="F19" i="40"/>
  <c r="S19" i="40" s="1"/>
  <c r="AC13" i="40"/>
  <c r="AB33" i="40"/>
  <c r="W23" i="39"/>
  <c r="W43" i="39"/>
  <c r="U45" i="39"/>
  <c r="AB45" i="39"/>
  <c r="G100" i="39"/>
  <c r="W37" i="39"/>
  <c r="H25" i="39"/>
  <c r="AB25" i="39" s="1"/>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F11" i="39"/>
  <c r="AA11" i="39" s="1"/>
  <c r="G4" i="4"/>
  <c r="I4" i="4"/>
  <c r="A2" i="9"/>
  <c r="F61" i="43"/>
  <c r="H64" i="43" s="1"/>
  <c r="AZ497" i="3"/>
  <c r="BL549" i="3"/>
  <c r="AZ514"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AZ391" i="3" s="1"/>
  <c r="BA393" i="3"/>
  <c r="BA394" i="3"/>
  <c r="BL394" i="3"/>
  <c r="AZ394" i="3" s="1"/>
  <c r="G113" i="3"/>
  <c r="BA115" i="3"/>
  <c r="BL116" i="3"/>
  <c r="G117" i="3"/>
  <c r="BA119" i="3"/>
  <c r="AZ119" i="3" s="1"/>
  <c r="BL120" i="3"/>
  <c r="G121" i="3"/>
  <c r="BA123" i="3"/>
  <c r="BL124" i="3"/>
  <c r="G125" i="3"/>
  <c r="BA127" i="3"/>
  <c r="AZ127" i="3" s="1"/>
  <c r="BL128" i="3"/>
  <c r="G129" i="3"/>
  <c r="BA131" i="3"/>
  <c r="AZ131" i="3" s="1"/>
  <c r="BL132" i="3"/>
  <c r="G133" i="3"/>
  <c r="BA135" i="3"/>
  <c r="BL136" i="3"/>
  <c r="G137" i="3"/>
  <c r="BA139" i="3"/>
  <c r="AZ139" i="3" s="1"/>
  <c r="BL140" i="3"/>
  <c r="AZ140" i="3" s="1"/>
  <c r="G141" i="3"/>
  <c r="BA143" i="3"/>
  <c r="BL144" i="3"/>
  <c r="G145" i="3"/>
  <c r="BA147" i="3"/>
  <c r="AZ147" i="3" s="1"/>
  <c r="BL148" i="3"/>
  <c r="G149" i="3"/>
  <c r="BA151" i="3"/>
  <c r="AZ151" i="3"/>
  <c r="BL152" i="3"/>
  <c r="AZ152" i="3" s="1"/>
  <c r="G153" i="3"/>
  <c r="BA155" i="3"/>
  <c r="BL156" i="3"/>
  <c r="AZ156" i="3" s="1"/>
  <c r="G157" i="3"/>
  <c r="BA159" i="3"/>
  <c r="BL160" i="3"/>
  <c r="G161" i="3"/>
  <c r="BA163" i="3"/>
  <c r="BL164" i="3"/>
  <c r="AZ164" i="3" s="1"/>
  <c r="G165" i="3"/>
  <c r="BA167" i="3"/>
  <c r="BL168" i="3"/>
  <c r="G169" i="3"/>
  <c r="BA171" i="3"/>
  <c r="BL172" i="3"/>
  <c r="AZ172" i="3" s="1"/>
  <c r="G173" i="3"/>
  <c r="BA175" i="3"/>
  <c r="BL176" i="3"/>
  <c r="AZ176" i="3" s="1"/>
  <c r="G177" i="3"/>
  <c r="BA179" i="3"/>
  <c r="AZ179" i="3" s="1"/>
  <c r="BL180" i="3"/>
  <c r="G181" i="3"/>
  <c r="BA183" i="3"/>
  <c r="BL184" i="3"/>
  <c r="G185" i="3"/>
  <c r="BA187" i="3"/>
  <c r="BL188" i="3"/>
  <c r="G189" i="3"/>
  <c r="BA191" i="3"/>
  <c r="BL192" i="3"/>
  <c r="G193" i="3"/>
  <c r="BA195" i="3"/>
  <c r="BL196" i="3"/>
  <c r="G197" i="3"/>
  <c r="BA199" i="3"/>
  <c r="AZ199" i="3" s="1"/>
  <c r="BL200" i="3"/>
  <c r="G201" i="3"/>
  <c r="BA203" i="3"/>
  <c r="AZ203" i="3" s="1"/>
  <c r="BL204" i="3"/>
  <c r="AZ204" i="3" s="1"/>
  <c r="AZ43" i="3"/>
  <c r="AZ51" i="3"/>
  <c r="AZ71" i="3"/>
  <c r="AZ184"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s="1"/>
  <c r="BA321" i="3"/>
  <c r="AZ321" i="3" s="1"/>
  <c r="BL321" i="3"/>
  <c r="G322" i="3"/>
  <c r="G325" i="3"/>
  <c r="BL326" i="3"/>
  <c r="BA328" i="3"/>
  <c r="BA329" i="3"/>
  <c r="AZ329" i="3" s="1"/>
  <c r="BL329" i="3"/>
  <c r="G330" i="3"/>
  <c r="G333" i="3"/>
  <c r="BL334" i="3"/>
  <c r="BA336" i="3"/>
  <c r="BA337" i="3"/>
  <c r="AZ337" i="3" s="1"/>
  <c r="BL337" i="3"/>
  <c r="G338" i="3"/>
  <c r="G341" i="3"/>
  <c r="BA342" i="3"/>
  <c r="BL342" i="3"/>
  <c r="BA344" i="3"/>
  <c r="AZ344" i="3" s="1"/>
  <c r="BL344" i="3"/>
  <c r="BA346" i="3"/>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c r="BA390" i="3"/>
  <c r="AZ390" i="3" s="1"/>
  <c r="BL390" i="3"/>
  <c r="G391" i="3"/>
  <c r="G394" i="3"/>
  <c r="BA16" i="3"/>
  <c r="BL303" i="3"/>
  <c r="G304" i="3"/>
  <c r="BA306" i="3"/>
  <c r="AZ306" i="3" s="1"/>
  <c r="BL307" i="3"/>
  <c r="G308" i="3"/>
  <c r="BA310" i="3"/>
  <c r="BL311" i="3"/>
  <c r="AZ311" i="3" s="1"/>
  <c r="G312" i="3"/>
  <c r="BA314" i="3"/>
  <c r="BL315" i="3"/>
  <c r="G316" i="3"/>
  <c r="BA318" i="3"/>
  <c r="AZ318" i="3" s="1"/>
  <c r="BL319" i="3"/>
  <c r="AZ319" i="3" s="1"/>
  <c r="G320" i="3"/>
  <c r="BA322" i="3"/>
  <c r="AZ322" i="3" s="1"/>
  <c r="BL323" i="3"/>
  <c r="AZ323" i="3" s="1"/>
  <c r="G324" i="3"/>
  <c r="BA326" i="3"/>
  <c r="BL327" i="3"/>
  <c r="AZ327" i="3" s="1"/>
  <c r="G328" i="3"/>
  <c r="BA330" i="3"/>
  <c r="BL331" i="3"/>
  <c r="AZ331" i="3" s="1"/>
  <c r="G332" i="3"/>
  <c r="BA334" i="3"/>
  <c r="BL335" i="3"/>
  <c r="G336" i="3"/>
  <c r="BA338" i="3"/>
  <c r="BL339" i="3"/>
  <c r="G340" i="3"/>
  <c r="BL343" i="3"/>
  <c r="G344" i="3"/>
  <c r="G348" i="3"/>
  <c r="G355" i="3"/>
  <c r="AZ209" i="3"/>
  <c r="G342" i="3"/>
  <c r="BL345" i="3"/>
  <c r="AZ345" i="3"/>
  <c r="G346" i="3"/>
  <c r="BL349" i="3"/>
  <c r="BL352" i="3"/>
  <c r="G353" i="3"/>
  <c r="BA357" i="3"/>
  <c r="AZ357" i="3"/>
  <c r="BL358" i="3"/>
  <c r="G359" i="3"/>
  <c r="BA361" i="3"/>
  <c r="AZ361" i="3" s="1"/>
  <c r="BL362" i="3"/>
  <c r="AZ362" i="3" s="1"/>
  <c r="G363" i="3"/>
  <c r="BA365" i="3"/>
  <c r="AZ365" i="3" s="1"/>
  <c r="BL366" i="3"/>
  <c r="G367" i="3"/>
  <c r="BA369" i="3"/>
  <c r="AZ369" i="3" s="1"/>
  <c r="BL370" i="3"/>
  <c r="AZ370" i="3" s="1"/>
  <c r="G371" i="3"/>
  <c r="BA373" i="3"/>
  <c r="AZ373" i="3" s="1"/>
  <c r="BL374" i="3"/>
  <c r="G375" i="3"/>
  <c r="BA377" i="3"/>
  <c r="AZ377" i="3" s="1"/>
  <c r="AZ257" i="3"/>
  <c r="BA379" i="3"/>
  <c r="BL380" i="3"/>
  <c r="G381" i="3"/>
  <c r="BA383" i="3"/>
  <c r="BL384" i="3"/>
  <c r="G385" i="3"/>
  <c r="BA387" i="3"/>
  <c r="AZ387" i="3" s="1"/>
  <c r="BL388" i="3"/>
  <c r="G389" i="3"/>
  <c r="BA391" i="3"/>
  <c r="BL392" i="3"/>
  <c r="G393" i="3"/>
  <c r="BO5" i="3"/>
  <c r="BF5" i="3"/>
  <c r="AZ333" i="3"/>
  <c r="AZ341" i="3"/>
  <c r="AZ506" i="3"/>
  <c r="G548" i="3"/>
  <c r="G538" i="3"/>
  <c r="G520" i="3"/>
  <c r="G502" i="3"/>
  <c r="BN5" i="3"/>
  <c r="AZ343" i="3"/>
  <c r="BI5" i="3"/>
  <c r="BG5" i="3"/>
  <c r="BE5" i="3"/>
  <c r="G17" i="3"/>
  <c r="BA17" i="3"/>
  <c r="AZ356" i="3"/>
  <c r="BA15" i="3"/>
  <c r="AZ15" i="3"/>
  <c r="BR5" i="3"/>
  <c r="AZ384" i="3"/>
  <c r="G509" i="3"/>
  <c r="BL493" i="3"/>
  <c r="AZ376" i="3"/>
  <c r="U36" i="40"/>
  <c r="F83" i="43"/>
  <c r="H85" i="43" s="1"/>
  <c r="F50" i="43"/>
  <c r="H54" i="43" s="1"/>
  <c r="F72" i="43"/>
  <c r="H75" i="43" s="1"/>
  <c r="U17" i="39"/>
  <c r="S14" i="35"/>
  <c r="U35" i="21"/>
  <c r="AC35" i="21"/>
  <c r="G8" i="1"/>
  <c r="G10" i="1"/>
  <c r="AZ563" i="3"/>
  <c r="W37" i="37"/>
  <c r="AC44" i="34"/>
  <c r="S15" i="37"/>
  <c r="U13" i="37"/>
  <c r="AA12" i="40"/>
  <c r="J37" i="33"/>
  <c r="W37" i="33" s="1"/>
  <c r="J34" i="33"/>
  <c r="AC34" i="33" s="1"/>
  <c r="F33" i="34"/>
  <c r="W12" i="36"/>
  <c r="AC12" i="36"/>
  <c r="H20" i="36"/>
  <c r="U20" i="36" s="1"/>
  <c r="J20"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F96" i="37"/>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C38" i="39"/>
  <c r="F39" i="39"/>
  <c r="S39" i="39" s="1"/>
  <c r="J39" i="39"/>
  <c r="AC39" i="39" s="1"/>
  <c r="E96" i="39"/>
  <c r="F96" i="39" s="1"/>
  <c r="G96" i="39" s="1"/>
  <c r="C40" i="11"/>
  <c r="AZ235" i="3"/>
  <c r="AZ117" i="3"/>
  <c r="F23" i="39"/>
  <c r="AA23" i="39" s="1"/>
  <c r="H27" i="36"/>
  <c r="U27" i="36" s="1"/>
  <c r="F27" i="36"/>
  <c r="AA27" i="36" s="1"/>
  <c r="H33" i="34"/>
  <c r="U33" i="34" s="1"/>
  <c r="F32" i="37"/>
  <c r="AA32" i="37"/>
  <c r="G96" i="37"/>
  <c r="H96" i="37" s="1"/>
  <c r="I96" i="37" s="1"/>
  <c r="J96" i="37" s="1"/>
  <c r="K96" i="37" s="1"/>
  <c r="L96" i="37" s="1"/>
  <c r="M96" i="37" s="1"/>
  <c r="F20" i="36"/>
  <c r="AA20" i="36" s="1"/>
  <c r="J33" i="34"/>
  <c r="H23" i="39"/>
  <c r="U23" i="39" s="1"/>
  <c r="K9" i="1"/>
  <c r="M9" i="1" s="1"/>
  <c r="D93" i="9"/>
  <c r="W27" i="34"/>
  <c r="AC27" i="34"/>
  <c r="AB34" i="36"/>
  <c r="U34" i="36"/>
  <c r="AB33" i="36"/>
  <c r="U33" i="36"/>
  <c r="AC12" i="39"/>
  <c r="W12" i="39"/>
  <c r="AC39" i="40"/>
  <c r="W39" i="40"/>
  <c r="AA32" i="36"/>
  <c r="S32" i="36"/>
  <c r="AZ437" i="3"/>
  <c r="AZ441" i="3"/>
  <c r="AA39" i="34"/>
  <c r="BL14" i="3"/>
  <c r="U30" i="33"/>
  <c r="AA47" i="34"/>
  <c r="W28" i="37"/>
  <c r="S19" i="39"/>
  <c r="F12" i="33"/>
  <c r="S12" i="33" s="1"/>
  <c r="H12" i="39"/>
  <c r="AB12" i="39" s="1"/>
  <c r="F39" i="40"/>
  <c r="BA14" i="3"/>
  <c r="AZ14" i="3" s="1"/>
  <c r="AZ197" i="3"/>
  <c r="B12" i="1"/>
  <c r="E12" i="1" s="1"/>
  <c r="B10" i="1"/>
  <c r="E10" i="1" s="1"/>
  <c r="K12" i="1"/>
  <c r="M12" i="1" s="1"/>
  <c r="S13" i="1"/>
  <c r="AR13" i="1" s="1"/>
  <c r="R13" i="1"/>
  <c r="J51" i="67"/>
  <c r="B41" i="1"/>
  <c r="F48" i="9" s="1"/>
  <c r="O52" i="9" s="1"/>
  <c r="AB37" i="40"/>
  <c r="S35" i="40"/>
  <c r="AC36" i="40"/>
  <c r="S17" i="40"/>
  <c r="S23" i="40"/>
  <c r="AC17" i="40"/>
  <c r="AC15" i="40"/>
  <c r="AA19" i="40"/>
  <c r="S28" i="40"/>
  <c r="AB19" i="40"/>
  <c r="F32" i="39"/>
  <c r="AA32" i="39" s="1"/>
  <c r="AB27" i="39"/>
  <c r="J21" i="39"/>
  <c r="W21" i="39" s="1"/>
  <c r="F21" i="39"/>
  <c r="G94" i="39"/>
  <c r="H21" i="39"/>
  <c r="W19" i="39"/>
  <c r="S17" i="39"/>
  <c r="AA12" i="39"/>
  <c r="S9" i="39"/>
  <c r="U14" i="39"/>
  <c r="U12" i="39"/>
  <c r="U13" i="36"/>
  <c r="U26" i="36"/>
  <c r="AA26" i="36"/>
  <c r="AA34" i="36"/>
  <c r="AA22" i="36"/>
  <c r="AB14" i="36"/>
  <c r="U22" i="36"/>
  <c r="S16" i="36"/>
  <c r="S24" i="36"/>
  <c r="U24" i="36"/>
  <c r="U23" i="36"/>
  <c r="AB20" i="36"/>
  <c r="U16" i="36"/>
  <c r="AA25" i="35"/>
  <c r="S23" i="35"/>
  <c r="W24" i="35"/>
  <c r="AB13" i="35"/>
  <c r="U29" i="35"/>
  <c r="U28" i="35"/>
  <c r="AB27" i="35"/>
  <c r="U36" i="35"/>
  <c r="U32" i="35"/>
  <c r="AC30" i="35"/>
  <c r="S32" i="35"/>
  <c r="AA36" i="35"/>
  <c r="S28" i="35"/>
  <c r="AB16" i="35"/>
  <c r="U22" i="35"/>
  <c r="S20" i="35"/>
  <c r="AC20" i="35"/>
  <c r="S22" i="35"/>
  <c r="U14" i="35"/>
  <c r="AA11" i="35"/>
  <c r="AC9" i="35"/>
  <c r="W9" i="35"/>
  <c r="AC12"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AA19" i="37" s="1"/>
  <c r="F79" i="37"/>
  <c r="G79" i="37" s="1"/>
  <c r="F23" i="37"/>
  <c r="S23" i="37" s="1"/>
  <c r="U15" i="37"/>
  <c r="AC13" i="37"/>
  <c r="AA13" i="37"/>
  <c r="H10" i="37"/>
  <c r="AB10" i="37" s="1"/>
  <c r="F63" i="37"/>
  <c r="G63" i="37" s="1"/>
  <c r="H63" i="37" s="1"/>
  <c r="I63" i="37" s="1"/>
  <c r="J63" i="37" s="1"/>
  <c r="K63" i="37" s="1"/>
  <c r="L63" i="37" s="1"/>
  <c r="M63" i="37" s="1"/>
  <c r="F11" i="37"/>
  <c r="S11" i="37" s="1"/>
  <c r="S27" i="34"/>
  <c r="W25" i="34"/>
  <c r="AB8" i="34"/>
  <c r="U43" i="34"/>
  <c r="AC39" i="34"/>
  <c r="W41" i="34"/>
  <c r="AB35" i="34"/>
  <c r="U39" i="34"/>
  <c r="S43" i="34"/>
  <c r="AB41" i="34"/>
  <c r="AA45" i="34"/>
  <c r="AA25" i="34"/>
  <c r="S17" i="34"/>
  <c r="AA29" i="34"/>
  <c r="U27" i="34"/>
  <c r="H10" i="34"/>
  <c r="AB10" i="34" s="1"/>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J35" i="33"/>
  <c r="W35" i="33" s="1"/>
  <c r="J32" i="33"/>
  <c r="W32" i="33" s="1"/>
  <c r="S46" i="33"/>
  <c r="H23" i="33"/>
  <c r="AB23" i="33" s="1"/>
  <c r="F19" i="33"/>
  <c r="AA19" i="33" s="1"/>
  <c r="J17" i="33"/>
  <c r="W17" i="33" s="1"/>
  <c r="J10" i="33"/>
  <c r="W10" i="33" s="1"/>
  <c r="H10" i="33"/>
  <c r="U10" i="33" s="1"/>
  <c r="AB14" i="33"/>
  <c r="W43" i="21"/>
  <c r="W36" i="21"/>
  <c r="W41" i="21"/>
  <c r="AB39" i="21"/>
  <c r="AA43" i="21"/>
  <c r="S39" i="21"/>
  <c r="AA38" i="21"/>
  <c r="AA36" i="21"/>
  <c r="AC40" i="21"/>
  <c r="J15" i="21"/>
  <c r="AC15" i="21" s="1"/>
  <c r="G77" i="2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9"/>
  <c r="W23" i="40"/>
  <c r="U32" i="40"/>
  <c r="S37" i="40"/>
  <c r="AB28" i="40"/>
  <c r="W28" i="40"/>
  <c r="W34" i="40"/>
  <c r="W19" i="40"/>
  <c r="W27" i="40"/>
  <c r="S36" i="40"/>
  <c r="W37" i="40"/>
  <c r="AC14" i="40"/>
  <c r="S13" i="40"/>
  <c r="S33" i="40"/>
  <c r="AA15" i="40"/>
  <c r="U11" i="40"/>
  <c r="AB13" i="40"/>
  <c r="AB17" i="40"/>
  <c r="U8" i="40"/>
  <c r="S8" i="40"/>
  <c r="AC41" i="39"/>
  <c r="U42" i="39"/>
  <c r="U41" i="39"/>
  <c r="W25" i="39"/>
  <c r="AC25" i="39"/>
  <c r="U13" i="39"/>
  <c r="AB13" i="39"/>
  <c r="AA13" i="39"/>
  <c r="S13" i="39"/>
  <c r="S14" i="39"/>
  <c r="AA14" i="39"/>
  <c r="AB43" i="39"/>
  <c r="AB11" i="39"/>
  <c r="AA27" i="39"/>
  <c r="S27" i="39"/>
  <c r="W17" i="39"/>
  <c r="AC17" i="39"/>
  <c r="S23" i="39"/>
  <c r="AA45" i="39"/>
  <c r="AB39" i="39"/>
  <c r="W34" i="39"/>
  <c r="U38" i="39"/>
  <c r="S8" i="39"/>
  <c r="S20" i="36"/>
  <c r="AC25" i="36"/>
  <c r="U32" i="36"/>
  <c r="W29" i="36"/>
  <c r="U25" i="36"/>
  <c r="AB28" i="36"/>
  <c r="W22" i="36"/>
  <c r="W23" i="36"/>
  <c r="S9" i="36"/>
  <c r="AC25" i="35"/>
  <c r="S24" i="35"/>
  <c r="U24" i="35"/>
  <c r="S35" i="35"/>
  <c r="AA16" i="35"/>
  <c r="AA35" i="37"/>
  <c r="W36" i="37"/>
  <c r="S27" i="37"/>
  <c r="S28" i="37"/>
  <c r="W32" i="37"/>
  <c r="U36" i="37"/>
  <c r="S40" i="37"/>
  <c r="U38" i="37"/>
  <c r="AB37" i="37"/>
  <c r="AC34" i="37"/>
  <c r="AB35" i="37"/>
  <c r="AA31" i="37"/>
  <c r="AA29" i="37"/>
  <c r="U8" i="37"/>
  <c r="AA40" i="34"/>
  <c r="AB40" i="34"/>
  <c r="U19" i="34"/>
  <c r="W19" i="34"/>
  <c r="AA31" i="34"/>
  <c r="AA30" i="34"/>
  <c r="AB45" i="34"/>
  <c r="AB47" i="34"/>
  <c r="U25" i="34"/>
  <c r="AB36" i="34"/>
  <c r="AC14" i="34"/>
  <c r="AC32" i="34"/>
  <c r="AC29" i="34"/>
  <c r="W29" i="34"/>
  <c r="AC46" i="34"/>
  <c r="U30" i="34"/>
  <c r="AB30" i="34"/>
  <c r="S37" i="34"/>
  <c r="U38" i="34"/>
  <c r="AC40" i="34"/>
  <c r="W40" i="34"/>
  <c r="AA19" i="34"/>
  <c r="AA36" i="34"/>
  <c r="S36" i="34"/>
  <c r="AA8" i="34"/>
  <c r="S8" i="34"/>
  <c r="AB9" i="34"/>
  <c r="U9" i="34"/>
  <c r="S46" i="34"/>
  <c r="AA46" i="34"/>
  <c r="U32" i="34"/>
  <c r="AB32" i="34"/>
  <c r="U14" i="34"/>
  <c r="AB14" i="34"/>
  <c r="W43" i="34"/>
  <c r="W23" i="34"/>
  <c r="AC23" i="34"/>
  <c r="AC35" i="34"/>
  <c r="W35" i="34"/>
  <c r="U12" i="34"/>
  <c r="AB12" i="34"/>
  <c r="AB28" i="33"/>
  <c r="W46" i="33"/>
  <c r="U38" i="33"/>
  <c r="U44" i="33"/>
  <c r="AB44" i="33"/>
  <c r="S30" i="33"/>
  <c r="AC14" i="33"/>
  <c r="W14" i="33"/>
  <c r="AC30" i="33"/>
  <c r="W30" i="33"/>
  <c r="W13" i="33"/>
  <c r="S11" i="33"/>
  <c r="S28" i="33"/>
  <c r="S44" i="21"/>
  <c r="U28" i="21"/>
  <c r="S45" i="21"/>
  <c r="I101" i="21"/>
  <c r="J101" i="21" s="1"/>
  <c r="K101" i="21" s="1"/>
  <c r="L101" i="21" s="1"/>
  <c r="M101" i="21" s="1"/>
  <c r="F33" i="21"/>
  <c r="AA33" i="21" s="1"/>
  <c r="J33" i="21"/>
  <c r="AC33" i="21" s="1"/>
  <c r="H33" i="21"/>
  <c r="AB33" i="21" s="1"/>
  <c r="F37" i="21"/>
  <c r="AA37" i="21"/>
  <c r="AA26" i="21"/>
  <c r="AB46" i="21"/>
  <c r="U40" i="21"/>
  <c r="AB31" i="21"/>
  <c r="U31" i="21"/>
  <c r="AB13" i="21"/>
  <c r="S35" i="21"/>
  <c r="J37" i="21"/>
  <c r="W37" i="21" s="1"/>
  <c r="H15" i="21"/>
  <c r="AB15" i="21" s="1"/>
  <c r="J17" i="21"/>
  <c r="AC17" i="21" s="1"/>
  <c r="AC19" i="21"/>
  <c r="W39" i="21"/>
  <c r="AC14" i="21"/>
  <c r="W30" i="21"/>
  <c r="H45" i="21"/>
  <c r="U45" i="21" s="1"/>
  <c r="F29" i="21"/>
  <c r="S29" i="21"/>
  <c r="F13" i="21"/>
  <c r="AA13" i="21" s="1"/>
  <c r="AC38" i="21"/>
  <c r="H32" i="21"/>
  <c r="H9" i="21"/>
  <c r="AB9" i="21" s="1"/>
  <c r="J9" i="21"/>
  <c r="W9" i="21" s="1"/>
  <c r="J32" i="21"/>
  <c r="W32" i="21" s="1"/>
  <c r="F32" i="21"/>
  <c r="S32" i="21" s="1"/>
  <c r="AA31" i="21"/>
  <c r="U17" i="21"/>
  <c r="W29" i="21"/>
  <c r="S19" i="21"/>
  <c r="S9" i="21"/>
  <c r="AA9" i="21"/>
  <c r="K141" i="21"/>
  <c r="K144" i="21"/>
  <c r="K143" i="21"/>
  <c r="U27" i="21"/>
  <c r="AA30" i="21"/>
  <c r="W13" i="21"/>
  <c r="W42" i="21"/>
  <c r="AC45" i="21"/>
  <c r="F10" i="21"/>
  <c r="AA10" i="21" s="1"/>
  <c r="K145" i="21"/>
  <c r="W25" i="21"/>
  <c r="AA29" i="21"/>
  <c r="W31" i="21"/>
  <c r="S17" i="21"/>
  <c r="AA15" i="21"/>
  <c r="AC26" i="21"/>
  <c r="S28" i="21"/>
  <c r="AC34" i="21"/>
  <c r="AB36" i="21"/>
  <c r="C19" i="39"/>
  <c r="C15" i="40"/>
  <c r="C17" i="40"/>
  <c r="C23" i="40"/>
  <c r="C21" i="40"/>
  <c r="U30" i="40"/>
  <c r="B56" i="43"/>
  <c r="B67" i="43"/>
  <c r="B51" i="43"/>
  <c r="B54" i="43"/>
  <c r="B58" i="43"/>
  <c r="B62" i="43"/>
  <c r="B65" i="43"/>
  <c r="B69" i="43"/>
  <c r="E4" i="4"/>
  <c r="B5" i="62" s="1"/>
  <c r="B73" i="72" s="1"/>
  <c r="C4" i="4"/>
  <c r="AA39" i="40"/>
  <c r="S39" i="40"/>
  <c r="J32" i="39"/>
  <c r="H32" i="39"/>
  <c r="AB21" i="39"/>
  <c r="U21" i="39"/>
  <c r="AA21" i="39"/>
  <c r="S21" i="39"/>
  <c r="AC17" i="37"/>
  <c r="S17" i="37"/>
  <c r="J19" i="37"/>
  <c r="AC19" i="37" s="1"/>
  <c r="G75" i="37"/>
  <c r="S19" i="37"/>
  <c r="AA23" i="37"/>
  <c r="J23" i="37"/>
  <c r="AC23" i="37" s="1"/>
  <c r="J10" i="37"/>
  <c r="W10" i="37" s="1"/>
  <c r="H11" i="37"/>
  <c r="AB11" i="37" s="1"/>
  <c r="H11" i="34"/>
  <c r="U11" i="34" s="1"/>
  <c r="J10" i="34"/>
  <c r="AC10" i="34" s="1"/>
  <c r="H19" i="33"/>
  <c r="AB19" i="33" s="1"/>
  <c r="H17" i="33"/>
  <c r="U17" i="33" s="1"/>
  <c r="F17" i="33"/>
  <c r="AA17" i="33" s="1"/>
  <c r="S37" i="21"/>
  <c r="J23" i="21"/>
  <c r="W23" i="21" s="1"/>
  <c r="F85" i="21"/>
  <c r="G85" i="21" s="1"/>
  <c r="H23" i="21"/>
  <c r="AP7" i="1"/>
  <c r="AB45" i="21"/>
  <c r="AA32" i="21"/>
  <c r="AC9" i="21"/>
  <c r="AB32" i="21"/>
  <c r="U32" i="21"/>
  <c r="AC32" i="39"/>
  <c r="W32" i="39"/>
  <c r="J11" i="37"/>
  <c r="AC11" i="37" s="1"/>
  <c r="J11" i="34"/>
  <c r="W11" i="34" s="1"/>
  <c r="U23" i="21"/>
  <c r="AB23" i="21"/>
  <c r="H109" i="9"/>
  <c r="AD3" i="71"/>
  <c r="J1" i="73"/>
  <c r="H69" i="43"/>
  <c r="C22" i="71"/>
  <c r="C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B9" i="76"/>
  <c r="B8" i="76"/>
  <c r="B12" i="76"/>
  <c r="F4" i="73"/>
  <c r="B10" i="76"/>
  <c r="B7" i="76"/>
  <c r="E8" i="76"/>
  <c r="E2" i="68"/>
  <c r="AO13" i="1"/>
  <c r="F5" i="73"/>
  <c r="F7" i="73"/>
  <c r="B13" i="76"/>
  <c r="E9" i="76"/>
  <c r="E7" i="76"/>
  <c r="D6" i="73"/>
  <c r="E13" i="76"/>
  <c r="E2" i="69"/>
  <c r="F6" i="73"/>
  <c r="F20" i="31"/>
  <c r="E12" i="76"/>
  <c r="B11" i="76"/>
  <c r="E10" i="76"/>
  <c r="F3" i="73"/>
  <c r="U25" i="21" l="1"/>
  <c r="AB25" i="21"/>
  <c r="G521" i="3"/>
  <c r="AC5" i="3"/>
  <c r="S33" i="35"/>
  <c r="AA33" i="35"/>
  <c r="U42" i="21"/>
  <c r="AB42" i="21"/>
  <c r="AB32" i="39"/>
  <c r="U32" i="39"/>
  <c r="U35" i="40"/>
  <c r="AZ379" i="3"/>
  <c r="AZ372" i="3"/>
  <c r="AZ171" i="3"/>
  <c r="W11" i="39"/>
  <c r="AC11" i="39"/>
  <c r="AA15" i="39"/>
  <c r="S15" i="39"/>
  <c r="AZ526" i="3"/>
  <c r="AC13" i="35"/>
  <c r="W13" i="35"/>
  <c r="W45" i="34"/>
  <c r="AC45" i="34"/>
  <c r="W13" i="34"/>
  <c r="AC13" i="34"/>
  <c r="S44" i="33"/>
  <c r="AA44" i="33"/>
  <c r="F29" i="6"/>
  <c r="AZ582" i="3"/>
  <c r="AB44" i="34"/>
  <c r="U44" i="34"/>
  <c r="D6" i="52"/>
  <c r="S32" i="40"/>
  <c r="AA32" i="40"/>
  <c r="W13" i="39"/>
  <c r="AC13" i="39"/>
  <c r="U28" i="37"/>
  <c r="AB28" i="37"/>
  <c r="S25" i="36"/>
  <c r="AA25" i="36"/>
  <c r="AC35" i="35"/>
  <c r="W35" i="35"/>
  <c r="U44" i="21"/>
  <c r="AB44" i="21"/>
  <c r="U14" i="21"/>
  <c r="AB14" i="21"/>
  <c r="AB11" i="33"/>
  <c r="U11" i="33"/>
  <c r="AZ587" i="3"/>
  <c r="AC28" i="34"/>
  <c r="W28" i="34"/>
  <c r="W12" i="33"/>
  <c r="AC12" i="33"/>
  <c r="AC33" i="34"/>
  <c r="W33" i="34"/>
  <c r="AB32" i="37"/>
  <c r="U32" i="37"/>
  <c r="W20" i="36"/>
  <c r="AC20" i="36"/>
  <c r="S33" i="34"/>
  <c r="AA33" i="34"/>
  <c r="AA14" i="36"/>
  <c r="S14" i="36"/>
  <c r="BL499" i="3"/>
  <c r="AZ499" i="3" s="1"/>
  <c r="BQ5" i="3"/>
  <c r="F28" i="6" s="1"/>
  <c r="AZ505" i="3"/>
  <c r="S13" i="36"/>
  <c r="AA13" i="36"/>
  <c r="W26" i="36"/>
  <c r="AC26" i="36"/>
  <c r="S32" i="34"/>
  <c r="AA32" i="34"/>
  <c r="S14" i="34"/>
  <c r="AA14" i="34"/>
  <c r="S31" i="33"/>
  <c r="AA31" i="33"/>
  <c r="U29" i="21"/>
  <c r="AB29" i="21"/>
  <c r="W11" i="33"/>
  <c r="AC11" i="33"/>
  <c r="BL586" i="3"/>
  <c r="AZ586" i="3" s="1"/>
  <c r="AC31" i="40"/>
  <c r="W31" i="40"/>
  <c r="AC41" i="33"/>
  <c r="W41" i="33"/>
  <c r="S13" i="21"/>
  <c r="AA23" i="21"/>
  <c r="S32" i="39"/>
  <c r="AA12" i="33"/>
  <c r="W30" i="40"/>
  <c r="U19" i="37"/>
  <c r="AB20" i="35"/>
  <c r="AA39" i="39"/>
  <c r="U15" i="40"/>
  <c r="AZ17" i="3"/>
  <c r="J23" i="33"/>
  <c r="AC23" i="33" s="1"/>
  <c r="S13" i="34"/>
  <c r="U23" i="37"/>
  <c r="AB31" i="37"/>
  <c r="W14" i="36"/>
  <c r="S23" i="36"/>
  <c r="U19" i="39"/>
  <c r="U25" i="39"/>
  <c r="U21" i="40"/>
  <c r="AB27" i="40"/>
  <c r="U12" i="40"/>
  <c r="BP5" i="3"/>
  <c r="G29" i="6" s="1"/>
  <c r="AZ334" i="3"/>
  <c r="AZ326" i="3"/>
  <c r="AZ364" i="3"/>
  <c r="AZ351" i="3"/>
  <c r="AZ342" i="3"/>
  <c r="AZ310" i="3"/>
  <c r="AZ175" i="3"/>
  <c r="AZ336" i="3"/>
  <c r="AZ304" i="3"/>
  <c r="S11" i="39"/>
  <c r="H5" i="3"/>
  <c r="U33" i="37"/>
  <c r="AZ571" i="3"/>
  <c r="AZ559" i="3"/>
  <c r="AZ569" i="3"/>
  <c r="AZ508" i="3"/>
  <c r="AZ542" i="3"/>
  <c r="W36" i="39"/>
  <c r="F14" i="40"/>
  <c r="F43" i="39"/>
  <c r="H25" i="35"/>
  <c r="W30" i="34"/>
  <c r="AC30" i="34"/>
  <c r="AC29" i="33"/>
  <c r="W29" i="33"/>
  <c r="F27" i="21"/>
  <c r="J28" i="33"/>
  <c r="W28" i="33" s="1"/>
  <c r="F46" i="21"/>
  <c r="AB23" i="34"/>
  <c r="AA34" i="37"/>
  <c r="F28" i="34"/>
  <c r="AB12" i="35"/>
  <c r="AC27" i="35"/>
  <c r="G587" i="3"/>
  <c r="AA40" i="21"/>
  <c r="S40" i="21"/>
  <c r="J26" i="33"/>
  <c r="AC26" i="33" s="1"/>
  <c r="W12" i="34"/>
  <c r="AC12" i="34"/>
  <c r="U12" i="36"/>
  <c r="J9" i="36"/>
  <c r="H9" i="36"/>
  <c r="J26" i="37"/>
  <c r="H26" i="37"/>
  <c r="F26" i="37"/>
  <c r="AC40" i="39"/>
  <c r="W40" i="39"/>
  <c r="H35" i="39"/>
  <c r="H44" i="39"/>
  <c r="J44" i="39"/>
  <c r="H34" i="35"/>
  <c r="F34" i="35"/>
  <c r="F31" i="39"/>
  <c r="J31" i="39"/>
  <c r="AB31" i="35"/>
  <c r="U31" i="35"/>
  <c r="F23" i="33"/>
  <c r="AA23" i="33" s="1"/>
  <c r="AB33" i="34"/>
  <c r="W15" i="21"/>
  <c r="U15" i="34"/>
  <c r="AC42" i="34"/>
  <c r="S33" i="36"/>
  <c r="AA27" i="40"/>
  <c r="W29" i="35"/>
  <c r="AC17" i="34"/>
  <c r="U43" i="21"/>
  <c r="BC5" i="3"/>
  <c r="AZ338" i="3"/>
  <c r="AZ363" i="3"/>
  <c r="AZ191" i="3"/>
  <c r="H37" i="39"/>
  <c r="H31" i="40"/>
  <c r="H28" i="34"/>
  <c r="AZ525" i="3"/>
  <c r="AZ510" i="3"/>
  <c r="AZ570" i="3"/>
  <c r="BL584" i="3"/>
  <c r="AZ584" i="3" s="1"/>
  <c r="BA585" i="3"/>
  <c r="AZ585" i="3" s="1"/>
  <c r="AA14" i="33"/>
  <c r="H14" i="40"/>
  <c r="W11" i="35"/>
  <c r="AC11" i="35"/>
  <c r="H31" i="39"/>
  <c r="U38" i="40"/>
  <c r="B94" i="43"/>
  <c r="B73" i="43"/>
  <c r="U12" i="33"/>
  <c r="AB12" i="33"/>
  <c r="AB40" i="33"/>
  <c r="U40" i="33"/>
  <c r="AC28" i="35"/>
  <c r="J34" i="35"/>
  <c r="AA34" i="40"/>
  <c r="S34" i="40"/>
  <c r="BL573" i="3"/>
  <c r="BL562" i="3"/>
  <c r="AZ562" i="3" s="1"/>
  <c r="G557" i="3"/>
  <c r="BA551" i="3"/>
  <c r="AZ551" i="3" s="1"/>
  <c r="BA550" i="3"/>
  <c r="BL539" i="3"/>
  <c r="AZ539" i="3" s="1"/>
  <c r="BL538" i="3"/>
  <c r="BL522" i="3"/>
  <c r="AZ522" i="3" s="1"/>
  <c r="BA512" i="3"/>
  <c r="AZ512" i="3" s="1"/>
  <c r="BL503" i="3"/>
  <c r="BL502" i="3"/>
  <c r="AZ502" i="3" s="1"/>
  <c r="S23" i="34"/>
  <c r="AB23" i="35"/>
  <c r="BD5" i="3"/>
  <c r="AZ16" i="3"/>
  <c r="U26" i="21"/>
  <c r="F31" i="40"/>
  <c r="AZ503" i="3"/>
  <c r="AZ515" i="3"/>
  <c r="AZ538" i="3"/>
  <c r="AZ516" i="3"/>
  <c r="AC11" i="40"/>
  <c r="F37" i="39"/>
  <c r="AC9" i="40"/>
  <c r="F12" i="21"/>
  <c r="J12" i="21"/>
  <c r="H12" i="21"/>
  <c r="J27" i="21"/>
  <c r="J9" i="33"/>
  <c r="H9" i="33"/>
  <c r="AC22" i="35"/>
  <c r="AB9" i="40"/>
  <c r="U9" i="40"/>
  <c r="F37" i="33"/>
  <c r="S37" i="33" s="1"/>
  <c r="E113" i="33"/>
  <c r="F113" i="33" s="1"/>
  <c r="G113" i="33" s="1"/>
  <c r="H113" i="33" s="1"/>
  <c r="I113" i="33" s="1"/>
  <c r="J113" i="33" s="1"/>
  <c r="K113" i="33" s="1"/>
  <c r="L113" i="33" s="1"/>
  <c r="M113" i="33" s="1"/>
  <c r="AA31" i="35"/>
  <c r="S31" i="35"/>
  <c r="AA35" i="39"/>
  <c r="S35" i="39"/>
  <c r="BL583" i="3"/>
  <c r="BA581" i="3"/>
  <c r="AZ581" i="3" s="1"/>
  <c r="BL578" i="3"/>
  <c r="BA578" i="3"/>
  <c r="BL577" i="3"/>
  <c r="BL576" i="3"/>
  <c r="AZ576" i="3" s="1"/>
  <c r="BA574" i="3"/>
  <c r="AZ574" i="3" s="1"/>
  <c r="BA573" i="3"/>
  <c r="BA565" i="3"/>
  <c r="AZ565" i="3" s="1"/>
  <c r="BL560" i="3"/>
  <c r="AZ560" i="3" s="1"/>
  <c r="BA555" i="3"/>
  <c r="AZ555" i="3" s="1"/>
  <c r="BA554" i="3"/>
  <c r="AZ554" i="3" s="1"/>
  <c r="BA545" i="3"/>
  <c r="AZ545" i="3" s="1"/>
  <c r="BA544" i="3"/>
  <c r="AZ544" i="3" s="1"/>
  <c r="BL540" i="3"/>
  <c r="AZ540" i="3" s="1"/>
  <c r="BA537" i="3"/>
  <c r="AZ537" i="3" s="1"/>
  <c r="BA536" i="3"/>
  <c r="AZ536" i="3" s="1"/>
  <c r="BA529" i="3"/>
  <c r="AZ529" i="3" s="1"/>
  <c r="BA528" i="3"/>
  <c r="AZ528" i="3" s="1"/>
  <c r="BA524" i="3"/>
  <c r="AZ524" i="3" s="1"/>
  <c r="BL519" i="3"/>
  <c r="BA519" i="3"/>
  <c r="AZ519" i="3" s="1"/>
  <c r="BL518" i="3"/>
  <c r="BA518" i="3"/>
  <c r="BL515" i="3"/>
  <c r="BA511" i="3"/>
  <c r="AZ511" i="3" s="1"/>
  <c r="BA509" i="3"/>
  <c r="AZ509" i="3" s="1"/>
  <c r="BL507" i="3"/>
  <c r="AZ507" i="3" s="1"/>
  <c r="BA504" i="3"/>
  <c r="AZ504" i="3" s="1"/>
  <c r="BA501" i="3"/>
  <c r="AZ501" i="3" s="1"/>
  <c r="BL500" i="3"/>
  <c r="AZ500" i="3" s="1"/>
  <c r="BA496" i="3"/>
  <c r="AZ496" i="3" s="1"/>
  <c r="BA493" i="3"/>
  <c r="AZ493" i="3" s="1"/>
  <c r="BL495" i="3"/>
  <c r="AZ495" i="3" s="1"/>
  <c r="BL521" i="3"/>
  <c r="AZ521" i="3" s="1"/>
  <c r="BL533" i="3"/>
  <c r="AZ533" i="3" s="1"/>
  <c r="BL561" i="3"/>
  <c r="AZ561" i="3" s="1"/>
  <c r="BL567" i="3"/>
  <c r="AZ567" i="3" s="1"/>
  <c r="AA39" i="37"/>
  <c r="C15" i="39"/>
  <c r="C27" i="39"/>
  <c r="W9" i="34"/>
  <c r="BL585" i="3"/>
  <c r="F40" i="40"/>
  <c r="AZ477" i="3"/>
  <c r="G562" i="3"/>
  <c r="BL548" i="3"/>
  <c r="AZ548" i="3" s="1"/>
  <c r="AZ421" i="3"/>
  <c r="BA400" i="3"/>
  <c r="BA401" i="3"/>
  <c r="AZ401" i="3" s="1"/>
  <c r="BL402" i="3"/>
  <c r="G404" i="3"/>
  <c r="G408" i="3"/>
  <c r="BA408" i="3"/>
  <c r="BA413" i="3"/>
  <c r="AZ413" i="3" s="1"/>
  <c r="BA415" i="3"/>
  <c r="BL421" i="3"/>
  <c r="BL422" i="3"/>
  <c r="BL423" i="3"/>
  <c r="G425" i="3"/>
  <c r="BA427" i="3"/>
  <c r="BA429" i="3"/>
  <c r="BL438" i="3"/>
  <c r="BL439" i="3"/>
  <c r="AZ439" i="3" s="1"/>
  <c r="BL440" i="3"/>
  <c r="BA444" i="3"/>
  <c r="AZ444" i="3" s="1"/>
  <c r="BA446" i="3"/>
  <c r="AZ446" i="3" s="1"/>
  <c r="BL449" i="3"/>
  <c r="AZ449" i="3" s="1"/>
  <c r="BL450" i="3"/>
  <c r="BL451" i="3"/>
  <c r="BL452" i="3"/>
  <c r="G578" i="3"/>
  <c r="G558" i="3"/>
  <c r="G551" i="3"/>
  <c r="BL550" i="3"/>
  <c r="G542" i="3"/>
  <c r="BL16" i="3"/>
  <c r="BA399" i="3"/>
  <c r="BL403" i="3"/>
  <c r="BA407" i="3"/>
  <c r="AZ407" i="3" s="1"/>
  <c r="BL411" i="3"/>
  <c r="BL417" i="3"/>
  <c r="AZ417" i="3" s="1"/>
  <c r="BL418" i="3"/>
  <c r="AZ418" i="3" s="1"/>
  <c r="BL419" i="3"/>
  <c r="AZ419" i="3" s="1"/>
  <c r="G421" i="3"/>
  <c r="BA423" i="3"/>
  <c r="AZ423" i="3" s="1"/>
  <c r="BA424" i="3"/>
  <c r="AZ424" i="3" s="1"/>
  <c r="BA426" i="3"/>
  <c r="BL432" i="3"/>
  <c r="BL435" i="3"/>
  <c r="AZ435" i="3" s="1"/>
  <c r="BL436" i="3"/>
  <c r="AZ436" i="3" s="1"/>
  <c r="BA440" i="3"/>
  <c r="AZ440" i="3" s="1"/>
  <c r="BA442" i="3"/>
  <c r="BA443" i="3"/>
  <c r="G449" i="3"/>
  <c r="BA452" i="3"/>
  <c r="G457" i="3"/>
  <c r="BA457" i="3"/>
  <c r="AZ457" i="3" s="1"/>
  <c r="BA458" i="3"/>
  <c r="AZ458" i="3" s="1"/>
  <c r="BA459" i="3"/>
  <c r="BL460" i="3"/>
  <c r="BL461" i="3"/>
  <c r="BL462" i="3"/>
  <c r="BL463" i="3"/>
  <c r="BA465" i="3"/>
  <c r="AZ465" i="3" s="1"/>
  <c r="BA466" i="3"/>
  <c r="AZ466" i="3" s="1"/>
  <c r="BA468" i="3"/>
  <c r="AZ468" i="3" s="1"/>
  <c r="BA469" i="3"/>
  <c r="BA470" i="3"/>
  <c r="BL470" i="3"/>
  <c r="AZ485" i="3"/>
  <c r="AZ246" i="3"/>
  <c r="F6" i="1"/>
  <c r="G6" i="1" s="1"/>
  <c r="BL400" i="3"/>
  <c r="G401" i="3"/>
  <c r="G402" i="3"/>
  <c r="BA402" i="3"/>
  <c r="AZ402" i="3" s="1"/>
  <c r="BA406" i="3"/>
  <c r="BL408" i="3"/>
  <c r="G409" i="3"/>
  <c r="BL409" i="3"/>
  <c r="AZ409" i="3" s="1"/>
  <c r="G411" i="3"/>
  <c r="BL412" i="3"/>
  <c r="AZ412" i="3" s="1"/>
  <c r="BL414" i="3"/>
  <c r="BL415" i="3"/>
  <c r="G416" i="3"/>
  <c r="BL416" i="3"/>
  <c r="BA420" i="3"/>
  <c r="AZ420" i="3" s="1"/>
  <c r="BA422" i="3"/>
  <c r="AZ422" i="3" s="1"/>
  <c r="G428" i="3"/>
  <c r="BL428" i="3"/>
  <c r="AZ428" i="3" s="1"/>
  <c r="BL429" i="3"/>
  <c r="G430" i="3"/>
  <c r="BL430" i="3"/>
  <c r="G432" i="3"/>
  <c r="BL433" i="3"/>
  <c r="AZ433" i="3" s="1"/>
  <c r="G438" i="3"/>
  <c r="BA438" i="3"/>
  <c r="BA439" i="3"/>
  <c r="G444" i="3"/>
  <c r="BL445" i="3"/>
  <c r="AZ445" i="3" s="1"/>
  <c r="BL446" i="3"/>
  <c r="G447" i="3"/>
  <c r="BL447" i="3"/>
  <c r="BL448" i="3"/>
  <c r="AZ448" i="3" s="1"/>
  <c r="BA450" i="3"/>
  <c r="BA451" i="3"/>
  <c r="BL453" i="3"/>
  <c r="AZ453" i="3" s="1"/>
  <c r="BL454" i="3"/>
  <c r="AZ454" i="3" s="1"/>
  <c r="G455" i="3"/>
  <c r="BL455" i="3"/>
  <c r="BL456" i="3"/>
  <c r="G459" i="3"/>
  <c r="G460" i="3"/>
  <c r="BA463" i="3"/>
  <c r="G470" i="3"/>
  <c r="BL471" i="3"/>
  <c r="AZ471" i="3" s="1"/>
  <c r="BL472" i="3"/>
  <c r="G473" i="3"/>
  <c r="BL474" i="3"/>
  <c r="AZ474" i="3" s="1"/>
  <c r="BL475" i="3"/>
  <c r="G476" i="3"/>
  <c r="BL476" i="3"/>
  <c r="BL478" i="3"/>
  <c r="AZ478" i="3" s="1"/>
  <c r="BL479" i="3"/>
  <c r="G480" i="3"/>
  <c r="BL480" i="3"/>
  <c r="G483" i="3"/>
  <c r="BA483" i="3"/>
  <c r="AZ483" i="3" s="1"/>
  <c r="BA484" i="3"/>
  <c r="AZ484" i="3" s="1"/>
  <c r="G488" i="3"/>
  <c r="G489" i="3"/>
  <c r="AZ403" i="3"/>
  <c r="AZ410" i="3"/>
  <c r="AZ414" i="3"/>
  <c r="AZ416" i="3"/>
  <c r="AZ430" i="3"/>
  <c r="AZ431" i="3"/>
  <c r="AZ447" i="3"/>
  <c r="BA455" i="3"/>
  <c r="AZ455" i="3" s="1"/>
  <c r="BA456" i="3"/>
  <c r="AZ456" i="3" s="1"/>
  <c r="BL457" i="3"/>
  <c r="G458" i="3"/>
  <c r="BL458" i="3"/>
  <c r="BL459" i="3"/>
  <c r="AZ459" i="3" s="1"/>
  <c r="BA461" i="3"/>
  <c r="BA462" i="3"/>
  <c r="BL464" i="3"/>
  <c r="G466" i="3"/>
  <c r="BL467" i="3"/>
  <c r="BL468" i="3"/>
  <c r="G469" i="3"/>
  <c r="BL469" i="3"/>
  <c r="BA476" i="3"/>
  <c r="AZ476" i="3" s="1"/>
  <c r="BA480" i="3"/>
  <c r="AZ480" i="3" s="1"/>
  <c r="BA482" i="3"/>
  <c r="BL485" i="3"/>
  <c r="BL487" i="3"/>
  <c r="AZ487" i="3" s="1"/>
  <c r="BL488" i="3"/>
  <c r="BA472" i="3"/>
  <c r="BA473" i="3"/>
  <c r="AZ473" i="3" s="1"/>
  <c r="BA475" i="3"/>
  <c r="AZ475" i="3" s="1"/>
  <c r="BA479" i="3"/>
  <c r="AZ479" i="3" s="1"/>
  <c r="BL489" i="3"/>
  <c r="BA307" i="3"/>
  <c r="AZ307" i="3" s="1"/>
  <c r="BL314" i="3"/>
  <c r="AZ314" i="3" s="1"/>
  <c r="BL316" i="3"/>
  <c r="G329" i="3"/>
  <c r="BA349" i="3"/>
  <c r="AZ349" i="3" s="1"/>
  <c r="BA352" i="3"/>
  <c r="AZ352" i="3" s="1"/>
  <c r="BL354" i="3"/>
  <c r="BA366" i="3"/>
  <c r="AZ366" i="3" s="1"/>
  <c r="BL368" i="3"/>
  <c r="AZ368" i="3" s="1"/>
  <c r="BL375" i="3"/>
  <c r="AZ375" i="3" s="1"/>
  <c r="BL386" i="3"/>
  <c r="AZ386" i="3" s="1"/>
  <c r="BA392" i="3"/>
  <c r="AZ392" i="3" s="1"/>
  <c r="BA395" i="3"/>
  <c r="BL396" i="3"/>
  <c r="G209" i="3"/>
  <c r="BL210" i="3"/>
  <c r="BL211" i="3"/>
  <c r="BA215" i="3"/>
  <c r="AZ215" i="3" s="1"/>
  <c r="BA216" i="3"/>
  <c r="AZ216" i="3" s="1"/>
  <c r="BA217" i="3"/>
  <c r="AZ217" i="3" s="1"/>
  <c r="BL222" i="3"/>
  <c r="AZ222" i="3" s="1"/>
  <c r="G226" i="3"/>
  <c r="G227" i="3"/>
  <c r="G232" i="3"/>
  <c r="BA234" i="3"/>
  <c r="BA241" i="3"/>
  <c r="AZ241" i="3" s="1"/>
  <c r="BA242" i="3"/>
  <c r="AZ242" i="3" s="1"/>
  <c r="G244" i="3"/>
  <c r="BA247" i="3"/>
  <c r="AZ247" i="3" s="1"/>
  <c r="BA251" i="3"/>
  <c r="AZ251" i="3" s="1"/>
  <c r="BA252" i="3"/>
  <c r="AZ252" i="3" s="1"/>
  <c r="G254" i="3"/>
  <c r="BA256" i="3"/>
  <c r="BL260" i="3"/>
  <c r="G261" i="3"/>
  <c r="BL261" i="3"/>
  <c r="AZ261" i="3" s="1"/>
  <c r="BL262" i="3"/>
  <c r="G265" i="3"/>
  <c r="BL265" i="3"/>
  <c r="AZ265" i="3" s="1"/>
  <c r="G267" i="3"/>
  <c r="G268" i="3"/>
  <c r="BA268" i="3"/>
  <c r="AZ268" i="3" s="1"/>
  <c r="BA269" i="3"/>
  <c r="AZ269" i="3" s="1"/>
  <c r="BA273" i="3"/>
  <c r="AZ273" i="3" s="1"/>
  <c r="BL275" i="3"/>
  <c r="AZ275" i="3" s="1"/>
  <c r="BL276" i="3"/>
  <c r="BL277" i="3"/>
  <c r="BL280" i="3"/>
  <c r="G286" i="3"/>
  <c r="BL286" i="3"/>
  <c r="AZ286" i="3" s="1"/>
  <c r="G288" i="3"/>
  <c r="BL288" i="3"/>
  <c r="AZ288" i="3" s="1"/>
  <c r="BL289" i="3"/>
  <c r="G290" i="3"/>
  <c r="BL290" i="3"/>
  <c r="AZ290" i="3" s="1"/>
  <c r="G298" i="3"/>
  <c r="BL298" i="3"/>
  <c r="BA118" i="3"/>
  <c r="AZ118" i="3" s="1"/>
  <c r="G122" i="3"/>
  <c r="BL122" i="3"/>
  <c r="BA124" i="3"/>
  <c r="AZ124" i="3" s="1"/>
  <c r="G127" i="3"/>
  <c r="G174" i="3"/>
  <c r="BL178" i="3"/>
  <c r="AZ178" i="3" s="1"/>
  <c r="G182" i="3"/>
  <c r="BA28" i="3"/>
  <c r="AZ28" i="3" s="1"/>
  <c r="AZ44" i="3"/>
  <c r="AZ262" i="3"/>
  <c r="AZ298" i="3"/>
  <c r="BA207" i="3"/>
  <c r="BA18" i="3"/>
  <c r="G53" i="3"/>
  <c r="BA303" i="3"/>
  <c r="AZ303" i="3" s="1"/>
  <c r="G323" i="3"/>
  <c r="G327" i="3"/>
  <c r="BL330" i="3"/>
  <c r="AZ330" i="3" s="1"/>
  <c r="BL332" i="3"/>
  <c r="BL340" i="3"/>
  <c r="AZ340" i="3" s="1"/>
  <c r="BA354" i="3"/>
  <c r="BA358" i="3"/>
  <c r="AZ358" i="3" s="1"/>
  <c r="G374" i="3"/>
  <c r="BL383" i="3"/>
  <c r="AZ383" i="3" s="1"/>
  <c r="BA396" i="3"/>
  <c r="BA213" i="3"/>
  <c r="AZ213" i="3" s="1"/>
  <c r="BA218" i="3"/>
  <c r="AZ218" i="3" s="1"/>
  <c r="BA219" i="3"/>
  <c r="BA220" i="3"/>
  <c r="AZ220" i="3" s="1"/>
  <c r="BL224" i="3"/>
  <c r="AZ224" i="3" s="1"/>
  <c r="BL228" i="3"/>
  <c r="G229" i="3"/>
  <c r="BL229" i="3"/>
  <c r="AZ229" i="3" s="1"/>
  <c r="BL230" i="3"/>
  <c r="AZ230" i="3" s="1"/>
  <c r="BA233" i="3"/>
  <c r="AZ233" i="3" s="1"/>
  <c r="G236" i="3"/>
  <c r="G237" i="3"/>
  <c r="BA239" i="3"/>
  <c r="AZ239" i="3" s="1"/>
  <c r="BA243" i="3"/>
  <c r="AZ243" i="3" s="1"/>
  <c r="BA245" i="3"/>
  <c r="AZ245" i="3" s="1"/>
  <c r="BA249" i="3"/>
  <c r="AZ249" i="3" s="1"/>
  <c r="BA253" i="3"/>
  <c r="BA254" i="3"/>
  <c r="AZ254" i="3" s="1"/>
  <c r="BA255" i="3"/>
  <c r="AZ255" i="3" s="1"/>
  <c r="G258" i="3"/>
  <c r="G259" i="3"/>
  <c r="BA271" i="3"/>
  <c r="AZ271" i="3" s="1"/>
  <c r="BA272" i="3"/>
  <c r="BL296" i="3"/>
  <c r="BL114" i="3"/>
  <c r="BA116" i="3"/>
  <c r="AZ116" i="3" s="1"/>
  <c r="BA120" i="3"/>
  <c r="AZ120" i="3" s="1"/>
  <c r="BA149" i="3"/>
  <c r="AZ149" i="3" s="1"/>
  <c r="AZ153" i="3"/>
  <c r="BA348" i="3"/>
  <c r="AZ348" i="3" s="1"/>
  <c r="BL385" i="3"/>
  <c r="BL214" i="3"/>
  <c r="AZ236" i="3"/>
  <c r="BL240" i="3"/>
  <c r="BL250" i="3"/>
  <c r="BL272" i="3"/>
  <c r="G279" i="3"/>
  <c r="BA279" i="3"/>
  <c r="BA280" i="3"/>
  <c r="BA283" i="3"/>
  <c r="AZ283" i="3" s="1"/>
  <c r="BL293" i="3"/>
  <c r="AZ293" i="3" s="1"/>
  <c r="BL294" i="3"/>
  <c r="BL301" i="3"/>
  <c r="BL302" i="3"/>
  <c r="AZ193" i="3"/>
  <c r="BL194" i="3"/>
  <c r="BA196" i="3"/>
  <c r="AZ196" i="3" s="1"/>
  <c r="BA201" i="3"/>
  <c r="BA40" i="3"/>
  <c r="AZ40" i="3" s="1"/>
  <c r="S21" i="21"/>
  <c r="AA21" i="21"/>
  <c r="X13" i="71"/>
  <c r="X17" i="71"/>
  <c r="BA75" i="3"/>
  <c r="BL77" i="3"/>
  <c r="G81" i="3"/>
  <c r="BA81" i="3"/>
  <c r="AZ81" i="3" s="1"/>
  <c r="BL84" i="3"/>
  <c r="BA85" i="3"/>
  <c r="AZ85" i="3" s="1"/>
  <c r="T72" i="71"/>
  <c r="D72" i="71"/>
  <c r="C71" i="71"/>
  <c r="T80" i="71"/>
  <c r="D80" i="71"/>
  <c r="C79" i="71"/>
  <c r="G487" i="3"/>
  <c r="BA488" i="3"/>
  <c r="BA489" i="3"/>
  <c r="AZ489" i="3" s="1"/>
  <c r="BL491" i="3"/>
  <c r="AZ491" i="3" s="1"/>
  <c r="G492" i="3"/>
  <c r="BL492" i="3"/>
  <c r="G313" i="3"/>
  <c r="BL328" i="3"/>
  <c r="AZ328" i="3" s="1"/>
  <c r="BA332" i="3"/>
  <c r="BA339" i="3"/>
  <c r="AZ339" i="3" s="1"/>
  <c r="G347" i="3"/>
  <c r="BL350" i="3"/>
  <c r="BL353" i="3"/>
  <c r="BL363" i="3"/>
  <c r="BL367" i="3"/>
  <c r="BA374" i="3"/>
  <c r="AZ374" i="3" s="1"/>
  <c r="G382" i="3"/>
  <c r="BA385" i="3"/>
  <c r="BA388" i="3"/>
  <c r="AZ388" i="3" s="1"/>
  <c r="G395" i="3"/>
  <c r="G396" i="3"/>
  <c r="BL397" i="3"/>
  <c r="BL208" i="3"/>
  <c r="BA210" i="3"/>
  <c r="BA211" i="3"/>
  <c r="BA212" i="3"/>
  <c r="AZ212" i="3" s="1"/>
  <c r="BA214" i="3"/>
  <c r="AZ214" i="3" s="1"/>
  <c r="G219" i="3"/>
  <c r="G220" i="3"/>
  <c r="BL221" i="3"/>
  <c r="BL223" i="3"/>
  <c r="AZ223" i="3" s="1"/>
  <c r="BA227" i="3"/>
  <c r="AZ227" i="3" s="1"/>
  <c r="BA228" i="3"/>
  <c r="G233" i="3"/>
  <c r="G235" i="3"/>
  <c r="BA237" i="3"/>
  <c r="AZ237" i="3" s="1"/>
  <c r="BA240" i="3"/>
  <c r="BL243" i="3"/>
  <c r="G245" i="3"/>
  <c r="BA248" i="3"/>
  <c r="AZ248" i="3" s="1"/>
  <c r="BA250" i="3"/>
  <c r="BL253" i="3"/>
  <c r="G257" i="3"/>
  <c r="BA259" i="3"/>
  <c r="AZ259" i="3" s="1"/>
  <c r="BA260" i="3"/>
  <c r="BA264" i="3"/>
  <c r="BA266" i="3"/>
  <c r="AZ266" i="3" s="1"/>
  <c r="BA267" i="3"/>
  <c r="AZ267" i="3" s="1"/>
  <c r="BL273" i="3"/>
  <c r="G274" i="3"/>
  <c r="BL274" i="3"/>
  <c r="BA277" i="3"/>
  <c r="BA278" i="3"/>
  <c r="AZ278" i="3" s="1"/>
  <c r="BL281" i="3"/>
  <c r="AZ281" i="3" s="1"/>
  <c r="G282" i="3"/>
  <c r="BL282" i="3"/>
  <c r="BA285" i="3"/>
  <c r="BA287" i="3"/>
  <c r="AZ287" i="3" s="1"/>
  <c r="BA289" i="3"/>
  <c r="AZ289" i="3" s="1"/>
  <c r="BA291" i="3"/>
  <c r="AZ291" i="3" s="1"/>
  <c r="BA293" i="3"/>
  <c r="BA294" i="3"/>
  <c r="BA296" i="3"/>
  <c r="AZ296" i="3" s="1"/>
  <c r="BA299" i="3"/>
  <c r="AZ299" i="3" s="1"/>
  <c r="BA301" i="3"/>
  <c r="AZ301" i="3" s="1"/>
  <c r="BA302" i="3"/>
  <c r="BA114" i="3"/>
  <c r="AZ114" i="3" s="1"/>
  <c r="G116" i="3"/>
  <c r="BL118" i="3"/>
  <c r="BL123" i="3"/>
  <c r="AZ123" i="3" s="1"/>
  <c r="BL125" i="3"/>
  <c r="BL126" i="3"/>
  <c r="BA130" i="3"/>
  <c r="AZ130" i="3" s="1"/>
  <c r="BA132" i="3"/>
  <c r="AZ132" i="3" s="1"/>
  <c r="BL135" i="3"/>
  <c r="AZ135" i="3" s="1"/>
  <c r="BA137" i="3"/>
  <c r="BL138" i="3"/>
  <c r="AZ138" i="3" s="1"/>
  <c r="BL142" i="3"/>
  <c r="AZ142" i="3" s="1"/>
  <c r="BA144" i="3"/>
  <c r="AZ144" i="3" s="1"/>
  <c r="BL150" i="3"/>
  <c r="G151" i="3"/>
  <c r="BA154" i="3"/>
  <c r="AZ154" i="3" s="1"/>
  <c r="G158" i="3"/>
  <c r="BL170" i="3"/>
  <c r="BL171" i="3"/>
  <c r="BL185" i="3"/>
  <c r="G187" i="3"/>
  <c r="BA189" i="3"/>
  <c r="AZ189" i="3" s="1"/>
  <c r="BL191" i="3"/>
  <c r="BA192" i="3"/>
  <c r="AZ192" i="3" s="1"/>
  <c r="G203" i="3"/>
  <c r="BL205" i="3"/>
  <c r="BA21" i="3"/>
  <c r="AZ21" i="3" s="1"/>
  <c r="BL24" i="3"/>
  <c r="AZ24" i="3" s="1"/>
  <c r="G26" i="3"/>
  <c r="BA29" i="3"/>
  <c r="AZ29" i="3" s="1"/>
  <c r="BL33" i="3"/>
  <c r="G34" i="3"/>
  <c r="BL34" i="3"/>
  <c r="AZ34" i="3" s="1"/>
  <c r="BL37" i="3"/>
  <c r="BL38" i="3"/>
  <c r="BL41" i="3"/>
  <c r="AZ41" i="3" s="1"/>
  <c r="BL45" i="3"/>
  <c r="BA50" i="3"/>
  <c r="G55" i="3"/>
  <c r="BL55" i="3"/>
  <c r="AZ55" i="3" s="1"/>
  <c r="BL57" i="3"/>
  <c r="G61" i="3"/>
  <c r="BA64" i="3"/>
  <c r="BA66" i="3"/>
  <c r="AZ66" i="3" s="1"/>
  <c r="BA68" i="3"/>
  <c r="AZ68" i="3" s="1"/>
  <c r="G71" i="3"/>
  <c r="BL72" i="3"/>
  <c r="BA88" i="3"/>
  <c r="AB29" i="39"/>
  <c r="U29" i="39"/>
  <c r="G318" i="3"/>
  <c r="BL324" i="3"/>
  <c r="AZ324" i="3" s="1"/>
  <c r="BA335" i="3"/>
  <c r="AZ335" i="3" s="1"/>
  <c r="BL346" i="3"/>
  <c r="AZ346" i="3" s="1"/>
  <c r="BA350" i="3"/>
  <c r="BA353" i="3"/>
  <c r="AZ353" i="3" s="1"/>
  <c r="BL359" i="3"/>
  <c r="AZ359" i="3" s="1"/>
  <c r="BA367" i="3"/>
  <c r="G369" i="3"/>
  <c r="G380" i="3"/>
  <c r="BL381" i="3"/>
  <c r="AZ381" i="3" s="1"/>
  <c r="BL393" i="3"/>
  <c r="AZ393" i="3" s="1"/>
  <c r="BL395" i="3"/>
  <c r="BA397" i="3"/>
  <c r="BA208" i="3"/>
  <c r="AZ208" i="3" s="1"/>
  <c r="G214" i="3"/>
  <c r="G216" i="3"/>
  <c r="BL218" i="3"/>
  <c r="BL219" i="3"/>
  <c r="BL226" i="3"/>
  <c r="AZ226" i="3" s="1"/>
  <c r="G230" i="3"/>
  <c r="BL232" i="3"/>
  <c r="AZ232" i="3" s="1"/>
  <c r="BL234" i="3"/>
  <c r="BL236" i="3"/>
  <c r="BL238" i="3"/>
  <c r="AZ238" i="3" s="1"/>
  <c r="G240" i="3"/>
  <c r="G242" i="3"/>
  <c r="BL244" i="3"/>
  <c r="AZ244" i="3" s="1"/>
  <c r="BL246" i="3"/>
  <c r="G248" i="3"/>
  <c r="G250" i="3"/>
  <c r="G252" i="3"/>
  <c r="BL256" i="3"/>
  <c r="BL258" i="3"/>
  <c r="AZ258" i="3" s="1"/>
  <c r="G262" i="3"/>
  <c r="BA263" i="3"/>
  <c r="AZ263" i="3" s="1"/>
  <c r="BL268" i="3"/>
  <c r="G269" i="3"/>
  <c r="BL270" i="3"/>
  <c r="AZ270" i="3" s="1"/>
  <c r="G272" i="3"/>
  <c r="BA274" i="3"/>
  <c r="BA276" i="3"/>
  <c r="BL279" i="3"/>
  <c r="G280" i="3"/>
  <c r="BA282" i="3"/>
  <c r="BA284" i="3"/>
  <c r="G291" i="3"/>
  <c r="BL295" i="3"/>
  <c r="AZ295" i="3" s="1"/>
  <c r="BL297" i="3"/>
  <c r="AZ297" i="3" s="1"/>
  <c r="G299" i="3"/>
  <c r="BL113" i="3"/>
  <c r="AZ113" i="3" s="1"/>
  <c r="BL115" i="3"/>
  <c r="AZ115" i="3" s="1"/>
  <c r="BL121" i="3"/>
  <c r="G123" i="3"/>
  <c r="BA125" i="3"/>
  <c r="AZ125" i="3" s="1"/>
  <c r="BA126" i="3"/>
  <c r="AZ126" i="3" s="1"/>
  <c r="G128" i="3"/>
  <c r="G140" i="3"/>
  <c r="BA141" i="3"/>
  <c r="BL162" i="3"/>
  <c r="BA165" i="3"/>
  <c r="AZ165" i="3" s="1"/>
  <c r="BL167" i="3"/>
  <c r="AZ167" i="3" s="1"/>
  <c r="BL169" i="3"/>
  <c r="AZ169" i="3" s="1"/>
  <c r="BL182" i="3"/>
  <c r="BL202" i="3"/>
  <c r="BA19" i="3"/>
  <c r="AZ19" i="3" s="1"/>
  <c r="BA20" i="3"/>
  <c r="AZ20" i="3" s="1"/>
  <c r="BA27" i="3"/>
  <c r="G33" i="3"/>
  <c r="BA42" i="3"/>
  <c r="AZ42" i="3" s="1"/>
  <c r="BL46" i="3"/>
  <c r="G47" i="3"/>
  <c r="BL47" i="3"/>
  <c r="AZ47" i="3" s="1"/>
  <c r="BL48" i="3"/>
  <c r="BL54" i="3"/>
  <c r="BL63" i="3"/>
  <c r="BA87" i="3"/>
  <c r="BL109" i="3"/>
  <c r="AZ109" i="3" s="1"/>
  <c r="BL111" i="3"/>
  <c r="AZ111" i="3" s="1"/>
  <c r="U18" i="35"/>
  <c r="AB18" i="35"/>
  <c r="C39" i="71"/>
  <c r="C31" i="71"/>
  <c r="D30" i="71"/>
  <c r="X34" i="71"/>
  <c r="X30" i="71"/>
  <c r="X35" i="71"/>
  <c r="X32" i="71"/>
  <c r="X28" i="71"/>
  <c r="P27" i="6"/>
  <c r="C64" i="71"/>
  <c r="D63" i="71"/>
  <c r="T28" i="71"/>
  <c r="D28" i="71"/>
  <c r="U28" i="71" s="1"/>
  <c r="C27" i="71"/>
  <c r="AA30" i="71"/>
  <c r="AA31" i="71"/>
  <c r="Y31" i="71"/>
  <c r="Z31" i="71" s="1"/>
  <c r="C34" i="71"/>
  <c r="Y26" i="71"/>
  <c r="Z26" i="71" s="1"/>
  <c r="C43" i="71"/>
  <c r="D42" i="71"/>
  <c r="S76" i="71"/>
  <c r="B75" i="71"/>
  <c r="B74" i="71" s="1"/>
  <c r="BA128" i="3"/>
  <c r="AZ128" i="3" s="1"/>
  <c r="G130" i="3"/>
  <c r="BL133" i="3"/>
  <c r="BL134" i="3"/>
  <c r="BA136" i="3"/>
  <c r="AZ136" i="3" s="1"/>
  <c r="G138" i="3"/>
  <c r="BL141" i="3"/>
  <c r="BL143" i="3"/>
  <c r="AZ143" i="3" s="1"/>
  <c r="BA145" i="3"/>
  <c r="AZ145" i="3" s="1"/>
  <c r="BA148" i="3"/>
  <c r="AZ148" i="3" s="1"/>
  <c r="BA150" i="3"/>
  <c r="AZ150" i="3" s="1"/>
  <c r="BL155" i="3"/>
  <c r="AZ155" i="3" s="1"/>
  <c r="BL157" i="3"/>
  <c r="BL166" i="3"/>
  <c r="BA170" i="3"/>
  <c r="AZ170" i="3" s="1"/>
  <c r="BA174" i="3"/>
  <c r="AZ174" i="3" s="1"/>
  <c r="BL177" i="3"/>
  <c r="BA181" i="3"/>
  <c r="AZ181" i="3" s="1"/>
  <c r="BL183" i="3"/>
  <c r="AZ183" i="3" s="1"/>
  <c r="BA186" i="3"/>
  <c r="AZ186" i="3" s="1"/>
  <c r="BA188" i="3"/>
  <c r="AZ188" i="3" s="1"/>
  <c r="BL190" i="3"/>
  <c r="AZ190" i="3" s="1"/>
  <c r="BA194" i="3"/>
  <c r="AZ194" i="3" s="1"/>
  <c r="BL198" i="3"/>
  <c r="BA202" i="3"/>
  <c r="AZ202" i="3" s="1"/>
  <c r="BL206" i="3"/>
  <c r="AZ206" i="3" s="1"/>
  <c r="G19" i="3"/>
  <c r="G21" i="3"/>
  <c r="BL22" i="3"/>
  <c r="BL23" i="3"/>
  <c r="BA25" i="3"/>
  <c r="AZ25" i="3" s="1"/>
  <c r="G29" i="3"/>
  <c r="BL30" i="3"/>
  <c r="BA31" i="3"/>
  <c r="AZ31" i="3" s="1"/>
  <c r="BA32" i="3"/>
  <c r="AZ32" i="3" s="1"/>
  <c r="BL35" i="3"/>
  <c r="BA37" i="3"/>
  <c r="BA38" i="3"/>
  <c r="G43" i="3"/>
  <c r="BA45" i="3"/>
  <c r="BA46" i="3"/>
  <c r="BA53" i="3"/>
  <c r="AZ53" i="3" s="1"/>
  <c r="BA54" i="3"/>
  <c r="AZ54" i="3" s="1"/>
  <c r="BL59" i="3"/>
  <c r="BL60" i="3"/>
  <c r="BL67" i="3"/>
  <c r="G70" i="3"/>
  <c r="BA74" i="3"/>
  <c r="AZ74" i="3" s="1"/>
  <c r="BL89" i="3"/>
  <c r="AZ89" i="3" s="1"/>
  <c r="BA93" i="3"/>
  <c r="BL98" i="3"/>
  <c r="S21" i="34"/>
  <c r="AA21" i="34"/>
  <c r="AB30" i="71"/>
  <c r="AB29" i="71"/>
  <c r="AB27" i="71"/>
  <c r="P68" i="71"/>
  <c r="U68" i="71"/>
  <c r="E67" i="71"/>
  <c r="X25" i="71"/>
  <c r="X26" i="71"/>
  <c r="X27" i="71"/>
  <c r="AA24" i="71"/>
  <c r="AA25" i="71"/>
  <c r="AA26" i="71"/>
  <c r="BL129" i="3"/>
  <c r="BA133" i="3"/>
  <c r="AZ133" i="3" s="1"/>
  <c r="BA134" i="3"/>
  <c r="AZ134" i="3" s="1"/>
  <c r="G136" i="3"/>
  <c r="BL137" i="3"/>
  <c r="BL146" i="3"/>
  <c r="AZ146" i="3" s="1"/>
  <c r="G150" i="3"/>
  <c r="BL153" i="3"/>
  <c r="G155" i="3"/>
  <c r="BA157" i="3"/>
  <c r="AZ157" i="3" s="1"/>
  <c r="BL159" i="3"/>
  <c r="AZ159" i="3" s="1"/>
  <c r="G162" i="3"/>
  <c r="BL163" i="3"/>
  <c r="AZ163" i="3" s="1"/>
  <c r="G170" i="3"/>
  <c r="BL173" i="3"/>
  <c r="AZ173" i="3" s="1"/>
  <c r="BL175" i="3"/>
  <c r="BA177" i="3"/>
  <c r="BA180" i="3"/>
  <c r="AZ180" i="3" s="1"/>
  <c r="BA182" i="3"/>
  <c r="AZ182" i="3" s="1"/>
  <c r="BA185" i="3"/>
  <c r="BL187" i="3"/>
  <c r="AZ187" i="3" s="1"/>
  <c r="G190" i="3"/>
  <c r="BL193" i="3"/>
  <c r="BL195" i="3"/>
  <c r="AZ195" i="3" s="1"/>
  <c r="BA198" i="3"/>
  <c r="AZ198" i="3" s="1"/>
  <c r="BA200" i="3"/>
  <c r="AZ200" i="3" s="1"/>
  <c r="G202" i="3"/>
  <c r="G205" i="3"/>
  <c r="G206" i="3"/>
  <c r="BL207" i="3"/>
  <c r="BL18" i="3"/>
  <c r="BL20" i="3"/>
  <c r="BA22" i="3"/>
  <c r="AZ22" i="3" s="1"/>
  <c r="BA23" i="3"/>
  <c r="AZ23" i="3" s="1"/>
  <c r="BA26" i="3"/>
  <c r="AZ26" i="3" s="1"/>
  <c r="BL28" i="3"/>
  <c r="BA30" i="3"/>
  <c r="BA33" i="3"/>
  <c r="AZ33" i="3" s="1"/>
  <c r="BA35" i="3"/>
  <c r="AZ35" i="3" s="1"/>
  <c r="BA36" i="3"/>
  <c r="AZ36" i="3" s="1"/>
  <c r="BL39" i="3"/>
  <c r="AZ39" i="3" s="1"/>
  <c r="G41" i="3"/>
  <c r="G42" i="3"/>
  <c r="BL42" i="3"/>
  <c r="BL44" i="3"/>
  <c r="G48" i="3"/>
  <c r="BL50" i="3"/>
  <c r="BL52" i="3"/>
  <c r="AZ52" i="3" s="1"/>
  <c r="G56" i="3"/>
  <c r="BL56" i="3"/>
  <c r="G58" i="3"/>
  <c r="BL58" i="3"/>
  <c r="AZ58" i="3" s="1"/>
  <c r="BA59" i="3"/>
  <c r="AZ59" i="3" s="1"/>
  <c r="BA60" i="3"/>
  <c r="BA63" i="3"/>
  <c r="AZ63" i="3" s="1"/>
  <c r="BA67" i="3"/>
  <c r="BA69" i="3"/>
  <c r="G73" i="3"/>
  <c r="BL73" i="3"/>
  <c r="AZ73" i="3" s="1"/>
  <c r="BL74" i="3"/>
  <c r="G75" i="3"/>
  <c r="BA76" i="3"/>
  <c r="BA79" i="3"/>
  <c r="AZ79" i="3" s="1"/>
  <c r="BA80" i="3"/>
  <c r="G82" i="3"/>
  <c r="BL82" i="3"/>
  <c r="AZ82" i="3" s="1"/>
  <c r="BA83" i="3"/>
  <c r="G86" i="3"/>
  <c r="BL86" i="3"/>
  <c r="AZ86" i="3" s="1"/>
  <c r="BL90" i="3"/>
  <c r="AZ90" i="3" s="1"/>
  <c r="BL95" i="3"/>
  <c r="BA101" i="3"/>
  <c r="AZ101" i="3" s="1"/>
  <c r="BA102" i="3"/>
  <c r="U18" i="36"/>
  <c r="D87" i="71"/>
  <c r="AB28" i="71"/>
  <c r="E28" i="71"/>
  <c r="AA27" i="71"/>
  <c r="X29" i="71"/>
  <c r="X31" i="71"/>
  <c r="AB34" i="71"/>
  <c r="AB35" i="71"/>
  <c r="AB33" i="71"/>
  <c r="AB36" i="71"/>
  <c r="Y35" i="71"/>
  <c r="Z35" i="71" s="1"/>
  <c r="Y37" i="71"/>
  <c r="Z37" i="71" s="1"/>
  <c r="AB38" i="71"/>
  <c r="AA22" i="71"/>
  <c r="E24" i="71"/>
  <c r="AB25" i="71"/>
  <c r="B36" i="71"/>
  <c r="S36" i="71" s="1"/>
  <c r="AB31" i="71"/>
  <c r="AB24" i="71"/>
  <c r="B19" i="71"/>
  <c r="B18" i="71" s="1"/>
  <c r="B17" i="71" s="1"/>
  <c r="AB23" i="71"/>
  <c r="AB21" i="71"/>
  <c r="AA18" i="71"/>
  <c r="Y14" i="71"/>
  <c r="Z14" i="71" s="1"/>
  <c r="G101" i="3"/>
  <c r="G103" i="3"/>
  <c r="BL104" i="3"/>
  <c r="AZ104" i="3" s="1"/>
  <c r="BL105" i="3"/>
  <c r="AZ105" i="3" s="1"/>
  <c r="BL107" i="3"/>
  <c r="BA112" i="3"/>
  <c r="AZ112" i="3" s="1"/>
  <c r="AB26" i="71"/>
  <c r="Q68" i="71"/>
  <c r="Y28" i="71"/>
  <c r="Z28" i="71" s="1"/>
  <c r="Y29" i="71"/>
  <c r="Z29" i="71" s="1"/>
  <c r="E32" i="71"/>
  <c r="U32" i="71" s="1"/>
  <c r="F36" i="71"/>
  <c r="V36" i="71" s="1"/>
  <c r="AA29" i="71"/>
  <c r="F39" i="71"/>
  <c r="F40" i="71" s="1"/>
  <c r="V40" i="71" s="1"/>
  <c r="B43" i="71"/>
  <c r="B44" i="71" s="1"/>
  <c r="S44" i="71" s="1"/>
  <c r="B51" i="71"/>
  <c r="B52" i="71" s="1"/>
  <c r="S52" i="71" s="1"/>
  <c r="B63" i="71"/>
  <c r="B64" i="71" s="1"/>
  <c r="S64" i="71" s="1"/>
  <c r="X24" i="71"/>
  <c r="AA23" i="71"/>
  <c r="Y18" i="71"/>
  <c r="Z18" i="71" s="1"/>
  <c r="AA17" i="71"/>
  <c r="BL76" i="3"/>
  <c r="BA77" i="3"/>
  <c r="AZ77" i="3" s="1"/>
  <c r="G83" i="3"/>
  <c r="BL83" i="3"/>
  <c r="BA84" i="3"/>
  <c r="AZ84" i="3" s="1"/>
  <c r="G87" i="3"/>
  <c r="BL88" i="3"/>
  <c r="BL91" i="3"/>
  <c r="G93" i="3"/>
  <c r="BL93" i="3"/>
  <c r="BA94" i="3"/>
  <c r="AZ94" i="3" s="1"/>
  <c r="BL96" i="3"/>
  <c r="BA97" i="3"/>
  <c r="AZ97" i="3" s="1"/>
  <c r="BL99" i="3"/>
  <c r="AZ99" i="3" s="1"/>
  <c r="BA103" i="3"/>
  <c r="AZ103" i="3" s="1"/>
  <c r="G106" i="3"/>
  <c r="BA107" i="3"/>
  <c r="BA108" i="3"/>
  <c r="BA110" i="3"/>
  <c r="D66" i="71"/>
  <c r="Y25" i="71"/>
  <c r="Z25" i="71" s="1"/>
  <c r="N68" i="71"/>
  <c r="F31" i="71"/>
  <c r="F32" i="71" s="1"/>
  <c r="V32" i="71" s="1"/>
  <c r="Y32" i="71"/>
  <c r="Z32" i="71" s="1"/>
  <c r="B71" i="71"/>
  <c r="B70" i="71" s="1"/>
  <c r="Y24" i="71"/>
  <c r="Z24" i="71" s="1"/>
  <c r="X21" i="71"/>
  <c r="AA21" i="71"/>
  <c r="X18" i="71"/>
  <c r="Y17" i="71"/>
  <c r="Z17" i="71" s="1"/>
  <c r="AB18" i="71"/>
  <c r="AB14" i="71"/>
  <c r="D21" i="71"/>
  <c r="C20" i="71"/>
  <c r="W23" i="37"/>
  <c r="U9" i="21"/>
  <c r="AC23" i="21"/>
  <c r="W19" i="37"/>
  <c r="U15" i="21"/>
  <c r="S30" i="40"/>
  <c r="S13" i="35"/>
  <c r="AA13" i="35"/>
  <c r="AB31" i="34"/>
  <c r="U31" i="34"/>
  <c r="AC12" i="37"/>
  <c r="AZ583" i="3"/>
  <c r="AZ498" i="3"/>
  <c r="AZ520" i="3"/>
  <c r="AZ556" i="3"/>
  <c r="W17" i="21"/>
  <c r="AZ577" i="3"/>
  <c r="AC14" i="37"/>
  <c r="W14" i="37"/>
  <c r="AZ400" i="3"/>
  <c r="AB30" i="21"/>
  <c r="AZ399" i="3"/>
  <c r="AC28" i="21"/>
  <c r="AB45" i="33"/>
  <c r="AB46" i="34"/>
  <c r="W31" i="34"/>
  <c r="U46" i="33"/>
  <c r="AB17" i="34"/>
  <c r="J24" i="36"/>
  <c r="F25" i="37"/>
  <c r="H25" i="37"/>
  <c r="J38" i="40"/>
  <c r="H39" i="40"/>
  <c r="F38" i="40"/>
  <c r="A15" i="62"/>
  <c r="B61" i="72" s="1"/>
  <c r="BL406" i="3"/>
  <c r="AZ406" i="3" s="1"/>
  <c r="AZ415" i="3"/>
  <c r="AZ425" i="3"/>
  <c r="AZ427" i="3"/>
  <c r="AZ429" i="3"/>
  <c r="AZ464" i="3"/>
  <c r="AZ467" i="3"/>
  <c r="AZ426" i="3"/>
  <c r="AZ442" i="3"/>
  <c r="AZ443" i="3"/>
  <c r="AZ469" i="3"/>
  <c r="AZ472" i="3"/>
  <c r="F44" i="39"/>
  <c r="BL405" i="3"/>
  <c r="AZ405" i="3" s="1"/>
  <c r="AZ411" i="3"/>
  <c r="AZ432" i="3"/>
  <c r="AZ438" i="3"/>
  <c r="AZ450" i="3"/>
  <c r="AZ451" i="3"/>
  <c r="AZ460" i="3"/>
  <c r="AZ463" i="3"/>
  <c r="J36" i="35"/>
  <c r="G491" i="3"/>
  <c r="BL312" i="3"/>
  <c r="AZ312" i="3" s="1"/>
  <c r="BA316" i="3"/>
  <c r="AZ121" i="3"/>
  <c r="AZ129" i="3"/>
  <c r="G484" i="3"/>
  <c r="BA490" i="3"/>
  <c r="AZ490" i="3" s="1"/>
  <c r="AZ300" i="3"/>
  <c r="AZ122" i="3"/>
  <c r="AZ481" i="3"/>
  <c r="BA315" i="3"/>
  <c r="AZ315" i="3" s="1"/>
  <c r="BL317" i="3"/>
  <c r="AZ317" i="3" s="1"/>
  <c r="AZ332" i="3"/>
  <c r="AZ210" i="3"/>
  <c r="AZ211" i="3"/>
  <c r="AZ264" i="3"/>
  <c r="AZ277" i="3"/>
  <c r="AZ285" i="3"/>
  <c r="AZ294" i="3"/>
  <c r="AZ302" i="3"/>
  <c r="BL482" i="3"/>
  <c r="AZ482" i="3" s="1"/>
  <c r="BL486" i="3"/>
  <c r="AZ486" i="3" s="1"/>
  <c r="AZ492" i="3"/>
  <c r="AZ397" i="3"/>
  <c r="AZ221" i="3"/>
  <c r="AZ274" i="3"/>
  <c r="AZ276" i="3"/>
  <c r="AZ282" i="3"/>
  <c r="AZ284" i="3"/>
  <c r="AZ141" i="3"/>
  <c r="BL161" i="3"/>
  <c r="AZ161" i="3" s="1"/>
  <c r="AZ201" i="3"/>
  <c r="AZ205" i="3"/>
  <c r="AZ48" i="3"/>
  <c r="BA160" i="3"/>
  <c r="AZ160" i="3" s="1"/>
  <c r="AZ27" i="3"/>
  <c r="AZ38" i="3"/>
  <c r="BL158" i="3"/>
  <c r="AZ158" i="3" s="1"/>
  <c r="BA162" i="3"/>
  <c r="AZ162" i="3" s="1"/>
  <c r="BA166" i="3"/>
  <c r="BA168" i="3"/>
  <c r="AZ168" i="3" s="1"/>
  <c r="AZ177" i="3"/>
  <c r="AZ30" i="3"/>
  <c r="AZ60" i="3"/>
  <c r="BL87" i="3"/>
  <c r="AZ87" i="3" s="1"/>
  <c r="AZ91" i="3"/>
  <c r="BL100" i="3"/>
  <c r="AZ100" i="3" s="1"/>
  <c r="BL102" i="3"/>
  <c r="BL108" i="3"/>
  <c r="BL110" i="3"/>
  <c r="AZ56" i="3"/>
  <c r="BA70" i="3"/>
  <c r="AZ70" i="3" s="1"/>
  <c r="BA62" i="3"/>
  <c r="AZ62" i="3" s="1"/>
  <c r="BA65" i="3"/>
  <c r="AZ65" i="3" s="1"/>
  <c r="BL69" i="3"/>
  <c r="AZ69" i="3" s="1"/>
  <c r="BL75" i="3"/>
  <c r="AZ75" i="3" s="1"/>
  <c r="BL80" i="3"/>
  <c r="AZ80" i="3" s="1"/>
  <c r="AZ95" i="3"/>
  <c r="AZ98" i="3"/>
  <c r="BA57" i="3"/>
  <c r="BL61" i="3"/>
  <c r="AZ61" i="3" s="1"/>
  <c r="BL64" i="3"/>
  <c r="AZ64" i="3" s="1"/>
  <c r="G68" i="3"/>
  <c r="BA72" i="3"/>
  <c r="AZ72" i="3" s="1"/>
  <c r="BA92" i="3"/>
  <c r="AZ92" i="3" s="1"/>
  <c r="AZ96" i="3"/>
  <c r="BA106" i="3"/>
  <c r="AZ106" i="3" s="1"/>
  <c r="AZ108" i="3"/>
  <c r="K13" i="1"/>
  <c r="M13" i="1" s="1"/>
  <c r="O13" i="1" s="1"/>
  <c r="P13" i="1" s="1"/>
  <c r="B13" i="1"/>
  <c r="E13" i="1" s="1"/>
  <c r="W21" i="21"/>
  <c r="AB21" i="34"/>
  <c r="F3" i="35"/>
  <c r="C59" i="71"/>
  <c r="D58" i="71"/>
  <c r="O66" i="71"/>
  <c r="W29" i="39"/>
  <c r="C47" i="71"/>
  <c r="D47" i="71" s="1"/>
  <c r="D46" i="71"/>
  <c r="C51" i="71"/>
  <c r="D50" i="71"/>
  <c r="C55" i="71"/>
  <c r="D54" i="71"/>
  <c r="Y30" i="71"/>
  <c r="Z30" i="71" s="1"/>
  <c r="Y36" i="71"/>
  <c r="Z36" i="71" s="1"/>
  <c r="AB9" i="71"/>
  <c r="F67" i="71"/>
  <c r="Y23" i="71"/>
  <c r="Z23" i="71" s="1"/>
  <c r="X22" i="71"/>
  <c r="AA15" i="71"/>
  <c r="AB11" i="71"/>
  <c r="AA13" i="71"/>
  <c r="X11" i="71"/>
  <c r="Y13" i="71"/>
  <c r="Z13" i="71" s="1"/>
  <c r="AB32" i="71"/>
  <c r="Y9" i="71"/>
  <c r="Z9" i="71" s="1"/>
  <c r="AB39" i="71"/>
  <c r="B67" i="71"/>
  <c r="K56" i="9"/>
  <c r="AB15" i="71"/>
  <c r="AB17" i="71"/>
  <c r="AB13" i="71"/>
  <c r="AA11" i="71"/>
  <c r="AA14" i="71"/>
  <c r="Y10" i="71"/>
  <c r="Z10" i="71" s="1"/>
  <c r="X9" i="71"/>
  <c r="N56" i="9"/>
  <c r="Y22" i="71"/>
  <c r="Z22" i="71" s="1"/>
  <c r="Y21" i="71"/>
  <c r="Z21" i="71" s="1"/>
  <c r="X15" i="71"/>
  <c r="AB10" i="71"/>
  <c r="AA12" i="71"/>
  <c r="X12" i="71"/>
  <c r="X14" i="71"/>
  <c r="Y11" i="71"/>
  <c r="Z11" i="71" s="1"/>
  <c r="AA9" i="71"/>
  <c r="AB12" i="71"/>
  <c r="AA10" i="71"/>
  <c r="X10" i="71"/>
  <c r="Y12" i="71"/>
  <c r="Z12" i="71" s="1"/>
  <c r="C40" i="68"/>
  <c r="C40" i="69"/>
  <c r="S33" i="33"/>
  <c r="C21" i="68"/>
  <c r="D22" i="15"/>
  <c r="D23" i="15"/>
  <c r="U33" i="33"/>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C31" i="12" s="1"/>
  <c r="F28" i="15"/>
  <c r="F32" i="67"/>
  <c r="F60" i="67" s="1"/>
  <c r="F28" i="67"/>
  <c r="M18" i="15"/>
  <c r="M18" i="67"/>
  <c r="F30" i="11"/>
  <c r="C48" i="11" s="1"/>
  <c r="F54" i="9"/>
  <c r="F32" i="15"/>
  <c r="F60" i="15" s="1"/>
  <c r="F52" i="9"/>
  <c r="F30" i="68"/>
  <c r="F48" i="68" s="1"/>
  <c r="G1" i="15"/>
  <c r="B6" i="1"/>
  <c r="E6" i="1" s="1"/>
  <c r="G1" i="68"/>
  <c r="G1" i="67"/>
  <c r="K6" i="1"/>
  <c r="AP6" i="1" s="1"/>
  <c r="C36" i="69" s="1"/>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J46" i="36" s="1"/>
  <c r="C7" i="2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E26" i="43"/>
  <c r="A1" i="79"/>
  <c r="H55" i="43"/>
  <c r="H86" i="43"/>
  <c r="H87" i="43"/>
  <c r="H89" i="43"/>
  <c r="H88" i="43"/>
  <c r="H84" i="43"/>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D4" i="73"/>
  <c r="F16" i="67"/>
  <c r="F9" i="67"/>
  <c r="M6" i="15"/>
  <c r="F26" i="67"/>
  <c r="F13" i="67"/>
  <c r="J15" i="67"/>
  <c r="M29" i="67"/>
  <c r="F37" i="67"/>
  <c r="F43" i="67"/>
  <c r="F16" i="15"/>
  <c r="F26" i="15"/>
  <c r="F6" i="15"/>
  <c r="M26" i="67"/>
  <c r="C76" i="15"/>
  <c r="L48" i="67"/>
  <c r="M24" i="15"/>
  <c r="F6" i="67"/>
  <c r="L47" i="67"/>
  <c r="F36" i="15"/>
  <c r="M9" i="15"/>
  <c r="M28" i="67"/>
  <c r="F38" i="15"/>
  <c r="J15" i="15"/>
  <c r="D7" i="73"/>
  <c r="F37" i="15"/>
  <c r="F40" i="15"/>
  <c r="M8" i="15"/>
  <c r="M23" i="67"/>
  <c r="M28" i="15"/>
  <c r="D3" i="73"/>
  <c r="M6" i="67"/>
  <c r="F40" i="67"/>
  <c r="M24" i="67"/>
  <c r="F36" i="67"/>
  <c r="F7" i="67"/>
  <c r="M22" i="67"/>
  <c r="F38" i="67"/>
  <c r="M8" i="67"/>
  <c r="F42" i="67"/>
  <c r="F8" i="15"/>
  <c r="M22" i="15"/>
  <c r="F43" i="15"/>
  <c r="M9" i="67"/>
  <c r="F9" i="15"/>
  <c r="F8" i="67"/>
  <c r="F7" i="15"/>
  <c r="M26" i="15"/>
  <c r="C76" i="67"/>
  <c r="M29" i="15"/>
  <c r="L48" i="15"/>
  <c r="D5" i="73"/>
  <c r="AC28" i="33" l="1"/>
  <c r="K46" i="36"/>
  <c r="L46" i="36" s="1"/>
  <c r="M46" i="36" s="1"/>
  <c r="N46" i="36" s="1"/>
  <c r="O46" i="36" s="1"/>
  <c r="P67" i="71"/>
  <c r="E66" i="71"/>
  <c r="C35" i="71"/>
  <c r="D34" i="71"/>
  <c r="C26" i="71"/>
  <c r="D26" i="71" s="1"/>
  <c r="D27" i="71"/>
  <c r="T64" i="71"/>
  <c r="D64" i="71"/>
  <c r="C32" i="71"/>
  <c r="D31" i="71"/>
  <c r="AC9" i="33"/>
  <c r="W9" i="33"/>
  <c r="S12" i="21"/>
  <c r="AA12" i="21"/>
  <c r="AZ550" i="3"/>
  <c r="AB31" i="39"/>
  <c r="U31" i="39"/>
  <c r="AB37" i="39"/>
  <c r="U37" i="39"/>
  <c r="W31" i="39"/>
  <c r="AC31" i="39"/>
  <c r="AC44" i="39"/>
  <c r="W44" i="39"/>
  <c r="AB9" i="36"/>
  <c r="U9" i="36"/>
  <c r="AA27" i="21"/>
  <c r="S27" i="21"/>
  <c r="G26" i="43"/>
  <c r="C30" i="69"/>
  <c r="U27" i="33"/>
  <c r="AZ110" i="3"/>
  <c r="V24" i="71"/>
  <c r="E23" i="71"/>
  <c r="E22" i="71" s="1"/>
  <c r="E21" i="71" s="1"/>
  <c r="E20" i="71" s="1"/>
  <c r="E27" i="71"/>
  <c r="E26" i="71" s="1"/>
  <c r="V28" i="71"/>
  <c r="AZ93" i="3"/>
  <c r="C40" i="71"/>
  <c r="D39" i="71"/>
  <c r="AZ88" i="3"/>
  <c r="AZ385" i="3"/>
  <c r="AZ488" i="3"/>
  <c r="AZ253" i="3"/>
  <c r="AA40" i="40"/>
  <c r="S40" i="40"/>
  <c r="W27" i="21"/>
  <c r="AC27" i="21"/>
  <c r="AA31" i="39"/>
  <c r="S31" i="39"/>
  <c r="AB44" i="39"/>
  <c r="U44" i="39"/>
  <c r="AA26" i="37"/>
  <c r="S26" i="37"/>
  <c r="AC9" i="36"/>
  <c r="W9" i="36"/>
  <c r="AB25" i="35"/>
  <c r="U25" i="35"/>
  <c r="N94" i="46"/>
  <c r="J26" i="43"/>
  <c r="H16" i="1"/>
  <c r="C30" i="11"/>
  <c r="C28" i="15"/>
  <c r="AZ57" i="3"/>
  <c r="AZ166" i="3"/>
  <c r="AZ316" i="3"/>
  <c r="AZ107" i="3"/>
  <c r="AZ76" i="3"/>
  <c r="AZ67" i="3"/>
  <c r="AZ185" i="3"/>
  <c r="AZ46" i="3"/>
  <c r="AZ37" i="3"/>
  <c r="AZ5" i="3" s="1"/>
  <c r="C44" i="71"/>
  <c r="D43" i="71"/>
  <c r="AZ350" i="3"/>
  <c r="AZ260" i="3"/>
  <c r="AZ250" i="3"/>
  <c r="AZ240" i="3"/>
  <c r="AZ228" i="3"/>
  <c r="D71" i="71"/>
  <c r="C70" i="71"/>
  <c r="D70" i="71" s="1"/>
  <c r="AZ280" i="3"/>
  <c r="AZ272" i="3"/>
  <c r="AZ396" i="3"/>
  <c r="AZ354" i="3"/>
  <c r="AZ18" i="3"/>
  <c r="AZ256" i="3"/>
  <c r="AZ234" i="3"/>
  <c r="AZ395" i="3"/>
  <c r="AZ462" i="3"/>
  <c r="AZ470" i="3"/>
  <c r="AZ408" i="3"/>
  <c r="AZ518" i="3"/>
  <c r="AZ573" i="3"/>
  <c r="AZ578" i="3"/>
  <c r="AB12" i="21"/>
  <c r="U12" i="21"/>
  <c r="AA37" i="39"/>
  <c r="S37" i="39"/>
  <c r="U28" i="34"/>
  <c r="AB28" i="34"/>
  <c r="AA34" i="35"/>
  <c r="S34" i="35"/>
  <c r="AB35" i="39"/>
  <c r="U35" i="39"/>
  <c r="AB26" i="37"/>
  <c r="U26" i="37"/>
  <c r="AA46" i="21"/>
  <c r="S46" i="21"/>
  <c r="AA43" i="39"/>
  <c r="S43" i="39"/>
  <c r="N370" i="46"/>
  <c r="C48" i="69"/>
  <c r="AZ102" i="3"/>
  <c r="AZ83" i="3"/>
  <c r="AZ45" i="3"/>
  <c r="AZ367" i="3"/>
  <c r="AZ50" i="3"/>
  <c r="AZ137" i="3"/>
  <c r="D79" i="71"/>
  <c r="C78" i="71"/>
  <c r="D78" i="71" s="1"/>
  <c r="AZ279" i="3"/>
  <c r="AZ219" i="3"/>
  <c r="AZ207" i="3"/>
  <c r="AZ461" i="3"/>
  <c r="AZ452" i="3"/>
  <c r="AB9" i="33"/>
  <c r="U9" i="33"/>
  <c r="AC12" i="21"/>
  <c r="W12" i="21"/>
  <c r="AA31" i="40"/>
  <c r="S31" i="40"/>
  <c r="AC34" i="35"/>
  <c r="W34" i="35"/>
  <c r="AB14" i="40"/>
  <c r="U14" i="40"/>
  <c r="U31" i="40"/>
  <c r="AB31" i="40"/>
  <c r="AB34" i="35"/>
  <c r="U34" i="35"/>
  <c r="W26" i="37"/>
  <c r="AC26" i="37"/>
  <c r="AA28" i="34"/>
  <c r="S28" i="34"/>
  <c r="AA14" i="40"/>
  <c r="S14" i="40"/>
  <c r="C52" i="71"/>
  <c r="D51" i="71"/>
  <c r="AA44" i="39"/>
  <c r="S44" i="39"/>
  <c r="AA38" i="40"/>
  <c r="S38" i="40"/>
  <c r="AA25" i="37"/>
  <c r="S25" i="37"/>
  <c r="F66" i="71"/>
  <c r="Q67" i="71"/>
  <c r="U39" i="40"/>
  <c r="AB39" i="40"/>
  <c r="AC24" i="36"/>
  <c r="W24" i="36"/>
  <c r="BA5" i="3"/>
  <c r="E27" i="6" s="1"/>
  <c r="K26" i="6" s="1"/>
  <c r="M26" i="6" s="1"/>
  <c r="I26" i="6" s="1"/>
  <c r="S26" i="6" s="1"/>
  <c r="J7" i="36"/>
  <c r="W7" i="36" s="1"/>
  <c r="C28" i="67"/>
  <c r="N67" i="71"/>
  <c r="B66" i="71"/>
  <c r="C56" i="71"/>
  <c r="D55" i="71"/>
  <c r="AC36" i="35"/>
  <c r="W36" i="35"/>
  <c r="AC38" i="40"/>
  <c r="W38" i="40"/>
  <c r="G5" i="3"/>
  <c r="B3" i="3" s="1"/>
  <c r="C19" i="71"/>
  <c r="D20" i="71"/>
  <c r="U20" i="71" s="1"/>
  <c r="T20" i="71"/>
  <c r="B15" i="71"/>
  <c r="B14" i="71" s="1"/>
  <c r="B13" i="71" s="1"/>
  <c r="B12" i="71" s="1"/>
  <c r="S16" i="71"/>
  <c r="H7" i="36"/>
  <c r="AA25" i="33"/>
  <c r="C60" i="71"/>
  <c r="D59" i="71"/>
  <c r="U25" i="37"/>
  <c r="AB25" i="37"/>
  <c r="BL5" i="3"/>
  <c r="U42" i="33"/>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L59" i="67"/>
  <c r="Q61" i="67" s="1"/>
  <c r="M59" i="67"/>
  <c r="N59" i="67"/>
  <c r="L58" i="67"/>
  <c r="Q60" i="67" s="1"/>
  <c r="F65" i="15"/>
  <c r="F50" i="15"/>
  <c r="M7" i="15"/>
  <c r="J6" i="15" s="1"/>
  <c r="J18" i="15" s="1"/>
  <c r="F71" i="15"/>
  <c r="Q71" i="15"/>
  <c r="F64" i="15"/>
  <c r="C6" i="15"/>
  <c r="C32" i="15" s="1"/>
  <c r="J57" i="15"/>
  <c r="J55" i="15" s="1"/>
  <c r="J58" i="15" s="1"/>
  <c r="Q50" i="15" s="1"/>
  <c r="J53" i="15"/>
  <c r="L56" i="15" s="1"/>
  <c r="I54" i="15"/>
  <c r="C27" i="15"/>
  <c r="F68" i="15"/>
  <c r="F51" i="15"/>
  <c r="F66" i="15"/>
  <c r="M6" i="1"/>
  <c r="Q16" i="1"/>
  <c r="F27" i="69" s="1"/>
  <c r="C47" i="69" s="1"/>
  <c r="D45" i="69" s="1"/>
  <c r="G16" i="1"/>
  <c r="F10" i="39" s="1"/>
  <c r="AA10" i="39" s="1"/>
  <c r="D18" i="53"/>
  <c r="B35" i="72" s="1"/>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F59" i="67"/>
  <c r="H7" i="37"/>
  <c r="AB7" i="37" s="1"/>
  <c r="T42" i="37" s="1"/>
  <c r="G42" i="37" s="1"/>
  <c r="L36" i="43"/>
  <c r="H7" i="33"/>
  <c r="J7" i="33"/>
  <c r="D65" i="40"/>
  <c r="E63" i="40"/>
  <c r="F48" i="35"/>
  <c r="AC7" i="37"/>
  <c r="V42" i="37" s="1"/>
  <c r="I42" i="37" s="1"/>
  <c r="AB7" i="36"/>
  <c r="T36" i="36" s="1"/>
  <c r="G36" i="36" s="1"/>
  <c r="U7" i="36"/>
  <c r="F7" i="33"/>
  <c r="E58" i="21"/>
  <c r="F7" i="37"/>
  <c r="M17" i="67"/>
  <c r="M17" i="15"/>
  <c r="F59" i="15"/>
  <c r="P28" i="43"/>
  <c r="B66" i="40" s="1"/>
  <c r="P25" i="43"/>
  <c r="P29" i="43"/>
  <c r="P27" i="43"/>
  <c r="B70" i="39" s="1"/>
  <c r="M11" i="67"/>
  <c r="J10" i="67" s="1"/>
  <c r="F11" i="15"/>
  <c r="M11" i="15"/>
  <c r="J10" i="15" s="1"/>
  <c r="F11" i="67"/>
  <c r="AE11" i="1"/>
  <c r="AE9" i="1"/>
  <c r="AE7" i="1"/>
  <c r="AE8" i="1"/>
  <c r="AE12" i="1"/>
  <c r="AE10" i="1"/>
  <c r="G1" i="73"/>
  <c r="F42" i="15"/>
  <c r="M23" i="15"/>
  <c r="L47" i="15"/>
  <c r="AE6" i="1"/>
  <c r="F13" i="15"/>
  <c r="C16" i="15"/>
  <c r="C16" i="67"/>
  <c r="L59" i="15" l="1"/>
  <c r="Q74" i="15" s="1"/>
  <c r="M59" i="15"/>
  <c r="N59" i="15"/>
  <c r="L58" i="15"/>
  <c r="Q60" i="15" s="1"/>
  <c r="E3" i="6"/>
  <c r="AY6" i="3"/>
  <c r="D40" i="71"/>
  <c r="T40" i="71"/>
  <c r="E19" i="71"/>
  <c r="E18" i="71" s="1"/>
  <c r="E17" i="71" s="1"/>
  <c r="E16" i="71" s="1"/>
  <c r="V20" i="71"/>
  <c r="D32" i="71"/>
  <c r="T32" i="71"/>
  <c r="AC7" i="36"/>
  <c r="V36" i="36" s="1"/>
  <c r="I36" i="36" s="1"/>
  <c r="F7" i="36"/>
  <c r="P65" i="71"/>
  <c r="P66" i="71"/>
  <c r="E65" i="39"/>
  <c r="D44" i="71"/>
  <c r="T44" i="71"/>
  <c r="C36" i="71"/>
  <c r="D35" i="71"/>
  <c r="T60" i="71"/>
  <c r="D60" i="71"/>
  <c r="B11" i="71"/>
  <c r="B10" i="71" s="1"/>
  <c r="B9" i="71" s="1"/>
  <c r="B8" i="71" s="1"/>
  <c r="B7" i="71" s="1"/>
  <c r="B6" i="71" s="1"/>
  <c r="B5" i="71" s="1"/>
  <c r="S12" i="71"/>
  <c r="E510"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4" i="3"/>
  <c r="E67" i="3"/>
  <c r="E33" i="3"/>
  <c r="E144" i="3"/>
  <c r="E184" i="3"/>
  <c r="E233" i="3"/>
  <c r="E355" i="3"/>
  <c r="E381" i="3"/>
  <c r="E63" i="3"/>
  <c r="E81" i="3"/>
  <c r="E118" i="3"/>
  <c r="E264" i="3"/>
  <c r="E283" i="3"/>
  <c r="E309" i="3"/>
  <c r="E513" i="3"/>
  <c r="E21" i="3"/>
  <c r="E504" i="3"/>
  <c r="E163" i="3"/>
  <c r="E307" i="3"/>
  <c r="E522" i="3"/>
  <c r="E48" i="3"/>
  <c r="E127" i="3"/>
  <c r="E284" i="3"/>
  <c r="Y6" i="3"/>
  <c r="E51" i="3"/>
  <c r="E154" i="3"/>
  <c r="E222" i="3"/>
  <c r="E373"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12" i="3"/>
  <c r="E47" i="3"/>
  <c r="E46" i="3"/>
  <c r="E129" i="3"/>
  <c r="E195" i="3"/>
  <c r="E200" i="3"/>
  <c r="E275" i="3"/>
  <c r="E266" i="3"/>
  <c r="E371" i="3"/>
  <c r="E342" i="3"/>
  <c r="E584" i="3"/>
  <c r="E52" i="3"/>
  <c r="E36" i="3"/>
  <c r="E112" i="3"/>
  <c r="E123" i="3"/>
  <c r="E147" i="3"/>
  <c r="E289" i="3"/>
  <c r="E340" i="3"/>
  <c r="E364" i="3"/>
  <c r="E50" i="3"/>
  <c r="E20" i="3"/>
  <c r="E62" i="3"/>
  <c r="E176" i="3"/>
  <c r="E218" i="3"/>
  <c r="E265" i="3"/>
  <c r="E365" i="3"/>
  <c r="E524" i="3"/>
  <c r="E101" i="3"/>
  <c r="E165" i="3"/>
  <c r="E148" i="3"/>
  <c r="E197" i="3"/>
  <c r="E141" i="3"/>
  <c r="E575" i="3"/>
  <c r="E534" i="3"/>
  <c r="E552" i="3"/>
  <c r="E442"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86" i="3"/>
  <c r="E34" i="3"/>
  <c r="E49" i="3"/>
  <c r="E206" i="3"/>
  <c r="E232" i="3"/>
  <c r="E251" i="3"/>
  <c r="E370" i="3"/>
  <c r="AF6" i="3"/>
  <c r="E102" i="3"/>
  <c r="E80" i="3"/>
  <c r="E113" i="3"/>
  <c r="E158" i="3"/>
  <c r="E287" i="3"/>
  <c r="E308" i="3"/>
  <c r="E326" i="3"/>
  <c r="E22" i="3"/>
  <c r="E83" i="3"/>
  <c r="E536" i="3"/>
  <c r="E140" i="3"/>
  <c r="E167" i="3"/>
  <c r="E286" i="3"/>
  <c r="E525" i="3"/>
  <c r="E542" i="3"/>
  <c r="E502" i="3"/>
  <c r="E456" i="3"/>
  <c r="E487" i="3"/>
  <c r="E430" i="3"/>
  <c r="E451" i="3"/>
  <c r="E374" i="3"/>
  <c r="AP6" i="3"/>
  <c r="E13" i="3"/>
  <c r="E413" i="3"/>
  <c r="E420" i="3"/>
  <c r="E39" i="3"/>
  <c r="E37" i="3"/>
  <c r="E115" i="3"/>
  <c r="E187" i="3"/>
  <c r="E192" i="3"/>
  <c r="E281" i="3"/>
  <c r="E259" i="3"/>
  <c r="E363" i="3"/>
  <c r="E356" i="3"/>
  <c r="E76" i="3"/>
  <c r="E75" i="3"/>
  <c r="E462" i="3"/>
  <c r="E425" i="3"/>
  <c r="E18" i="3"/>
  <c r="E98" i="3"/>
  <c r="E103" i="3"/>
  <c r="E190" i="3"/>
  <c r="E267" i="3"/>
  <c r="E235" i="3"/>
  <c r="E310" i="3"/>
  <c r="E66" i="3"/>
  <c r="E24" i="3"/>
  <c r="E87" i="3"/>
  <c r="E250" i="3"/>
  <c r="E341" i="3"/>
  <c r="E19" i="3"/>
  <c r="E179" i="3"/>
  <c r="E323" i="3"/>
  <c r="E82" i="3"/>
  <c r="E325" i="3"/>
  <c r="E234" i="3"/>
  <c r="E100" i="3"/>
  <c r="E15" i="3"/>
  <c r="E60" i="3"/>
  <c r="E346" i="3"/>
  <c r="E202" i="3"/>
  <c r="E25" i="3"/>
  <c r="E483" i="3"/>
  <c r="AH6" i="3"/>
  <c r="E422" i="3"/>
  <c r="E543" i="3"/>
  <c r="E105" i="3"/>
  <c r="E1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39" i="3"/>
  <c r="E194" i="3"/>
  <c r="E38" i="3"/>
  <c r="E473" i="3"/>
  <c r="L6" i="3"/>
  <c r="E276" i="3"/>
  <c r="E119" i="3"/>
  <c r="E40" i="3"/>
  <c r="E419" i="3"/>
  <c r="E376" i="3"/>
  <c r="E507" i="3"/>
  <c r="E564" i="3"/>
  <c r="E116" i="3"/>
  <c r="E32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AQ6" i="3"/>
  <c r="E299" i="3"/>
  <c r="E137" i="3"/>
  <c r="E79" i="3"/>
  <c r="E540" i="3"/>
  <c r="E372" i="3"/>
  <c r="E226" i="3"/>
  <c r="E178" i="3"/>
  <c r="E463" i="3"/>
  <c r="E498" i="3"/>
  <c r="E490" i="3"/>
  <c r="E486" i="3"/>
  <c r="E493" i="3"/>
  <c r="E2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92" i="3"/>
  <c r="E219" i="3"/>
  <c r="E170" i="3"/>
  <c r="E455" i="3"/>
  <c r="E43" i="3"/>
  <c r="E333" i="3"/>
  <c r="E242" i="3"/>
  <c r="E108" i="3"/>
  <c r="E401" i="3"/>
  <c r="J6" i="3"/>
  <c r="E440" i="3"/>
  <c r="E427" i="3"/>
  <c r="E393" i="3"/>
  <c r="E188"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D56" i="71"/>
  <c r="T56" i="71"/>
  <c r="E491" i="3"/>
  <c r="N66" i="71"/>
  <c r="N65" i="71"/>
  <c r="E484" i="3"/>
  <c r="E68" i="3"/>
  <c r="C18" i="71"/>
  <c r="D19" i="71"/>
  <c r="Q65" i="71"/>
  <c r="Q66" i="71"/>
  <c r="D52" i="71"/>
  <c r="T52" i="71"/>
  <c r="C32" i="67"/>
  <c r="H42" i="67"/>
  <c r="C49" i="67"/>
  <c r="J5" i="67"/>
  <c r="J24" i="67" s="1"/>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W10" i="40"/>
  <c r="U7" i="37"/>
  <c r="G67" i="39"/>
  <c r="F69" i="39"/>
  <c r="F58" i="21"/>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C53" i="67"/>
  <c r="C10" i="67"/>
  <c r="C5" i="67" s="1"/>
  <c r="C38" i="67" s="1"/>
  <c r="C53" i="15"/>
  <c r="C10" i="15"/>
  <c r="C5" i="15" s="1"/>
  <c r="C38" i="15" s="1"/>
  <c r="F25" i="12"/>
  <c r="F22" i="69"/>
  <c r="F41" i="69" s="1"/>
  <c r="F24" i="67"/>
  <c r="C24" i="67" s="1"/>
  <c r="F22" i="11"/>
  <c r="F22" i="68"/>
  <c r="F24" i="15"/>
  <c r="C24" i="15" s="1"/>
  <c r="M27" i="67"/>
  <c r="M27" i="15"/>
  <c r="F41" i="67"/>
  <c r="F41" i="15"/>
  <c r="U10" i="40" l="1"/>
  <c r="AB10" i="39"/>
  <c r="O16" i="1"/>
  <c r="Q73" i="15"/>
  <c r="T36" i="71"/>
  <c r="D36" i="71"/>
  <c r="S7" i="36"/>
  <c r="AA7" i="36"/>
  <c r="R36" i="36" s="1"/>
  <c r="AC10" i="39"/>
  <c r="V16" i="71"/>
  <c r="E15" i="71"/>
  <c r="E14" i="71" s="1"/>
  <c r="E13" i="71" s="1"/>
  <c r="E12" i="71" s="1"/>
  <c r="B14" i="74"/>
  <c r="B1" i="74" s="1"/>
  <c r="C17" i="71"/>
  <c r="D18" i="71"/>
  <c r="AC6" i="3"/>
  <c r="E6" i="3" s="1"/>
  <c r="C48" i="67"/>
  <c r="C66" i="67" s="1"/>
  <c r="F69" i="67"/>
  <c r="F45" i="68"/>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4" i="34"/>
  <c r="J54" i="34" s="1"/>
  <c r="H48" i="35"/>
  <c r="C49" i="34"/>
  <c r="C50" i="34"/>
  <c r="R43" i="37"/>
  <c r="E42" i="37"/>
  <c r="G63" i="40"/>
  <c r="F65" i="40"/>
  <c r="G58" i="21"/>
  <c r="F41" i="68"/>
  <c r="C26" i="69"/>
  <c r="D22" i="69" s="1"/>
  <c r="C44" i="69"/>
  <c r="D41" i="69" s="1"/>
  <c r="C44" i="68"/>
  <c r="D41" i="68" s="1"/>
  <c r="C23" i="68"/>
  <c r="C26" i="68"/>
  <c r="D22" i="68" s="1"/>
  <c r="C26" i="12"/>
  <c r="D25" i="12" s="1"/>
  <c r="C44" i="11"/>
  <c r="D41" i="11" s="1"/>
  <c r="C23" i="11"/>
  <c r="C24" i="11"/>
  <c r="C26" i="11"/>
  <c r="D22" i="11" s="1"/>
  <c r="D10" i="69"/>
  <c r="C34" i="69"/>
  <c r="D10" i="68"/>
  <c r="C14" i="67"/>
  <c r="C17" i="15"/>
  <c r="C17" i="67"/>
  <c r="H22" i="6" l="1"/>
  <c r="R37" i="36"/>
  <c r="E36" i="36"/>
  <c r="E11" i="71"/>
  <c r="E10" i="71" s="1"/>
  <c r="E9" i="71" s="1"/>
  <c r="E8" i="71" s="1"/>
  <c r="E7" i="71" s="1"/>
  <c r="E6" i="71" s="1"/>
  <c r="E5" i="71" s="1"/>
  <c r="V12" i="71"/>
  <c r="H21" i="6"/>
  <c r="R21" i="6" s="1"/>
  <c r="R8" i="1" s="1"/>
  <c r="C16" i="71"/>
  <c r="D17" i="71"/>
  <c r="M19" i="9"/>
  <c r="C118" i="9" s="1"/>
  <c r="B2" i="74" s="1"/>
  <c r="D30" i="6"/>
  <c r="C60" i="67"/>
  <c r="C25" i="11"/>
  <c r="C22" i="11" s="1"/>
  <c r="C31" i="11" s="1"/>
  <c r="C60" i="15"/>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E6" i="76"/>
  <c r="C14" i="15"/>
  <c r="B6" i="76"/>
  <c r="D31" i="6" l="1"/>
  <c r="E40" i="36"/>
  <c r="F40" i="36" s="1"/>
  <c r="E41" i="36"/>
  <c r="F41" i="36" s="1"/>
  <c r="I41" i="36"/>
  <c r="J41" i="36" s="1"/>
  <c r="C36" i="36"/>
  <c r="C37" i="36"/>
  <c r="L25" i="9"/>
  <c r="L24" i="9"/>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D13" i="71" l="1"/>
  <c r="C12" i="71"/>
  <c r="J36" i="33"/>
  <c r="H36" i="3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U36" i="33"/>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Q69" i="67"/>
  <c r="Q68" i="67" s="1"/>
  <c r="H40" i="67"/>
  <c r="G48" i="33"/>
  <c r="E53" i="33" s="1"/>
  <c r="F53" i="33" s="1"/>
  <c r="R49" i="33"/>
  <c r="I52" i="33"/>
  <c r="J52" i="33" s="1"/>
  <c r="I53" i="33"/>
  <c r="J53" i="33" s="1"/>
  <c r="G53" i="33"/>
  <c r="H53" i="33" s="1"/>
  <c r="G52" i="33"/>
  <c r="H52"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C49" i="33"/>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7"/>
  <c r="D2" i="36"/>
  <c r="D2" i="35"/>
  <c r="L51" i="15"/>
  <c r="D19" i="9"/>
  <c r="C8" i="71" l="1"/>
  <c r="D9" i="71"/>
  <c r="C102" i="9"/>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4" i="9"/>
  <c r="D35" i="9"/>
  <c r="C20" i="9"/>
  <c r="AO9" i="1"/>
  <c r="AO10" i="1"/>
  <c r="D20" i="9"/>
  <c r="AO6" i="1"/>
  <c r="AO8" i="1"/>
  <c r="AO11" i="1"/>
  <c r="AO7" i="1"/>
  <c r="D8" i="71" l="1"/>
  <c r="C7"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F118" i="9"/>
  <c r="F119" i="9" s="1"/>
  <c r="F5" i="52" s="1"/>
  <c r="B53" i="72" s="1"/>
  <c r="H118" i="9"/>
  <c r="H101" i="9" s="1"/>
  <c r="E118" i="9"/>
  <c r="I4" i="52"/>
  <c r="H102" i="9"/>
  <c r="D14" i="74" l="1"/>
  <c r="D45" i="9" s="1"/>
  <c r="F4" i="52"/>
  <c r="B51" i="72" s="1"/>
  <c r="H4" i="52"/>
  <c r="H119" i="9"/>
  <c r="H5" i="52" s="1"/>
  <c r="C104" i="9"/>
  <c r="D118" i="9"/>
  <c r="E4" i="52"/>
  <c r="B48" i="72" s="1"/>
  <c r="D5" i="53"/>
  <c r="H107" i="9"/>
  <c r="D7" i="53"/>
  <c r="B21" i="72" s="1"/>
  <c r="G14" i="74" l="1"/>
  <c r="D29" i="74"/>
  <c r="B6" i="74"/>
  <c r="D6" i="74" s="1"/>
  <c r="M48" i="9"/>
  <c r="M49" i="9"/>
  <c r="D56" i="9"/>
  <c r="B5" i="74"/>
  <c r="F14" i="74"/>
  <c r="D119" i="9"/>
  <c r="D5" i="52" s="1"/>
  <c r="B49" i="72" s="1"/>
  <c r="D4" i="52"/>
  <c r="B47" i="72" s="1"/>
  <c r="C93" i="9"/>
  <c r="C86" i="9" s="1"/>
  <c r="D55" i="9"/>
  <c r="M53" i="9" s="1"/>
  <c r="C85" i="9"/>
  <c r="D52" i="9"/>
  <c r="C64" i="9"/>
  <c r="C63" i="9" s="1"/>
  <c r="C67" i="9" s="1"/>
  <c r="C72" i="9"/>
  <c r="D53" i="9"/>
  <c r="C78" i="9"/>
  <c r="C73" i="9" s="1"/>
  <c r="D122" i="9"/>
  <c r="D13" i="53"/>
  <c r="H108" i="9"/>
  <c r="D6" i="53"/>
  <c r="B22" i="72" s="1"/>
  <c r="B20" i="72"/>
  <c r="D5" i="74" l="1"/>
  <c r="C5" i="74"/>
  <c r="C95" i="9"/>
  <c r="C96" i="9" s="1"/>
  <c r="E96" i="9" s="1"/>
  <c r="E97" i="9" s="1"/>
  <c r="D15" i="53"/>
  <c r="B31" i="72" s="1"/>
  <c r="C6" i="74"/>
  <c r="D14" i="53"/>
  <c r="B32" i="72" s="1"/>
  <c r="B30" i="72"/>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s="1"/>
  <c r="N61" i="9" s="1"/>
  <c r="N58" i="9" l="1"/>
  <c r="P57" i="9"/>
  <c r="H112" i="9" l="1"/>
  <c r="H111" i="9"/>
  <c r="N60" i="9"/>
  <c r="D21" i="53" l="1"/>
  <c r="B39" i="72" s="1"/>
  <c r="D126" i="9"/>
  <c r="I14" i="74" s="1"/>
  <c r="I29" i="74" s="1"/>
  <c r="D19" i="53"/>
  <c r="B8" i="74" l="1"/>
  <c r="D8" i="74"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<sst xmlns="http://schemas.openxmlformats.org/spreadsheetml/2006/main" count="7911" uniqueCount="3459">
  <si>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</si>
  <si>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</si>
  <si>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</si>
  <si>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</si>
  <si>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</si>
  <si>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</si>
  <si>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</si>
  <si>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</si>
  <si>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</si>
  <si>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</si>
  <si>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</si>
  <si>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</si>
  <si>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</si>
  <si>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</si>
  <si>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</si>
  <si>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</si>
  <si>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</si>
  <si>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</si>
  <si>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</si>
  <si>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</si>
  <si>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</si>
  <si>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</si>
  <si>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</si>
  <si>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</si>
  <si>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</si>
  <si>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</si>
  <si>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</si>
  <si>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</si>
  <si>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</si>
  <si>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</si>
  <si>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</si>
  <si>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</si>
  <si>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</si>
  <si>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</si>
  <si>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</si>
  <si>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</si>
  <si>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</si>
  <si>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</si>
  <si>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</si>
  <si>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</si>
  <si>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</si>
  <si>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</si>
  <si>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</si>
  <si>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</si>
  <si>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</si>
  <si>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</si>
  <si>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</si>
  <si>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</si>
  <si>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</si>
  <si>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</si>
  <si>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</si>
  <si>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</si>
  <si>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</si>
  <si>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</si>
  <si>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</si>
  <si>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</si>
  <si>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</si>
  <si>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</si>
  <si>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</si>
  <si>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</si>
  <si>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</si>
  <si>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</si>
  <si>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</si>
  <si>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</si>
  <si>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</si>
  <si>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</si>
  <si>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</si>
  <si>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</si>
  <si>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</si>
  <si>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</si>
  <si>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</si>
  <si>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</si>
  <si>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</si>
  <si>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</si>
  <si>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</si>
  <si>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</si>
  <si>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</si>
  <si>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</si>
  <si>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</si>
  <si>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</si>
  <si>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</si>
  <si>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</si>
  <si>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</si>
  <si>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</si>
  <si>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</si>
  <si>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</si>
  <si>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</si>
  <si>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</si>
  <si>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</si>
  <si>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</si>
  <si>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</si>
  <si>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</si>
  <si>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</si>
  <si>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</si>
  <si>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</si>
  <si>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</si>
  <si>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</si>
  <si>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</si>
  <si>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</si>
  <si>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</si>
  <si>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</si>
  <si>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</si>
  <si>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</si>
  <si>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</si>
  <si>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</si>
  <si>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</si>
  <si>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</si>
  <si>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</si>
  <si>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</si>
  <si>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</si>
  <si>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</si>
  <si>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</si>
  <si>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</si>
  <si>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</si>
  <si>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</si>
  <si>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</si>
  <si>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</si>
  <si>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</si>
  <si>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</si>
  <si>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</si>
  <si>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</si>
  <si>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</si>
  <si>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</si>
  <si>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</si>
  <si>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</si>
  <si>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</si>
  <si>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</si>
  <si>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</si>
  <si>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</si>
  <si>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</si>
  <si>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</si>
  <si>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</si>
  <si>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</si>
  <si>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</si>
  <si>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</si>
  <si>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</si>
  <si>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</si>
  <si>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</si>
  <si>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</si>
  <si>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</si>
  <si>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</si>
  <si>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</si>
  <si>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</si>
  <si>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</si>
  <si>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</si>
  <si>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</si>
  <si>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</si>
  <si>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</si>
  <si>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</si>
  <si>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</si>
  <si>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</si>
  <si>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</si>
  <si>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</si>
  <si>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</si>
  <si>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</si>
  <si>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</si>
  <si>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</si>
  <si>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</si>
  <si>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</si>
  <si>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</si>
  <si>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</si>
  <si>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</si>
  <si>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</si>
  <si>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</si>
  <si>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</si>
  <si>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</si>
  <si>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</si>
  <si>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</si>
  <si>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</si>
  <si>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</si>
  <si>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</si>
  <si>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</si>
  <si>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</si>
  <si>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</si>
  <si>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</si>
  <si>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</si>
  <si>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</si>
  <si>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</si>
  <si>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</si>
  <si>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</si>
  <si>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</si>
  <si>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</si>
  <si>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</si>
  <si>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</si>
  <si>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</si>
  <si>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</si>
  <si>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</si>
  <si>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</si>
  <si>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</si>
  <si>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</si>
  <si>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</si>
  <si>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</si>
  <si>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</si>
  <si>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</si>
  <si>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</si>
  <si>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</si>
  <si>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</si>
  <si>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</si>
  <si>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</si>
  <si>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</si>
  <si>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</si>
  <si>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</si>
  <si>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</si>
  <si>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</si>
  <si>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</si>
  <si>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</si>
  <si>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</si>
  <si>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</si>
  <si>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</si>
  <si>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</si>
  <si>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</si>
  <si>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</si>
  <si>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</si>
  <si>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</si>
  <si>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</si>
  <si>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</si>
  <si>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</si>
  <si>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</si>
  <si>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</si>
  <si>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</si>
  <si>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</si>
  <si>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</si>
  <si>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</si>
  <si>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</si>
  <si>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</si>
  <si>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</si>
  <si>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</si>
  <si>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</si>
  <si>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</si>
  <si>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</si>
  <si>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</si>
  <si>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</si>
  <si>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</si>
  <si>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</si>
  <si>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</si>
  <si>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</si>
  <si>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</si>
  <si>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</si>
  <si>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</si>
  <si>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</si>
  <si>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</si>
  <si>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</si>
  <si>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</si>
  <si>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</si>
  <si>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</si>
  <si>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</si>
  <si>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</si>
  <si>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</si>
  <si>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</si>
  <si>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</si>
  <si>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</si>
  <si>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</si>
  <si>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</si>
  <si>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</si>
  <si>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</si>
  <si>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</si>
  <si>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</si>
  <si>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</si>
  <si>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</si>
  <si>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</si>
  <si>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</si>
  <si>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</si>
  <si>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</si>
  <si>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</si>
  <si>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</si>
  <si>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</si>
  <si>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</si>
  <si>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</si>
  <si>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</si>
  <si>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</si>
  <si>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</si>
  <si>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</si>
  <si>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</si>
  <si>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</si>
  <si>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</si>
  <si>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</si>
  <si>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</si>
  <si>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</si>
  <si>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</si>
  <si>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</si>
  <si>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</si>
  <si>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</si>
  <si>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</si>
  <si>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</si>
  <si>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</si>
  <si>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</si>
  <si>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</si>
  <si>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</si>
  <si>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</si>
  <si>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</si>
  <si>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</si>
  <si>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</si>
  <si>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</si>
  <si>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</si>
  <si>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</si>
  <si>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</si>
  <si>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</si>
  <si>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</si>
  <si>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</si>
  <si>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</si>
  <si>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</si>
  <si>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</si>
  <si>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</si>
  <si>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</si>
  <si>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</si>
  <si>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</si>
  <si>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</si>
  <si>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</si>
  <si>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</si>
  <si>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</si>
  <si>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</si>
  <si>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</si>
  <si>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</si>
  <si>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</si>
  <si>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</si>
  <si>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</si>
  <si>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</si>
  <si>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</si>
  <si>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</si>
  <si>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</si>
  <si>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</si>
  <si>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</si>
  <si>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</si>
  <si>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</si>
  <si>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</si>
  <si>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</si>
  <si>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</si>
  <si>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</si>
  <si>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</si>
  <si>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</si>
  <si>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</si>
  <si>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</si>
  <si>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</si>
  <si>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</si>
  <si>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</si>
  <si>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</si>
  <si>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</si>
  <si>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</si>
  <si>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</si>
  <si>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</si>
  <si>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</si>
  <si>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</si>
  <si>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</si>
  <si>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</si>
  <si>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</si>
  <si>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</si>
  <si>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</si>
  <si>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</si>
  <si>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</si>
  <si>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</si>
  <si>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</si>
  <si>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</si>
  <si>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</si>
  <si>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</si>
  <si>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</si>
  <si>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</si>
  <si>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</si>
  <si>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</si>
  <si>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</si>
  <si>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</si>
  <si>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</si>
  <si>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</si>
  <si>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</si>
  <si>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</si>
  <si>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</si>
  <si>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</si>
  <si>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</si>
  <si>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</si>
  <si>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</si>
  <si>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</si>
  <si>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</si>
  <si>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</si>
  <si>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</si>
  <si>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</si>
  <si>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</si>
  <si>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</si>
  <si>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</si>
  <si>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</si>
  <si>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</si>
  <si>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</si>
  <si>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</si>
  <si>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</si>
  <si>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</si>
  <si>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</si>
  <si>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</si>
  <si>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</si>
  <si>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</si>
  <si>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</si>
  <si>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</si>
  <si>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</si>
  <si>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</si>
  <si>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</si>
  <si>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</si>
  <si>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</si>
  <si>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</si>
  <si>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</si>
  <si>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</si>
  <si>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</si>
  <si>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</si>
  <si>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</si>
  <si>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</si>
  <si>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</si>
  <si>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</si>
  <si>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</si>
  <si>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</si>
  <si>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</si>
  <si>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</si>
  <si>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</si>
  <si>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</si>
  <si>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</si>
  <si>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</si>
  <si>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</si>
  <si>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</si>
  <si>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</si>
  <si>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</si>
  <si>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</si>
  <si>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</si>
  <si>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</si>
  <si>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</si>
  <si>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</si>
  <si>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</si>
  <si>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</si>
  <si>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</si>
  <si>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</si>
  <si>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</si>
  <si>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</si>
  <si>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</si>
  <si>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</si>
  <si>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</si>
  <si>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</si>
  <si>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</si>
  <si>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</si>
  <si>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</si>
  <si>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</si>
  <si>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</si>
  <si>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</si>
  <si>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</si>
  <si>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</si>
  <si>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</si>
  <si>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</si>
  <si>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</si>
  <si>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</si>
  <si>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</si>
  <si>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</si>
  <si>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</si>
  <si>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</si>
  <si>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</si>
  <si>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</si>
  <si>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</si>
  <si>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</si>
  <si>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</si>
  <si>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</si>
  <si>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</si>
  <si>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</si>
  <si>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</si>
  <si>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</si>
  <si>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</si>
  <si>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</si>
  <si>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</si>
  <si>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</si>
  <si>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</si>
  <si>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</si>
  <si>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</si>
  <si>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</si>
  <si>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</si>
  <si>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</si>
  <si>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</si>
  <si>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</si>
  <si>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</si>
  <si>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</si>
  <si>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</si>
  <si>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</si>
  <si>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</si>
  <si>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</si>
  <si>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</si>
  <si>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</si>
  <si>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</si>
  <si>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</si>
  <si>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</si>
  <si>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</si>
  <si>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</si>
  <si>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</si>
  <si>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</si>
  <si>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</si>
  <si>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</si>
  <si>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</si>
  <si>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</si>
  <si>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</si>
  <si>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</si>
  <si>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</si>
  <si>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</si>
  <si>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</si>
  <si>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</si>
  <si>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</si>
  <si>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</si>
  <si>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</si>
  <si>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</si>
  <si>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</si>
  <si>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</si>
  <si>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</si>
  <si>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</si>
  <si>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</si>
  <si>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</si>
  <si>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</si>
  <si>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</si>
  <si>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</si>
  <si>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</si>
  <si>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</si>
  <si>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</si>
  <si>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</si>
  <si>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</si>
  <si>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</si>
  <si>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</si>
  <si>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</si>
  <si>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</si>
  <si>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</si>
  <si>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</si>
  <si>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</si>
  <si>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</si>
  <si>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</si>
  <si>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</si>
  <si>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</si>
  <si>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</si>
  <si>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</si>
  <si>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</si>
  <si>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</si>
  <si>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</si>
  <si>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</si>
  <si>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</si>
  <si>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</si>
  <si>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</si>
  <si>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</si>
  <si>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</si>
  <si>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</si>
  <si>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</si>
  <si>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</si>
  <si>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</si>
  <si>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</si>
  <si>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</si>
  <si>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</si>
  <si>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</si>
  <si>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</si>
  <si>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</si>
  <si>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</si>
  <si>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</si>
  <si>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</si>
  <si>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</si>
  <si>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</si>
  <si>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</si>
  <si>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</si>
  <si>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</si>
  <si>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</si>
  <si>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</si>
  <si>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</si>
  <si>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</si>
  <si>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</si>
  <si>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</si>
  <si>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</si>
  <si>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</si>
  <si>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</si>
  <si>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</si>
  <si>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</si>
  <si>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</si>
  <si>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</si>
  <si>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</si>
  <si>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</si>
  <si>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</si>
  <si>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</si>
  <si>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</si>
  <si>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</si>
  <si>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</si>
  <si>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</si>
  <si>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</si>
  <si>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</si>
  <si>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</si>
  <si>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</si>
  <si>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</si>
  <si>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</si>
  <si>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</si>
  <si>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</si>
  <si>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</si>
  <si>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</si>
  <si>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</si>
  <si>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</si>
  <si>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</si>
  <si>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</si>
  <si>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</si>
  <si>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</si>
  <si>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</si>
  <si>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</si>
  <si>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</si>
  <si>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</si>
  <si>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</si>
  <si>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</si>
  <si>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</si>
  <si>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</si>
  <si>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</si>
  <si>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</si>
  <si>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</si>
  <si>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</si>
  <si>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</si>
  <si>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</si>
  <si>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</si>
  <si>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</si>
  <si>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</si>
  <si>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</si>
  <si>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</si>
  <si>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</si>
  <si>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</si>
  <si>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</si>
  <si>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</si>
  <si>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</si>
  <si>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</si>
  <si>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</si>
  <si>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</si>
  <si>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</si>
  <si>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</si>
  <si>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</si>
  <si>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</si>
  <si>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</si>
  <si>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</si>
  <si>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</si>
  <si>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</si>
  <si>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</si>
  <si>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</si>
  <si>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</si>
  <si>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</si>
  <si>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</si>
  <si>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</si>
  <si>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</si>
  <si>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</si>
  <si>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</si>
  <si>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</si>
  <si>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</si>
  <si>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</si>
  <si>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</si>
  <si>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</si>
  <si>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</si>
  <si>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</si>
  <si>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</si>
  <si>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</si>
  <si>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</si>
  <si>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</si>
  <si>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</si>
  <si>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</si>
  <si>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</si>
  <si>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</si>
  <si>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</si>
  <si>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</si>
  <si>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</si>
  <si>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</si>
  <si>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</si>
  <si>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</si>
  <si>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</si>
  <si>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</si>
  <si>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</si>
  <si>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</si>
  <si>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</si>
  <si>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</si>
  <si>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</si>
  <si>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</si>
  <si>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</si>
  <si>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</si>
  <si>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</si>
  <si>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</si>
  <si>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</si>
  <si>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</si>
  <si>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</si>
  <si>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</si>
  <si>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</si>
  <si>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</si>
  <si>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</si>
  <si>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</si>
  <si>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</si>
  <si>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</si>
  <si>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</si>
  <si>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</si>
  <si>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</si>
  <si>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</si>
  <si>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</si>
  <si>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</si>
  <si>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</si>
  <si>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</si>
  <si>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</si>
  <si>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</si>
  <si>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</si>
  <si>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</si>
  <si>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</si>
  <si>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</si>
  <si>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</si>
  <si>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</si>
  <si>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</si>
  <si>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</si>
  <si>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</si>
  <si>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</si>
  <si>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</si>
  <si>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</si>
  <si>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</si>
  <si>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</si>
  <si>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</si>
  <si>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</si>
  <si>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</si>
  <si>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</si>
  <si>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</si>
  <si>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</si>
  <si>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</si>
  <si>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</si>
  <si>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</si>
  <si>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</si>
  <si>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</si>
  <si>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</si>
  <si>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</si>
  <si>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</si>
  <si>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</si>
  <si>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</si>
  <si>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</si>
  <si>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</si>
  <si>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</si>
  <si>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</si>
  <si>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</si>
  <si>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</si>
  <si>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</si>
  <si>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</si>
  <si>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</si>
  <si>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</si>
  <si>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</si>
  <si>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</si>
  <si>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</si>
  <si>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</si>
  <si>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</si>
  <si>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</si>
  <si>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</si>
  <si>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</si>
  <si>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</si>
  <si>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</si>
  <si>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</si>
  <si>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</si>
  <si>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</si>
  <si>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</si>
  <si>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</si>
  <si>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</si>
  <si>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</si>
  <si>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</si>
  <si>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</si>
  <si>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</si>
  <si>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</si>
  <si>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</si>
  <si>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</si>
  <si>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</si>
  <si>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</si>
  <si>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</si>
  <si>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</si>
  <si>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</si>
  <si>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</si>
  <si>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</si>
  <si>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</si>
  <si>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</si>
  <si>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</si>
  <si>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</si>
  <si>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</si>
  <si>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</si>
  <si>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</si>
  <si>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</si>
  <si>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</si>
  <si>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</si>
  <si>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</si>
  <si>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</si>
  <si>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</si>
  <si>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</si>
  <si>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</si>
  <si>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</si>
  <si>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</si>
  <si>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</si>
  <si>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</si>
  <si>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</si>
  <si>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</si>
  <si>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</si>
  <si>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</si>
  <si>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</si>
  <si>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</si>
  <si>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</si>
  <si>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</si>
  <si>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</si>
  <si>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</si>
  <si>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</si>
  <si>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</si>
  <si>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</si>
  <si>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</si>
  <si>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</si>
  <si>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</si>
  <si>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</si>
  <si>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</si>
  <si>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</si>
  <si>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</si>
  <si>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</si>
  <si>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</si>
  <si>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</si>
  <si>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</si>
  <si>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</si>
  <si>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</si>
  <si>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</si>
  <si>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</si>
  <si>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</si>
  <si>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</si>
  <si>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</si>
  <si>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</si>
  <si>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</si>
  <si>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</si>
  <si>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</si>
  <si>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</si>
  <si>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</si>
  <si>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</si>
  <si>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</si>
  <si>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</si>
  <si>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</si>
  <si>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</si>
  <si>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</si>
  <si>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</si>
  <si>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</si>
  <si>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</si>
  <si>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</si>
  <si>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</si>
  <si>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</si>
  <si>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</si>
  <si>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</si>
  <si>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</si>
  <si>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</si>
  <si>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</si>
  <si>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</si>
  <si>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</si>
  <si>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</si>
  <si>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</si>
  <si>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</si>
  <si>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</si>
  <si>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</si>
  <si>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</si>
  <si>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</si>
  <si>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</si>
  <si>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</si>
  <si>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</si>
  <si>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</si>
  <si>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</si>
  <si>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</si>
  <si>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</si>
  <si>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</si>
  <si>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</si>
  <si>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</si>
  <si>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</si>
  <si>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</si>
  <si>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</si>
  <si>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</si>
  <si>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</si>
  <si>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</si>
  <si>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</si>
  <si>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</si>
  <si>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</si>
  <si>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</si>
  <si>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</si>
  <si>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</si>
  <si>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</si>
  <si>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</si>
  <si>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</si>
  <si>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</si>
  <si>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</si>
  <si>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</si>
  <si>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</si>
  <si>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</si>
  <si>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</si>
  <si>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</si>
  <si>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</si>
  <si>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</si>
  <si>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</si>
  <si>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</si>
  <si>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</si>
  <si>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</si>
  <si>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</si>
  <si>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</si>
  <si>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</si>
  <si>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</si>
  <si>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</si>
  <si>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</si>
  <si>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</si>
  <si>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</si>
  <si>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</si>
  <si>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</si>
  <si>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</si>
  <si>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</si>
  <si>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</si>
  <si>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</si>
  <si>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</si>
  <si>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</si>
  <si>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</si>
  <si>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</si>
  <si>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</si>
  <si>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</si>
  <si>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</si>
  <si>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</si>
  <si>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</si>
  <si>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</si>
  <si>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</si>
  <si>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</si>
  <si>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</si>
  <si>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</si>
  <si>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</si>
  <si>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</si>
  <si>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</si>
  <si>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</si>
  <si>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</si>
  <si>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</si>
  <si>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</si>
  <si>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</si>
  <si>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</si>
  <si>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</si>
  <si>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</si>
  <si>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</si>
  <si>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</si>
  <si>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</si>
  <si>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</si>
  <si>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</si>
  <si>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</si>
  <si>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</si>
  <si>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</si>
  <si>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</si>
  <si>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</si>
  <si>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</si>
  <si>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</si>
  <si>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</si>
  <si>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</si>
  <si>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</si>
  <si>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</si>
  <si>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</si>
  <si>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</si>
  <si>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</si>
  <si>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</si>
  <si>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</si>
  <si>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</si>
  <si>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</si>
  <si>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</si>
  <si>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</si>
  <si>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</si>
  <si>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</si>
  <si>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</si>
  <si>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</si>
  <si>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</si>
  <si>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</si>
  <si>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</si>
  <si>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</si>
  <si>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</si>
  <si>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</si>
  <si>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</si>
  <si>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</si>
  <si>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</si>
  <si>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</si>
  <si>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</si>
  <si>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</si>
  <si>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</si>
  <si>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</si>
  <si>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</si>
  <si>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</si>
  <si>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</si>
  <si>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</si>
  <si>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</si>
  <si>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</si>
  <si>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</si>
  <si>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</si>
  <si>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</si>
  <si>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</si>
  <si>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</si>
  <si>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</si>
  <si>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</si>
  <si>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</si>
  <si>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</si>
  <si>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</si>
  <si>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</si>
  <si>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</si>
  <si>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</si>
  <si>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</si>
  <si>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</si>
  <si>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</si>
  <si>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</si>
  <si>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</si>
  <si>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</si>
  <si>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</si>
  <si>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</si>
  <si>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</si>
  <si>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</si>
  <si>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</si>
  <si>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</si>
  <si>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</si>
  <si>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</si>
  <si>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</si>
  <si>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</si>
  <si>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</si>
  <si>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</si>
  <si>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</si>
  <si>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</si>
  <si>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</si>
  <si>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</si>
  <si>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</si>
  <si>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</si>
  <si>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</si>
  <si>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</si>
  <si>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</si>
  <si>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</si>
  <si>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</si>
  <si>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</si>
  <si>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</si>
  <si>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</si>
  <si>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</si>
  <si>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</si>
  <si>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</si>
  <si>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</si>
  <si>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</si>
  <si>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</si>
  <si>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</si>
  <si>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</si>
  <si>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</si>
  <si>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</si>
  <si>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</si>
  <si>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</si>
  <si>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</si>
  <si>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</si>
  <si>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</si>
  <si>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</si>
  <si>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</si>
  <si>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</si>
  <si>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</si>
  <si>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</si>
  <si>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</si>
  <si>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</si>
  <si>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</si>
  <si>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</si>
  <si>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</si>
  <si>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</si>
  <si>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</si>
  <si>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</si>
  <si>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</si>
  <si>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</si>
  <si>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</si>
  <si>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</si>
  <si>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</si>
  <si>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</si>
  <si>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</si>
  <si>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</si>
  <si>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</si>
  <si>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</si>
  <si>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</si>
  <si>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</si>
  <si>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</si>
  <si>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</si>
  <si>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</si>
  <si>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</si>
  <si>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</si>
  <si>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</si>
  <si>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</si>
  <si>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</si>
  <si>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</si>
  <si>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</si>
  <si>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</si>
  <si>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</si>
  <si>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</si>
  <si>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</si>
  <si>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</si>
  <si>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</si>
  <si>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</si>
  <si>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</si>
  <si>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</si>
  <si>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</si>
  <si>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</si>
  <si>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</si>
  <si>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</si>
  <si>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</si>
  <si>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</si>
  <si>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</si>
  <si>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</si>
  <si>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</si>
  <si>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</si>
  <si>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</si>
  <si>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</si>
  <si>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</si>
  <si>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</si>
  <si>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</si>
  <si>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</si>
  <si>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</si>
  <si>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</si>
  <si>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</si>
  <si>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</si>
  <si>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</si>
  <si>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</si>
  <si>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</si>
  <si>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</si>
  <si>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</si>
  <si>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</si>
  <si>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</si>
  <si>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</si>
  <si>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</si>
  <si>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</si>
  <si>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</si>
  <si>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</si>
  <si>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</si>
  <si>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</si>
  <si>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</si>
  <si>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</si>
  <si>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</si>
  <si>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</si>
  <si>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</si>
  <si>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</si>
  <si>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</si>
  <si>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</si>
  <si>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</si>
  <si>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</si>
  <si>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</si>
  <si>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</si>
  <si>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</si>
  <si>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</si>
  <si>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</si>
  <si>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</si>
  <si>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</si>
  <si>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</si>
  <si>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</si>
  <si>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</si>
  <si>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</si>
  <si>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</si>
  <si>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</si>
  <si>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</si>
  <si>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</si>
  <si>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</si>
  <si>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</si>
  <si>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</si>
  <si>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</si>
  <si>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</si>
  <si>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</si>
  <si>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</si>
  <si>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</si>
  <si>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</si>
  <si>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</si>
  <si>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</si>
  <si>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</si>
  <si>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</si>
  <si>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</si>
  <si>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</si>
  <si>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</si>
  <si>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</si>
  <si>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</si>
  <si>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</si>
  <si>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</si>
  <si>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</si>
  <si>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</si>
  <si>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</si>
  <si>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</si>
  <si>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</si>
  <si>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</si>
  <si>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</si>
  <si>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</si>
  <si>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</si>
  <si>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</si>
  <si>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</si>
  <si>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</si>
  <si>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</si>
  <si>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</si>
  <si>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</si>
  <si>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</si>
  <si>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</si>
  <si>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</si>
  <si>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</si>
  <si>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</si>
  <si>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</si>
  <si>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</si>
  <si>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</si>
  <si>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</si>
  <si>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</si>
  <si>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</si>
  <si>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</si>
  <si>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</si>
  <si>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</si>
  <si>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</si>
  <si>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</si>
  <si>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</si>
  <si>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</si>
  <si>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</si>
  <si>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</si>
  <si>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</si>
  <si>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</si>
  <si>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</si>
  <si>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</si>
  <si>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</si>
  <si>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</si>
  <si>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</si>
  <si>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</si>
  <si>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</si>
  <si>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</si>
  <si>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</si>
  <si>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</si>
  <si>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</si>
  <si>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</si>
  <si>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</si>
  <si>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</si>
  <si>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</si>
  <si>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</si>
  <si>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</si>
  <si>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</si>
  <si>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</si>
  <si>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</si>
  <si>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</si>
  <si>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</si>
  <si>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</si>
  <si>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</si>
  <si>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</si>
  <si>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</si>
  <si>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</si>
  <si>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</si>
  <si>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</si>
  <si>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</si>
  <si>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</si>
  <si>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</si>
  <si>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</si>
  <si>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</si>
  <si>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</si>
  <si>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</si>
  <si>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</si>
  <si>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</si>
  <si>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</si>
  <si>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</si>
  <si>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</si>
  <si>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</si>
  <si>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</si>
  <si>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</si>
  <si>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</si>
  <si>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</si>
  <si>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</si>
  <si>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</si>
  <si>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</si>
  <si>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</si>
  <si>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</si>
  <si>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</si>
  <si>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</si>
  <si>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</si>
  <si>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</si>
  <si>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</si>
  <si>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</si>
  <si>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</si>
  <si>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</si>
  <si>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</si>
  <si>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</si>
  <si>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</si>
  <si>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</si>
  <si>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</si>
  <si>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</si>
  <si>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</si>
  <si>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</si>
  <si>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</si>
  <si>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</si>
  <si>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</si>
  <si>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</si>
  <si>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</si>
  <si>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</si>
  <si>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</si>
  <si>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</si>
  <si>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</si>
  <si>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</si>
  <si>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</si>
  <si>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</si>
  <si>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</si>
  <si>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</si>
  <si>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</si>
  <si>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</si>
  <si>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</si>
  <si>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</si>
  <si>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</si>
  <si>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</si>
  <si>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</si>
  <si>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</si>
  <si>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</si>
  <si>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</si>
  <si>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</si>
  <si>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</si>
  <si>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</si>
  <si>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</si>
  <si>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</si>
  <si>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</si>
  <si>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</si>
  <si>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</si>
  <si>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</si>
  <si>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</si>
  <si>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</si>
  <si>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</si>
  <si>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</si>
  <si>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</si>
  <si>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</si>
  <si>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</si>
  <si>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</si>
  <si>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</si>
  <si>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</si>
  <si>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</si>
  <si>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</si>
  <si>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</si>
  <si>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</si>
  <si>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</si>
  <si>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</si>
  <si>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</si>
  <si>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</si>
  <si>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</si>
  <si>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</si>
  <si>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</si>
  <si>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</si>
  <si>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</si>
  <si>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</si>
  <si>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</si>
  <si>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</si>
  <si>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</si>
  <si>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</si>
  <si>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</si>
  <si>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</si>
  <si>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</si>
  <si>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</si>
  <si>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</si>
  <si>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</si>
  <si>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</si>
  <si>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</si>
  <si>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</si>
  <si>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</si>
  <si>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</si>
  <si>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</si>
  <si>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</si>
  <si>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</si>
  <si>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</si>
  <si>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</si>
  <si>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</si>
  <si>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</si>
  <si>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</si>
  <si>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</si>
  <si>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</si>
  <si>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</si>
  <si>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</si>
  <si>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</si>
  <si>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</si>
  <si>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</si>
  <si>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</si>
  <si>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</si>
  <si>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</si>
  <si>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</si>
  <si>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</si>
  <si>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</si>
  <si>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</si>
  <si>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</si>
  <si>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</si>
  <si>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</si>
  <si>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</si>
  <si>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</si>
  <si>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</si>
  <si>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</si>
  <si>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</si>
  <si>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</si>
  <si>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</si>
  <si>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</si>
  <si>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</si>
  <si>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</si>
  <si>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</si>
  <si>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</si>
  <si>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</si>
  <si>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</si>
  <si>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</si>
  <si>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</si>
  <si>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</si>
  <si>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</si>
  <si>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</si>
  <si>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</si>
  <si>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</si>
  <si>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</si>
  <si>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</si>
  <si>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</si>
  <si>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</si>
  <si>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</si>
  <si>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</si>
  <si>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</si>
  <si>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</si>
  <si>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</si>
  <si>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</si>
  <si>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</si>
  <si>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</si>
  <si>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</si>
  <si>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</si>
  <si>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</si>
  <si>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</si>
  <si>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</si>
  <si>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</si>
  <si>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</si>
  <si>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</si>
  <si>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</si>
  <si>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</si>
  <si>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</si>
  <si>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</si>
  <si>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</si>
  <si>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</si>
  <si>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</si>
  <si>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</si>
  <si>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</si>
  <si>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</si>
  <si>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</si>
  <si>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</si>
  <si>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</si>
  <si>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</si>
  <si>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</si>
  <si>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</si>
  <si>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</si>
  <si>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</si>
  <si>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</si>
  <si>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</si>
  <si>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</si>
  <si>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</si>
  <si>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</si>
  <si>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</si>
  <si>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</si>
  <si>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</si>
  <si>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</si>
  <si>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</si>
  <si>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</si>
  <si>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</si>
  <si>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</si>
  <si>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</si>
  <si>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</si>
  <si>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</si>
  <si>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</si>
  <si>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</si>
  <si>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</si>
  <si>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</si>
  <si>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</si>
  <si>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</si>
  <si>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</si>
  <si>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</si>
  <si>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</si>
  <si>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</si>
  <si>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</si>
  <si>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</si>
  <si>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</si>
  <si>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</si>
  <si>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</si>
  <si>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</si>
  <si>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</si>
  <si>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</si>
  <si>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</si>
  <si>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</si>
  <si>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</si>
  <si>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</si>
  <si>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</si>
  <si>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</si>
  <si>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</si>
  <si>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</si>
  <si>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</si>
  <si>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</si>
  <si>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</si>
  <si>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</si>
  <si>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</si>
  <si>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</si>
  <si>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</si>
  <si>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</si>
  <si>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</si>
  <si>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</si>
  <si>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</si>
  <si>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</si>
  <si>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</si>
  <si>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</si>
  <si>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</si>
  <si>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</si>
  <si>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</si>
  <si>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</si>
  <si>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</si>
  <si>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</si>
  <si>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</si>
  <si>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</si>
  <si>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</si>
  <si>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</si>
  <si>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</si>
  <si>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</si>
  <si>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</si>
  <si>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</si>
  <si>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</si>
  <si>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</si>
  <si>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</si>
  <si>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</si>
  <si>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</si>
  <si>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</si>
  <si>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</si>
  <si>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</si>
  <si>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</si>
  <si>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</si>
  <si>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</si>
  <si>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</si>
  <si>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</si>
  <si>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</si>
  <si>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</si>
  <si>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</si>
  <si>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</si>
  <si>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</si>
  <si>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</si>
  <si>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</si>
  <si>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</si>
  <si>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</si>
  <si>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</si>
  <si>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</si>
  <si>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</si>
  <si>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</si>
  <si>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</si>
  <si>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</si>
  <si>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</si>
  <si>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</si>
  <si>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</si>
  <si>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</si>
  <si>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</si>
  <si>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</si>
  <si>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</si>
  <si>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</si>
  <si>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</si>
  <si>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</si>
  <si>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</si>
  <si>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</si>
  <si>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</si>
  <si>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</si>
  <si>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</si>
  <si>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</si>
  <si>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</si>
  <si>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</si>
  <si>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</si>
  <si>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</si>
  <si>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</si>
  <si>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</si>
  <si>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</si>
  <si>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</si>
  <si>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</si>
  <si>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</si>
  <si>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</si>
  <si>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</si>
  <si>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</si>
  <si>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</si>
  <si>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</si>
  <si>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</si>
  <si>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</si>
  <si>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</si>
  <si>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</si>
  <si>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</si>
  <si>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</si>
  <si>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</si>
  <si>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</si>
  <si>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</si>
  <si>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</si>
  <si>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</si>
  <si>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</si>
  <si>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</si>
  <si>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</si>
  <si>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</si>
  <si>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</si>
  <si>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</si>
  <si>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</si>
  <si>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</si>
  <si>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</si>
  <si>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</si>
  <si>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</si>
  <si>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</si>
  <si>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</si>
  <si>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</si>
  <si>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</si>
  <si>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</si>
  <si>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</si>
  <si>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</si>
  <si>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</si>
  <si>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</si>
  <si>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</si>
  <si>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</si>
  <si>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</si>
  <si>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</si>
  <si>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</si>
  <si>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</si>
  <si>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</si>
  <si>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</si>
  <si>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</si>
  <si>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</si>
  <si>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</si>
  <si>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</si>
  <si>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</si>
  <si>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</si>
  <si>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</si>
  <si>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</si>
  <si>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</si>
  <si>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</si>
  <si>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</si>
  <si>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</si>
  <si>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</si>
  <si>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</si>
  <si>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</si>
  <si>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</si>
  <si>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</si>
  <si>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</si>
  <si>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</si>
  <si>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</si>
  <si>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</si>
  <si>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</si>
  <si>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</si>
  <si>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</si>
  <si>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</si>
  <si>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</si>
  <si>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</si>
  <si>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</si>
  <si>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</si>
  <si>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</si>
  <si>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</si>
  <si>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</si>
  <si>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</si>
  <si>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</si>
  <si>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</si>
  <si>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</si>
  <si>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</si>
  <si>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</si>
  <si>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</si>
  <si>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</si>
  <si>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</si>
  <si>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</si>
  <si>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</si>
  <si>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</si>
  <si>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</si>
  <si>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</si>
  <si>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</si>
  <si>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</si>
  <si>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</si>
  <si>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</si>
  <si>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</si>
  <si>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</si>
  <si>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</si>
  <si>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</si>
  <si>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</si>
  <si>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</si>
  <si>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</si>
  <si>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</si>
  <si>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</si>
  <si>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</si>
  <si>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</si>
  <si>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</si>
  <si>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</si>
  <si>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</si>
  <si>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</si>
  <si>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</si>
  <si>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</si>
  <si>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</si>
  <si>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</si>
  <si>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</si>
  <si>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</si>
  <si>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</si>
  <si>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</si>
  <si>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</si>
  <si>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</si>
  <si>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</si>
  <si>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</si>
  <si>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</si>
  <si>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</si>
  <si>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</si>
  <si>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</si>
  <si>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</si>
  <si>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</si>
  <si>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</si>
  <si>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</si>
  <si>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</si>
  <si>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</si>
  <si>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</si>
  <si>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</si>
  <si>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</si>
  <si>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</si>
  <si>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</si>
  <si>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</si>
  <si>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</si>
  <si>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</si>
  <si>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</si>
  <si>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</si>
  <si>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</si>
  <si>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</si>
  <si>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</si>
  <si>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</si>
  <si>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</si>
  <si>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</si>
  <si>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</si>
  <si>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</si>
  <si>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</si>
  <si>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</si>
  <si>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</si>
  <si>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</si>
  <si>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</si>
  <si>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</si>
  <si>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</si>
  <si>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</si>
  <si>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</si>
  <si>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</si>
  <si>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</si>
  <si>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</si>
  <si>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</si>
  <si>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</si>
  <si>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</si>
  <si>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</si>
  <si>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</si>
  <si>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</si>
  <si>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</si>
  <si>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</si>
  <si>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</si>
  <si>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</si>
  <si>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</si>
  <si>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</si>
  <si>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</si>
  <si>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</si>
  <si>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</si>
  <si>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</si>
  <si>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</si>
  <si>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</si>
  <si>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</si>
  <si>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</si>
  <si>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</si>
  <si>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</si>
  <si>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</si>
  <si>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</si>
  <si>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</si>
  <si>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</si>
  <si>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</si>
  <si>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</si>
  <si>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</si>
  <si>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</si>
  <si>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</si>
  <si>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</si>
  <si>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</si>
  <si>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</si>
  <si>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</si>
  <si>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</si>
  <si>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</si>
  <si>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</si>
  <si>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</si>
  <si>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</si>
  <si>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</si>
  <si>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</si>
  <si>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</si>
  <si>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</si>
  <si>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</si>
  <si>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</si>
  <si>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</si>
  <si>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</si>
  <si>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</si>
  <si>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</si>
  <si>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</si>
  <si>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</si>
  <si>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</si>
  <si>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</si>
  <si>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</si>
  <si>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</si>
  <si>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</si>
  <si>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</si>
  <si>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</si>
  <si>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</si>
  <si>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</si>
  <si>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</si>
  <si>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</si>
  <si>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</si>
  <si>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</si>
  <si>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</si>
  <si>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</si>
  <si>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</si>
  <si>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</si>
  <si>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</si>
  <si>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</si>
  <si>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</si>
  <si>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</si>
  <si>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</si>
  <si>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</si>
  <si>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</si>
  <si>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</si>
  <si>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</si>
  <si>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</si>
  <si>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</si>
  <si>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</si>
  <si>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</si>
  <si>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</si>
  <si>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</si>
  <si>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</si>
  <si>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</si>
  <si>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</si>
  <si>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</si>
  <si>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</si>
  <si>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</si>
  <si>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</si>
  <si>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</si>
  <si>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</si>
  <si>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</si>
  <si>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</si>
  <si>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</si>
  <si>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</si>
  <si>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</si>
  <si>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</si>
  <si>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</si>
  <si>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</si>
  <si>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</si>
  <si>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</si>
  <si>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</si>
  <si>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</si>
  <si>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</si>
  <si>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</si>
  <si>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</si>
  <si>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</si>
  <si>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</si>
  <si>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</si>
  <si>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</si>
  <si>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</si>
  <si>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</si>
  <si>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</si>
  <si>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</si>
  <si>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</si>
  <si>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</si>
  <si>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</si>
  <si>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</si>
  <si>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</si>
  <si>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</si>
  <si>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</si>
  <si>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</si>
  <si>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</si>
  <si>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</si>
  <si>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</si>
  <si>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</si>
  <si>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</si>
  <si>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</si>
  <si>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</si>
  <si>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</si>
  <si>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</si>
  <si>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</si>
  <si>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</si>
  <si>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</si>
  <si>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</si>
  <si>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</si>
  <si>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</si>
  <si>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</si>
  <si>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</si>
  <si>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</si>
  <si>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</si>
  <si>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</si>
  <si>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</si>
  <si>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</si>
  <si>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</si>
  <si>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</si>
  <si>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</si>
  <si>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</si>
  <si>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</si>
  <si>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</si>
  <si>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</si>
  <si>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</si>
  <si>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</si>
  <si>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</si>
  <si>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</si>
  <si>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</si>
  <si>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</si>
  <si>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</si>
  <si>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</si>
  <si>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</si>
  <si>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</si>
  <si>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</si>
  <si>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</si>
  <si>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</si>
  <si>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</si>
  <si>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</si>
  <si>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</si>
  <si>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</si>
  <si>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</si>
  <si>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</si>
  <si>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</si>
  <si>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</si>
  <si>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</si>
  <si>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</si>
  <si>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</si>
  <si>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</si>
  <si>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</si>
  <si>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</si>
  <si>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</si>
  <si>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</si>
  <si>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</si>
  <si>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</si>
  <si>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</si>
  <si>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</si>
  <si>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</si>
  <si>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</si>
  <si>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</si>
  <si>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</si>
  <si>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</si>
  <si>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</si>
  <si>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</si>
  <si>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</si>
  <si>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</si>
  <si>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</si>
  <si>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</si>
  <si>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</si>
  <si>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</si>
  <si>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</si>
  <si>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</si>
  <si>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</si>
  <si>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</si>
  <si>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</si>
  <si>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</si>
  <si>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</si>
  <si>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</si>
  <si>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</si>
  <si>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</si>
  <si>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</si>
  <si>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</si>
  <si>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</si>
  <si>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</si>
  <si>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</si>
  <si>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</si>
  <si>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</si>
  <si>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</si>
  <si>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</si>
  <si>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</si>
  <si>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</si>
  <si>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</si>
  <si>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</si>
  <si>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</si>
  <si>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</si>
  <si>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</si>
  <si>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</si>
  <si>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</si>
  <si>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</si>
  <si>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</si>
  <si>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</si>
  <si>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</si>
  <si>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</si>
  <si>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</si>
  <si>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</si>
  <si>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</si>
  <si>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</si>
  <si>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</si>
  <si>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</si>
  <si>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</si>
  <si>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</si>
  <si>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</si>
  <si>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</si>
  <si>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</si>
  <si>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</si>
  <si>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</si>
  <si>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</si>
  <si>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</si>
  <si>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</si>
  <si>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</si>
  <si>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</si>
  <si>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</si>
  <si>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</si>
  <si>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</si>
  <si>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</si>
  <si>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</si>
  <si>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</si>
  <si>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</si>
  <si>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</si>
  <si>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</si>
  <si>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</si>
  <si>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</si>
  <si>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</si>
  <si>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</si>
  <si>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</si>
  <si>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</si>
  <si>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</si>
  <si>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</si>
  <si>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</si>
  <si>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</si>
  <si>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</si>
  <si>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</si>
  <si>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</si>
  <si>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</si>
  <si>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</si>
  <si>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</si>
  <si>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</si>
  <si>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</si>
  <si>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</si>
  <si>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</si>
  <si>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</si>
  <si>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</si>
  <si>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</si>
  <si>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</si>
  <si>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</si>
  <si>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</si>
  <si>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</si>
  <si>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</si>
  <si>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</si>
  <si>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</si>
  <si>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</si>
  <si>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</si>
  <si>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</si>
  <si>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</si>
  <si>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</si>
  <si>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</si>
  <si>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</si>
  <si>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</si>
  <si>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</si>
  <si>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</si>
  <si>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</si>
  <si>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</si>
  <si>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</si>
  <si>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</si>
  <si>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</si>
  <si>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</si>
  <si>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</si>
  <si>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</si>
  <si>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</si>
  <si>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</si>
  <si>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</si>
  <si>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</si>
  <si>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</si>
  <si>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</si>
  <si>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</si>
  <si>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</si>
  <si>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</si>
  <si>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</si>
  <si>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</si>
  <si>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</si>
  <si>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</si>
  <si>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</si>
  <si>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</si>
  <si>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</si>
  <si>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</si>
  <si>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</si>
  <si>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</si>
  <si>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</si>
  <si>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</si>
  <si>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</si>
  <si>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</si>
  <si>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</si>
  <si>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</si>
  <si>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</si>
  <si>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</si>
  <si>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</si>
  <si>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</si>
  <si>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</si>
  <si>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</si>
  <si>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</si>
  <si>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</si>
  <si>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</si>
  <si>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</si>
  <si>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</si>
  <si>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</si>
  <si>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</si>
  <si>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</si>
  <si>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</si>
  <si>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</si>
  <si>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</si>
  <si>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</si>
  <si>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</si>
  <si>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</si>
  <si>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</si>
  <si>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</si>
  <si>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</si>
  <si>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</si>
  <si>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</si>
  <si>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</si>
  <si>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</si>
  <si>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</si>
  <si>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</si>
  <si>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</si>
  <si>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</si>
  <si>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</si>
  <si>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</si>
  <si>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</si>
  <si>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</si>
  <si>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</si>
  <si>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</si>
  <si>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</si>
  <si>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</si>
  <si>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</si>
  <si>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</si>
  <si>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</si>
  <si>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</si>
  <si>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</si>
  <si>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</si>
  <si>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</si>
  <si>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</si>
  <si>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</si>
  <si>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</si>
  <si>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</si>
  <si>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</si>
  <si>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</si>
  <si>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</si>
  <si>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</si>
  <si>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</si>
  <si>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</si>
  <si>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</si>
  <si>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</si>
  <si>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</si>
  <si>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</si>
  <si>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</si>
  <si>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</si>
  <si>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</si>
  <si>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</si>
  <si>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</si>
  <si>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</si>
  <si>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</si>
  <si>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</si>
  <si>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</si>
  <si>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</si>
  <si>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</si>
  <si>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</si>
  <si>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</si>
  <si>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</si>
  <si>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</si>
  <si>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</si>
  <si>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</si>
  <si>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</si>
  <si>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</si>
  <si>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</si>
  <si>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</si>
  <si>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</si>
  <si>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</si>
  <si>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</si>
  <si>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</si>
  <si>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</si>
  <si>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</si>
  <si>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</si>
  <si>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</si>
  <si>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</si>
  <si>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</si>
  <si>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</si>
  <si>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</si>
  <si>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</si>
  <si>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</si>
  <si>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</si>
  <si>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</si>
  <si>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</si>
  <si>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</si>
  <si>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</si>
  <si>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</si>
  <si>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</si>
  <si>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</si>
  <si>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</si>
  <si>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</si>
  <si>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</si>
  <si>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</si>
  <si>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</si>
  <si>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</si>
  <si>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</si>
  <si>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</si>
  <si>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</si>
  <si>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</si>
  <si>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</si>
  <si>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</si>
  <si>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</si>
  <si>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</si>
  <si>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</si>
  <si>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</si>
  <si>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</si>
  <si>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</si>
  <si>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</si>
  <si>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</si>
  <si>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</si>
  <si>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</si>
  <si>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</si>
  <si>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</si>
  <si>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</si>
  <si>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</si>
  <si>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</si>
  <si>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</si>
  <si>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</si>
  <si>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</si>
  <si>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</si>
  <si>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</si>
  <si>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</si>
  <si>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</si>
  <si>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</si>
  <si>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</si>
  <si>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</si>
  <si>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</si>
  <si>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</si>
  <si>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</si>
  <si>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</si>
  <si>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</si>
  <si>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</si>
  <si>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</si>
  <si>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</si>
  <si>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</si>
  <si>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</si>
  <si>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</si>
  <si>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</si>
  <si>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</si>
  <si>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</si>
  <si>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</si>
  <si>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</si>
  <si>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</si>
  <si>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</si>
  <si>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</si>
  <si>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</si>
  <si>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</si>
  <si>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</si>
  <si>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</si>
  <si>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</si>
  <si>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</si>
  <si>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</si>
  <si>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</si>
  <si>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</si>
  <si>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</si>
  <si>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</si>
  <si>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</si>
  <si>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</si>
  <si>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</si>
  <si>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</si>
  <si>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</si>
  <si>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</si>
  <si>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</si>
  <si>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</si>
  <si>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</si>
  <si>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</si>
  <si>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</si>
  <si>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</si>
  <si>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</si>
  <si>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</si>
  <si>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</si>
  <si>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</si>
  <si>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</si>
  <si>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</si>
  <si>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</si>
  <si>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</si>
  <si>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</si>
  <si>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</si>
  <si>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</si>
  <si>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</si>
  <si>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</si>
  <si>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</si>
  <si>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</si>
  <si>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</si>
  <si>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</si>
  <si>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</si>
  <si>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</si>
  <si>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</si>
  <si>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</si>
  <si>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</si>
  <si>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</si>
  <si>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</si>
  <si>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</si>
  <si>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</si>
  <si>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</si>
  <si>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</si>
  <si>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</si>
  <si>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</si>
  <si>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</si>
  <si>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</si>
  <si>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</si>
  <si>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</si>
  <si>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</si>
  <si>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</si>
  <si>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</si>
  <si>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</si>
  <si>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</si>
  <si>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</si>
  <si>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</si>
  <si>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</si>
  <si>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</si>
  <si>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</si>
  <si>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</si>
  <si>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</si>
  <si>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</si>
  <si>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</si>
  <si>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</si>
  <si>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</si>
  <si>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</si>
  <si>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</si>
  <si>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</si>
  <si>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</si>
  <si>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</si>
  <si>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</si>
  <si>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</si>
  <si>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</si>
  <si>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</si>
  <si>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</si>
  <si>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</si>
  <si>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</si>
  <si>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</si>
  <si>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</si>
  <si>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</si>
  <si>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</si>
  <si>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</si>
  <si>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</si>
  <si>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</si>
  <si>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</si>
  <si>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</si>
  <si>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</si>
  <si>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</si>
  <si>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</si>
  <si>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</si>
  <si>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</si>
  <si>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</si>
  <si>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</si>
  <si>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</si>
  <si>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</si>
  <si>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</si>
  <si>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</si>
  <si>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</si>
  <si>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</si>
  <si>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</si>
  <si>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</si>
  <si>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</si>
  <si>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</si>
  <si>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</si>
  <si>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</si>
  <si>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</si>
  <si>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</si>
  <si>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</si>
  <si>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</si>
  <si>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</si>
  <si>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</si>
  <si>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</si>
  <si>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</si>
  <si>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</si>
  <si>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</si>
  <si>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</si>
  <si>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</si>
  <si>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</si>
  <si>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</si>
  <si>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</si>
  <si>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</si>
  <si>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</si>
  <si>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</si>
  <si>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</si>
  <si>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</si>
  <si>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</si>
  <si>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</si>
  <si>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</si>
  <si>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</si>
  <si>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</si>
  <si>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</si>
  <si>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</si>
  <si>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</si>
  <si>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</si>
  <si>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</si>
  <si>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</si>
  <si>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</si>
  <si>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</si>
  <si>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</si>
  <si>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</si>
  <si>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</si>
  <si>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</si>
  <si>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</si>
  <si>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</si>
  <si>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</si>
  <si>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</si>
  <si>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</si>
  <si>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</si>
  <si>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</si>
  <si>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</si>
  <si>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</si>
  <si>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</si>
  <si>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</si>
  <si>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</si>
  <si>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</si>
  <si>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</si>
  <si>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</si>
  <si>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</si>
  <si>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</si>
  <si>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</si>
  <si>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</si>
  <si>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</si>
  <si>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</si>
  <si>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</si>
  <si>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</si>
  <si>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</si>
  <si>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</si>
  <si>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</si>
  <si>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</si>
  <si>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</si>
  <si>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</si>
  <si>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</si>
  <si>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</si>
  <si>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</si>
  <si>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</si>
  <si>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</si>
  <si>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</si>
  <si>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</si>
  <si>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</si>
  <si>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</si>
  <si>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</si>
  <si>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</si>
  <si>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</si>
  <si>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</si>
  <si>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</si>
  <si>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</si>
  <si>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</si>
  <si>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</si>
  <si>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</si>
  <si>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</si>
  <si>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</si>
  <si>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</si>
  <si>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</si>
  <si>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</si>
  <si>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</si>
  <si>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</si>
  <si>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</si>
  <si>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</si>
  <si>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</si>
  <si>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</si>
  <si>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</si>
  <si>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</si>
  <si>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</si>
  <si>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</si>
  <si>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</si>
  <si>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</si>
  <si>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</si>
  <si>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</si>
  <si>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</si>
  <si>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</si>
  <si>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</si>
  <si>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</si>
  <si>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</si>
  <si>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</si>
  <si>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</si>
  <si>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</si>
  <si>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</si>
  <si>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</si>
  <si>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</si>
  <si>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</si>
  <si>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</si>
  <si>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</si>
  <si>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</si>
  <si>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</si>
  <si>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</si>
  <si>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</si>
  <si>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</si>
  <si>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</si>
  <si>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</si>
  <si>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</si>
  <si>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</si>
  <si>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</si>
  <si>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</si>
  <si>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</si>
  <si>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</si>
  <si>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</si>
  <si>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</si>
  <si>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</si>
  <si>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</si>
  <si>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</si>
  <si>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</si>
  <si>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</si>
  <si>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</si>
  <si>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</si>
  <si>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</si>
  <si>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</si>
  <si>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</si>
  <si>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</si>
  <si>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</si>
  <si>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</si>
  <si>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</si>
  <si>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</si>
  <si>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</si>
  <si>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</si>
  <si>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</si>
  <si>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</si>
  <si>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</si>
  <si>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</si>
  <si>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</si>
  <si>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</si>
  <si>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</si>
  <si>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</si>
  <si>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</si>
  <si>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</si>
  <si>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</si>
  <si>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</si>
  <si>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</si>
  <si>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</si>
  <si>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</si>
  <si>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</si>
  <si>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</si>
  <si>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</si>
  <si>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</si>
  <si>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</si>
  <si>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</si>
  <si>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</si>
  <si>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</si>
  <si>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</si>
  <si>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</si>
  <si>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</si>
  <si>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</si>
  <si>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</si>
  <si>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</si>
  <si>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</si>
  <si>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</si>
  <si>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</si>
  <si>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</si>
  <si>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</si>
  <si>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</si>
  <si>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</si>
  <si>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</si>
  <si>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</si>
  <si>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</si>
  <si>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</si>
  <si>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</si>
  <si>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</si>
  <si>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</si>
  <si>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</si>
  <si>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</si>
  <si>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</si>
  <si>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</si>
  <si>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</si>
  <si>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</si>
  <si>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</si>
  <si>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</si>
  <si>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</si>
  <si>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</si>
  <si>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</si>
  <si>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</si>
  <si>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</si>
  <si>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</si>
  <si>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</si>
  <si>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</si>
  <si>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</si>
  <si>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</si>
  <si>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</si>
  <si>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</si>
  <si>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</si>
  <si>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</si>
  <si>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</si>
  <si>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</si>
  <si>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</si>
  <si>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</si>
  <si>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</si>
  <si>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</si>
  <si>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</si>
  <si>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</si>
  <si>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</si>
  <si>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</si>
  <si>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</si>
  <si>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</si>
  <si>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</si>
  <si>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</si>
  <si>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</si>
  <si>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</si>
  <si>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</si>
  <si>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</si>
  <si>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</si>
  <si>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</si>
  <si>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</si>
  <si>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</si>
  <si>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</si>
  <si>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</si>
  <si>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</si>
  <si>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</si>
  <si>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</si>
  <si>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</si>
  <si>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</si>
  <si>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</si>
  <si>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</si>
  <si>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</si>
  <si>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</si>
  <si>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</si>
  <si>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</si>
  <si>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</si>
  <si>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</si>
  <si>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</si>
  <si>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</si>
  <si>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</si>
  <si>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</si>
  <si>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</si>
  <si>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</si>
  <si>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</si>
  <si>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</si>
  <si>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</si>
  <si>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</si>
  <si>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</si>
  <si>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</si>
  <si>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</si>
  <si>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</si>
  <si>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</si>
  <si>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</si>
  <si>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</si>
  <si>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</si>
  <si>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</si>
  <si>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</si>
  <si>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</si>
  <si>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</si>
  <si>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</si>
  <si>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</si>
  <si>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</si>
  <si>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</si>
  <si>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</si>
  <si>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</si>
  <si>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</si>
  <si>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</si>
  <si>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</si>
  <si>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</si>
  <si>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</si>
  <si>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</si>
  <si>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</si>
  <si>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</si>
  <si>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</si>
  <si>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</si>
  <si>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</si>
  <si>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</si>
  <si>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</si>
  <si>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</si>
  <si>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</si>
  <si>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</si>
  <si>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</si>
  <si>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</si>
  <si>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</si>
  <si>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</si>
  <si>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</si>
  <si>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</si>
  <si>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</si>
  <si>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</si>
  <si>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</si>
  <si>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</si>
  <si>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</si>
  <si>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</si>
  <si>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</si>
  <si>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</si>
  <si>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</si>
  <si>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</si>
  <si>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</si>
  <si>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</si>
  <si>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</si>
  <si>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</si>
  <si>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</si>
  <si>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</si>
  <si>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</si>
  <si>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</si>
  <si>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</si>
  <si>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</si>
  <si>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</si>
  <si>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</si>
  <si>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</si>
  <si>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</si>
  <si>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</si>
  <si>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</si>
  <si>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</si>
  <si>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</si>
  <si>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</si>
  <si>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</si>
  <si>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</si>
  <si>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</si>
  <si>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</si>
  <si>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</si>
  <si>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</si>
  <si>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</si>
  <si>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</si>
  <si>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</si>
  <si>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</si>
  <si>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</si>
  <si>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</si>
  <si>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</si>
  <si>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</si>
  <si>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</si>
  <si>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</si>
  <si>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</si>
  <si>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</si>
  <si>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</si>
  <si>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</si>
  <si>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</si>
  <si>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</si>
  <si>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</si>
  <si>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</si>
  <si>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</si>
  <si>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</si>
  <si>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</si>
  <si>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</si>
  <si>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</si>
  <si>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</si>
  <si>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</si>
  <si>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</si>
  <si>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</si>
  <si>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</si>
  <si>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</si>
  <si>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</si>
  <si>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</si>
  <si>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</si>
  <si>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</si>
  <si>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</si>
  <si>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</si>
  <si>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</si>
  <si>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</si>
  <si>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</si>
  <si>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</si>
  <si>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</si>
  <si>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</si>
  <si>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</si>
  <si>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</si>
  <si>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</si>
  <si>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</si>
  <si>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</si>
  <si>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</si>
  <si>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</si>
  <si>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</si>
  <si>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</si>
  <si>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</si>
  <si>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</si>
  <si>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</si>
  <si>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</si>
  <si>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</si>
  <si>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</si>
  <si>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</si>
  <si>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</si>
  <si>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</si>
  <si>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</si>
  <si>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</si>
  <si>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</si>
  <si>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</si>
  <si>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</si>
  <si>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</si>
  <si>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</si>
  <si>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</si>
  <si>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</si>
  <si>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</si>
  <si>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</si>
  <si>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</si>
  <si>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</si>
  <si>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</si>
  <si>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</si>
  <si>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</si>
  <si>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</si>
  <si>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</si>
  <si>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</si>
  <si>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</si>
  <si>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</si>
  <si>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</si>
  <si>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</si>
  <si>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</si>
  <si>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</si>
  <si>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</si>
  <si>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</si>
  <si>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</si>
  <si>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</si>
  <si>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</si>
  <si>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</si>
  <si>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</si>
  <si>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</si>
  <si>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</si>
  <si>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</si>
  <si>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</si>
  <si>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</si>
  <si>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</si>
  <si>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</si>
  <si>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</si>
  <si>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</si>
  <si>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</si>
  <si>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</si>
  <si>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</si>
  <si>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</si>
  <si>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</si>
  <si>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</si>
  <si>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</si>
  <si>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</si>
  <si>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</si>
  <si>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</si>
  <si>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</si>
  <si>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</si>
  <si>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</si>
  <si>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</si>
  <si>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</si>
  <si>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</si>
  <si>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</si>
  <si>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</si>
  <si>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</si>
  <si>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</si>
  <si>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</si>
  <si>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</si>
  <si>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</si>
  <si>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</si>
  <si>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</si>
  <si>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</si>
  <si>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</si>
  <si>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</si>
  <si>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</si>
  <si>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</si>
  <si>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</si>
  <si>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</si>
  <si>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</si>
  <si>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</si>
  <si>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</si>
  <si>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</si>
  <si>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</si>
  <si>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</si>
  <si>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</si>
  <si>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</si>
  <si>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</si>
  <si>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</si>
  <si>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</si>
  <si>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</si>
  <si>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</si>
  <si>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</si>
  <si>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</si>
  <si>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</si>
  <si>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</si>
  <si>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</si>
  <si>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</si>
  <si>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</si>
  <si>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</si>
  <si>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</si>
  <si>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</si>
  <si>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</si>
  <si>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</si>
  <si>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</si>
  <si>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</si>
  <si>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</si>
  <si>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</si>
  <si>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</si>
  <si>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</si>
  <si>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</si>
  <si>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</si>
  <si>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</si>
  <si>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</si>
  <si>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</si>
  <si>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</si>
  <si>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</si>
  <si>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</si>
  <si>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</si>
  <si>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</si>
  <si>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</si>
  <si>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</si>
  <si>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</si>
  <si>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</si>
  <si>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</si>
  <si>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</si>
  <si>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</si>
  <si>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</si>
  <si>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</si>
  <si>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</si>
  <si>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</si>
  <si>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</si>
  <si>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</si>
  <si>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</si>
  <si>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</si>
  <si>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</si>
  <si>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</si>
  <si>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</si>
  <si>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</si>
  <si>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</si>
  <si>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</si>
  <si>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</si>
  <si>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</si>
  <si>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</si>
  <si>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</si>
  <si>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</si>
  <si>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</si>
  <si>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</si>
  <si>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</si>
  <si>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</si>
  <si>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</si>
  <si>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</si>
  <si>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</si>
  <si>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</si>
  <si>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</si>
  <si>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</si>
  <si>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</si>
  <si>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</si>
  <si>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</si>
  <si>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</si>
  <si>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</si>
  <si>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</si>
  <si>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</si>
  <si>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</si>
  <si>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</si>
  <si>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</si>
  <si>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</si>
  <si>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</si>
  <si>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</si>
  <si>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</si>
  <si>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</si>
  <si>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</si>
  <si>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</si>
  <si>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</si>
  <si>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</si>
  <si>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</si>
  <si>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</si>
  <si>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</si>
  <si>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</si>
  <si>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</si>
  <si>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</si>
  <si>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</si>
  <si>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</si>
  <si>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</si>
  <si>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</si>
  <si>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</si>
  <si>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</si>
  <si>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</si>
  <si>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</si>
  <si>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</si>
  <si>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</si>
  <si>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</si>
  <si>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</si>
  <si>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</si>
  <si>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</si>
  <si>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</si>
  <si>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</si>
  <si>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</si>
  <si>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</si>
  <si>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</si>
  <si>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</si>
  <si>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</si>
  <si>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</si>
  <si>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</si>
  <si>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</si>
  <si>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</si>
  <si>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</si>
  <si>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</si>
  <si>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</si>
  <si>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</si>
  <si>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</si>
  <si>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</si>
  <si>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</si>
  <si>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</si>
  <si>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</si>
  <si>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</si>
  <si>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</si>
  <si>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</si>
  <si>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</si>
  <si>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</si>
  <si>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</si>
  <si>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</si>
  <si>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</si>
  <si>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</si>
  <si>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</si>
  <si>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</si>
  <si>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</si>
  <si>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</si>
  <si>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</si>
  <si>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</si>
  <si>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</si>
  <si>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</si>
  <si>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</si>
  <si>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</si>
  <si>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</si>
  <si>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</si>
  <si>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</si>
  <si>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</si>
  <si>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</si>
  <si>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</si>
  <si>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</si>
  <si>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</si>
  <si>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</si>
  <si>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</si>
  <si>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</si>
  <si>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</si>
  <si>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</si>
  <si>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</si>
  <si>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</si>
  <si>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</si>
  <si>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</si>
  <si>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</si>
  <si>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</si>
  <si>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</si>
  <si>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</si>
  <si>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</si>
  <si>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</si>
  <si>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</si>
  <si>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</si>
  <si>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</si>
  <si>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</si>
  <si>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</si>
  <si>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</si>
  <si>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</si>
  <si>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</si>
  <si>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</si>
  <si>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</si>
  <si>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</si>
  <si>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</si>
  <si>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</si>
  <si>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</si>
  <si>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</si>
  <si>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</si>
  <si>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</si>
  <si>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</si>
  <si>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</si>
  <si>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</si>
  <si>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</si>
  <si>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</si>
  <si>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</si>
  <si>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</si>
  <si>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</si>
  <si>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</si>
  <si>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</si>
  <si>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</si>
  <si>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</si>
  <si>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</si>
  <si>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</si>
  <si>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</si>
  <si>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</si>
  <si>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</si>
  <si>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</si>
  <si>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</si>
  <si>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</si>
  <si>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</si>
  <si>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</si>
  <si>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</si>
  <si>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</si>
  <si>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</si>
  <si>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</si>
  <si>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</si>
  <si>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</si>
  <si>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</si>
  <si>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</si>
  <si>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</si>
  <si>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</si>
  <si>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</si>
  <si>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</si>
  <si>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</si>
  <si>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</si>
  <si>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</si>
  <si>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</si>
  <si>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</si>
  <si>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</si>
  <si>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</si>
  <si>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</si>
  <si>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</si>
  <si>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</si>
  <si>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</si>
  <si>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</si>
  <si>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</si>
  <si>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</si>
  <si>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</si>
  <si>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</si>
  <si>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</si>
  <si>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</si>
  <si>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</si>
  <si>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</si>
  <si>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</si>
  <si>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</si>
  <si>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</si>
  <si>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</si>
  <si>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</si>
  <si>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</si>
  <si>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</si>
  <si>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</si>
  <si>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</si>
  <si>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</si>
  <si>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</si>
  <si>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</si>
  <si>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</si>
  <si>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</si>
  <si>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</si>
  <si>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</si>
  <si>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</si>
  <si>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</si>
  <si>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</si>
  <si>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</si>
  <si>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</si>
  <si>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</si>
  <si>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</si>
  <si>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</si>
  <si>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</si>
  <si>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</si>
  <si>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</si>
  <si>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</si>
  <si>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</si>
  <si>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</si>
  <si>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</si>
  <si>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</si>
  <si>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</si>
  <si>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</si>
  <si>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</si>
  <si>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</si>
  <si>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</si>
  <si>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</si>
  <si>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</si>
  <si>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</si>
  <si>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</si>
  <si>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</si>
  <si>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</si>
  <si>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</si>
  <si>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</si>
  <si>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</si>
  <si>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</si>
  <si>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</si>
  <si>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</si>
  <si>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</si>
  <si>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</si>
  <si>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</si>
  <si>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</si>
  <si>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</si>
  <si>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</si>
  <si>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</si>
  <si>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</si>
  <si>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</si>
  <si>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</si>
  <si>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</si>
  <si>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</si>
  <si>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</si>
  <si>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</si>
  <si>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</si>
  <si>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</si>
  <si>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</si>
  <si>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</si>
  <si>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</si>
  <si>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</si>
  <si>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</si>
  <si>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</si>
  <si>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</si>
  <si>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</si>
  <si>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</si>
  <si>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</si>
  <si>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</si>
  <si>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</si>
  <si>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</si>
  <si>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</si>
  <si>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</si>
  <si>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</si>
  <si>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</si>
  <si>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</si>
  <si>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</si>
  <si>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</si>
  <si>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</si>
  <si>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</si>
  <si>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</si>
  <si>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</si>
  <si>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</si>
  <si>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</si>
  <si>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</si>
  <si>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</si>
  <si>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</si>
  <si>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</si>
  <si>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</si>
  <si>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</si>
  <si>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</si>
  <si>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</si>
  <si>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</si>
  <si>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</si>
  <si>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</si>
  <si>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</si>
  <si>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</si>
  <si>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</si>
  <si>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</si>
  <si>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</si>
  <si>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</si>
  <si>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</si>
  <si>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</si>
  <si>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</si>
  <si>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</si>
  <si>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</si>
  <si>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</si>
  <si>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</si>
  <si>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</si>
  <si>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</si>
  <si>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</si>
  <si>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</si>
  <si>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</si>
  <si>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</si>
  <si>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</si>
  <si>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</si>
  <si>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</si>
  <si>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</si>
  <si>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</si>
  <si>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</si>
  <si>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</si>
  <si>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</si>
  <si>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</si>
  <si>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</si>
  <si>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</si>
  <si>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</si>
  <si>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</si>
  <si>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</si>
  <si>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</si>
  <si>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</si>
  <si>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</si>
  <si>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</si>
  <si>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</si>
  <si>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</si>
  <si>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</si>
  <si>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</si>
  <si>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</si>
  <si>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</si>
  <si>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</si>
  <si>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</si>
  <si>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</si>
  <si>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</si>
  <si>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</si>
  <si>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</si>
  <si>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</si>
  <si>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</si>
  <si>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</si>
  <si>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</si>
  <si>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</si>
  <si>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</si>
  <si>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</si>
  <si>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</si>
  <si>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</si>
  <si>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</si>
  <si>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</si>
  <si>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</si>
  <si>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</si>
  <si>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</si>
  <si>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</si>
  <si>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</si>
  <si>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</si>
  <si>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</si>
  <si>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</si>
  <si>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</si>
  <si>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</si>
  <si>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</si>
  <si>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</si>
  <si>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</si>
  <si>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</si>
  <si>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</si>
  <si>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</si>
  <si>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</si>
  <si>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</si>
  <si>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</si>
  <si>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</si>
  <si>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</si>
  <si>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</si>
  <si>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</si>
  <si>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</si>
  <si>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</si>
  <si>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</si>
  <si>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</si>
  <si>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</si>
  <si>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</si>
  <si>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</si>
  <si>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</si>
  <si>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</si>
  <si>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</si>
  <si>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</si>
  <si>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</si>
  <si>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</si>
  <si>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</si>
  <si>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</si>
  <si>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</si>
  <si>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</si>
  <si>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</si>
  <si>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</si>
  <si>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</si>
  <si>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</si>
  <si>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</si>
  <si>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</si>
  <si>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</si>
  <si>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</si>
  <si>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</si>
  <si>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</si>
  <si>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</si>
  <si>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</si>
  <si>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</si>
  <si>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</si>
  <si>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</si>
  <si>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</si>
  <si>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</si>
  <si>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</si>
  <si>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</si>
  <si>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</si>
  <si>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</si>
  <si>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</si>
  <si>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</si>
  <si>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</si>
  <si>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</si>
  <si>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</si>
  <si>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</si>
  <si>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</si>
  <si>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</si>
  <si>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</si>
  <si>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</si>
  <si>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</si>
  <si>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</si>
  <si>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</si>
  <si>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</si>
  <si>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</si>
  <si>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</si>
  <si>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</si>
  <si>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</si>
  <si>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</si>
  <si>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</si>
  <si>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</si>
  <si>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</si>
  <si>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</si>
  <si>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</si>
  <si>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</si>
  <si>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</si>
  <si>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</si>
  <si>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</si>
  <si>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</si>
  <si>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</si>
  <si>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</si>
  <si>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</si>
  <si>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</si>
  <si>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</si>
  <si>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</si>
  <si>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</si>
  <si>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</si>
  <si>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</si>
  <si>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</si>
  <si>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</si>
  <si>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</si>
  <si>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</si>
  <si>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</si>
  <si>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</si>
  <si>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</si>
  <si>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</si>
  <si>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</si>
  <si>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</si>
  <si>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</si>
  <si>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</si>
  <si>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</si>
  <si>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</si>
  <si>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</si>
  <si>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</si>
  <si>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</si>
  <si>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</si>
  <si>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</si>
  <si>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</si>
  <si>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</si>
  <si>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</si>
  <si>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</si>
  <si>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</si>
  <si>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</si>
  <si>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</si>
  <si>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</si>
  <si>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</si>
  <si>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</si>
  <si>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</si>
  <si>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</si>
  <si>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</si>
  <si>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</si>
  <si>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</si>
  <si>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</si>
  <si>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</si>
  <si>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</si>
  <si>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</si>
  <si>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</si>
  <si>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</si>
  <si>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</si>
  <si>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</si>
  <si>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</si>
  <si>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</si>
  <si>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</si>
  <si>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</si>
  <si>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</si>
  <si>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</si>
  <si>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</si>
  <si>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</si>
  <si>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</si>
  <si>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</si>
  <si>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</si>
  <si>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</si>
  <si>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</si>
  <si>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</si>
  <si>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</si>
  <si>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</si>
  <si>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</si>
  <si>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</si>
  <si>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</si>
  <si>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</si>
  <si>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</si>
  <si>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</si>
  <si>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</si>
  <si>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</si>
  <si>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</si>
  <si>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</si>
  <si>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</si>
  <si>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</si>
  <si>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</si>
  <si>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</si>
  <si>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</si>
  <si>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</si>
  <si>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</si>
  <si>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</si>
  <si>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</si>
  <si>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</si>
  <si>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</si>
  <si>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</si>
  <si>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</si>
  <si>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</si>
  <si>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</si>
  <si>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</si>
  <si>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</si>
  <si>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</si>
  <si>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</si>
  <si>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</si>
  <si>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</si>
  <si>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</si>
  <si>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</si>
  <si>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</si>
  <si>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</si>
  <si>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</si>
  <si>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</si>
  <si>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</si>
  <si>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</si>
  <si>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</si>
  <si>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</si>
  <si>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</si>
  <si>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</si>
  <si>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</si>
  <si>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</si>
  <si>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</si>
  <si>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</si>
  <si>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</si>
  <si>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</si>
  <si>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</si>
  <si>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</si>
  <si>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</si>
  <si>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</si>
  <si>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</si>
  <si>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</si>
  <si>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</si>
  <si>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</si>
  <si>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</si>
  <si>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</si>
  <si>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</si>
  <si>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</si>
  <si>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</si>
  <si>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</si>
  <si>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</si>
  <si>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</si>
  <si>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</si>
  <si>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</si>
  <si>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</si>
  <si>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</si>
  <si>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</si>
  <si>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</si>
  <si>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</si>
  <si>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</si>
  <si>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</si>
  <si>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</si>
  <si>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</si>
  <si>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</si>
  <si>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</si>
  <si>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</si>
  <si>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</si>
  <si>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</si>
  <si>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</si>
  <si>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</si>
  <si>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</si>
  <si>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</si>
  <si>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</si>
  <si>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</si>
  <si>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</si>
  <si>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</si>
  <si>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</si>
  <si>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</si>
  <si>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</si>
  <si>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</si>
  <si>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</si>
  <si>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</si>
  <si>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</si>
  <si>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</si>
  <si>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</si>
  <si>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</si>
  <si>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</si>
  <si>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</si>
  <si>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</si>
  <si>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</si>
  <si>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</si>
  <si>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</si>
  <si>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</si>
  <si>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</si>
  <si>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</si>
  <si>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</si>
  <si>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phoneticPr fontId="30" type="noConversion"/>
  </si>
  <si>
    <t>较好</t>
    <phoneticPr fontId="30" type="noConversion"/>
  </si>
  <si>
    <t>中建国际城</t>
    <phoneticPr fontId="3" type="noConversion"/>
  </si>
  <si>
    <t>楼面单价</t>
  </si>
  <si>
    <t>收益比率</t>
  </si>
  <si>
    <t>情况4</t>
  </si>
  <si>
    <t>转让取得</t>
  </si>
  <si>
    <t>非个人房产</t>
  </si>
  <si>
    <t>否</t>
  </si>
  <si>
    <t>吴薇</t>
  </si>
  <si>
    <t>旭辉空港中心</t>
    <phoneticPr fontId="3" type="noConversion"/>
  </si>
  <si>
    <t>怡馨家园</t>
    <phoneticPr fontId="3" type="noConversion"/>
  </si>
  <si>
    <t>0-10</t>
    <phoneticPr fontId="30" type="noConversion"/>
  </si>
  <si>
    <t>10-20</t>
    <phoneticPr fontId="30" type="noConversion"/>
  </si>
  <si>
    <t>20-30</t>
    <phoneticPr fontId="30" type="noConversion"/>
  </si>
  <si>
    <t>30-40</t>
    <phoneticPr fontId="30" type="noConversion"/>
  </si>
  <si>
    <t>40-50</t>
    <phoneticPr fontId="30" type="noConversion"/>
  </si>
  <si>
    <r>
      <t>1-3</t>
    </r>
    <r>
      <rPr>
        <sz val="11"/>
        <color indexed="8"/>
        <rFont val="宋体"/>
        <family val="3"/>
        <charset val="134"/>
      </rPr>
      <t>层</t>
    </r>
    <phoneticPr fontId="30" type="noConversion"/>
  </si>
  <si>
    <t>1-3层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</si>
</sst>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lignment horizontal="left" vertical="center"/>
    </xf>
    <xf numFmtId="10" fontId="47" fillId="8" borderId="61" xfId="0" applyNumberFormat="1" applyFont="1" applyFill="1" applyBorder="1" applyAlignment="1">
      <alignment horizontal="center" vertical="center"/>
    </xf>
    <xf numFmtId="49" fontId="51" fillId="0" borderId="44"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58" fontId="44" fillId="0" borderId="44" xfId="0" applyNumberFormat="1"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北京市顺义区金关北二路2号院2号楼1层115房地产抵押价值预评估</v>
      </c>
    </row>
    <row r="3" spans="1:2">
      <c r="A3" s="1117" t="s">
        <v>523</v>
      </c>
      <c r="B3" s="1118">
        <f>'预评函-封皮'!B40</f>
        <v>0</v>
      </c>
    </row>
    <row r="4" spans="1:2">
      <c r="A4" s="1117" t="s">
        <v>524</v>
      </c>
      <c r="B4" s="1118" t="str">
        <f ca="1">'预评函-封皮'!B46</f>
        <v>吴薇（注册号：1419970001)、（注册号：0)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受贵公司委托，我公司对北京市顺义区金关北二路2号院2号楼1层115房地产抵押价值进行了预评估。</v>
      </c>
    </row>
    <row r="7" spans="1:2">
      <c r="A7" s="1117" t="s">
        <v>566</v>
      </c>
      <c r="B7" s="1118" t="str">
        <f>'预评函-1'!A7</f>
        <v>估价对象为北京市顺义区金关北二路2号院2号楼1层115房地产，为所有。根据《国有土地使用证》[]，估价对象（分摊）出让国有建设用地使用权面积为0平方米，建筑面积为2269.1平方米。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金关北二路2号院2号楼1层115房地产,属开发建设的，该项目尚在开发建设中。根据《国有土地使用证》[]，估价对象（分摊）出让国有建设用地使用权面积为0平方米，规划建筑面积为2269.1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2024年7月31日（评估专业人员实地查勘之日）</v>
      </c>
    </row>
    <row r="13" spans="1:2">
      <c r="A13" s="1117" t="s">
        <v>529</v>
      </c>
      <c r="B13" s="1118"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本次评估采用的主估价方法为比较法和收益法。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13004</v>
      </c>
    </row>
    <row r="21" spans="1:2">
      <c r="A21" s="1117" t="s">
        <v>537</v>
      </c>
      <c r="B21" s="1118">
        <f ca="1">'预评函-2'!D7</f>
        <v>57310</v>
      </c>
    </row>
    <row r="22" spans="1:2">
      <c r="A22" s="1117" t="s">
        <v>538</v>
      </c>
      <c r="B22" s="1118" t="str">
        <f ca="1">'预评函-2'!D6</f>
        <v>壹亿叁仟零肆万元整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13004</v>
      </c>
    </row>
    <row r="31" spans="1:2">
      <c r="A31" s="1117" t="s">
        <v>576</v>
      </c>
      <c r="B31" s="1118">
        <f ca="1">'预评函-2'!D15</f>
        <v>57310</v>
      </c>
    </row>
    <row r="32" spans="1:2">
      <c r="A32" s="1117" t="s">
        <v>543</v>
      </c>
      <c r="B32" s="1118" t="str">
        <f ca="1">'预评函-2'!D14</f>
        <v>壹亿叁仟零肆万元整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11697.2888</v>
      </c>
    </row>
    <row r="39" spans="1:2">
      <c r="A39" s="1117" t="s">
        <v>545</v>
      </c>
      <c r="B39" s="1118">
        <f ca="1">'预评函-2'!D21</f>
        <v>51550</v>
      </c>
    </row>
    <row r="40" spans="1:2">
      <c r="A40" s="1117" t="s">
        <v>546</v>
      </c>
      <c r="B40" s="1118" t="str">
        <f ca="1">'预评函-2'!D20</f>
        <v>壹亿壹仟陆佰玖拾柒万贰仟捌佰捌拾捌元整</v>
      </c>
    </row>
    <row r="41" spans="1:2">
      <c r="A41" s="1117" t="s">
        <v>592</v>
      </c>
      <c r="B41" s="1118" t="str">
        <f>'预评函-3'!A4</f>
        <v>北京市顺义区金关北二路2号院2号楼1层115房地产</v>
      </c>
    </row>
    <row r="42" spans="1:2">
      <c r="A42" s="1117" t="s">
        <v>590</v>
      </c>
      <c r="B42" s="1118" t="str">
        <f>'预评函-3'!B2</f>
        <v>建筑面积</v>
      </c>
    </row>
    <row r="43" spans="1:2">
      <c r="A43" s="1117" t="s">
        <v>591</v>
      </c>
      <c r="B43" s="1118">
        <f>'预评函-3'!B4</f>
        <v>2269.1</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11899</v>
      </c>
    </row>
    <row r="48" spans="1:2">
      <c r="A48" s="1117" t="s">
        <v>549</v>
      </c>
      <c r="B48" s="1118">
        <f ca="1">'预评函-3'!E4</f>
        <v>52439</v>
      </c>
    </row>
    <row r="49" spans="1:2">
      <c r="A49" s="1117" t="s">
        <v>550</v>
      </c>
      <c r="B49" s="1118" t="str">
        <f ca="1">'预评函-3'!D5</f>
        <v>壹亿壹仟捌佰玖拾玖万元整</v>
      </c>
    </row>
    <row r="50" spans="1:2">
      <c r="A50" s="1117" t="s">
        <v>574</v>
      </c>
      <c r="B50" s="1118" t="str">
        <f>'预评函-3'!F2</f>
        <v>在建建筑物价值</v>
      </c>
    </row>
    <row r="51" spans="1:2">
      <c r="A51" s="1117" t="s">
        <v>551</v>
      </c>
      <c r="B51" s="1118">
        <f ca="1">'预评函-3'!F4</f>
        <v>1105</v>
      </c>
    </row>
    <row r="52" spans="1:2">
      <c r="A52" s="1117" t="s">
        <v>552</v>
      </c>
      <c r="B52" s="1118">
        <f ca="1">'预评函-3'!G4</f>
        <v>4871</v>
      </c>
    </row>
    <row r="53" spans="1:2">
      <c r="A53" s="1117" t="s">
        <v>580</v>
      </c>
      <c r="B53" s="1118" t="str">
        <f ca="1">'预评函-3'!F5</f>
        <v>壹仟壹佰零伍万元整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吴薇</v>
      </c>
    </row>
    <row r="71" spans="1:2">
      <c r="A71" s="1117" t="s">
        <v>563</v>
      </c>
      <c r="B71" s="1118">
        <f ca="1">'预评函-4'!B4</f>
        <v>1419970001</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39" t="s">
        <v>1027</v>
      </c>
      <c r="C8" s="1440" t="s">
        <v>319</v>
      </c>
      <c r="F8" s="1441" t="s">
        <v>1028</v>
      </c>
      <c r="H8" s="1441" t="s">
        <v>2578</v>
      </c>
      <c r="I8" s="1441" t="s">
        <v>3344</v>
      </c>
    </row>
    <row r="9" spans="1:23">
      <c r="A9" s="1439" t="s">
        <v>1029</v>
      </c>
      <c r="B9" s="1439" t="s">
        <v>1030</v>
      </c>
      <c r="C9" s="1440" t="s">
        <v>320</v>
      </c>
      <c r="F9" s="1441" t="s">
        <v>1031</v>
      </c>
      <c r="H9" s="1441"/>
      <c r="I9" s="1443" t="s">
        <v>3345</v>
      </c>
    </row>
    <row r="10" spans="1:23">
      <c r="A10" s="1439" t="s">
        <v>1032</v>
      </c>
      <c r="B10" s="1439" t="s">
        <v>1033</v>
      </c>
      <c r="C10" s="1440" t="s">
        <v>321</v>
      </c>
      <c r="F10" s="1441" t="s">
        <v>2579</v>
      </c>
      <c r="I10" s="1443" t="s">
        <v>3346</v>
      </c>
    </row>
    <row r="11" spans="1:23">
      <c r="A11" s="1439" t="s">
        <v>1034</v>
      </c>
      <c r="B11" s="1439" t="s">
        <v>1035</v>
      </c>
      <c r="C11" s="1440" t="s">
        <v>322</v>
      </c>
      <c r="F11" s="1441" t="s">
        <v>13</v>
      </c>
      <c r="I11" s="1443" t="s">
        <v>3347</v>
      </c>
    </row>
    <row r="12" spans="1:23">
      <c r="A12" s="1439" t="s">
        <v>1036</v>
      </c>
      <c r="B12" s="1439" t="s">
        <v>1037</v>
      </c>
      <c r="C12" s="1440" t="s">
        <v>323</v>
      </c>
      <c r="I12" s="1443" t="s">
        <v>3348</v>
      </c>
    </row>
    <row r="13" spans="1:23">
      <c r="A13" s="1439" t="s">
        <v>1038</v>
      </c>
      <c r="B13" s="1439" t="s">
        <v>1039</v>
      </c>
      <c r="C13" s="1440" t="s">
        <v>324</v>
      </c>
      <c r="I13" s="1443" t="s">
        <v>3349</v>
      </c>
    </row>
    <row r="14" spans="1:23">
      <c r="A14" s="1439" t="s">
        <v>1040</v>
      </c>
      <c r="B14" s="1439" t="s">
        <v>1041</v>
      </c>
      <c r="C14" s="1441" t="s">
        <v>13</v>
      </c>
      <c r="I14" s="1443" t="s">
        <v>3350</v>
      </c>
    </row>
    <row r="15" spans="1:23">
      <c r="A15" s="1439" t="s">
        <v>1042</v>
      </c>
      <c r="B15" s="1439" t="s">
        <v>1043</v>
      </c>
      <c r="C15" s="1440"/>
      <c r="I15" s="1443" t="s">
        <v>3351</v>
      </c>
    </row>
    <row r="16" spans="1:23">
      <c r="A16" s="1439" t="s">
        <v>1044</v>
      </c>
      <c r="B16" s="1439" t="s">
        <v>312</v>
      </c>
      <c r="C16" s="1440"/>
    </row>
    <row r="17" spans="1:3">
      <c r="A17" s="1439" t="s">
        <v>1045</v>
      </c>
      <c r="B17" s="1439" t="s">
        <v>2290</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198"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5" t="s">
        <v>385</v>
      </c>
      <c r="C54" s="1443" t="s">
        <v>583</v>
      </c>
    </row>
    <row r="55" spans="1:4">
      <c r="A55" s="3198"/>
      <c r="B55" s="1445" t="s">
        <v>386</v>
      </c>
      <c r="C55" s="1443" t="s">
        <v>584</v>
      </c>
    </row>
    <row r="56" spans="1:4">
      <c r="A56" s="3198"/>
      <c r="B56" s="1445" t="s">
        <v>387</v>
      </c>
      <c r="C56" s="1443" t="s">
        <v>588</v>
      </c>
    </row>
    <row r="57" spans="1:4">
      <c r="A57" s="3198"/>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199" t="s">
        <v>2581</v>
      </c>
      <c r="J2" s="3199"/>
      <c r="K2" s="3199"/>
      <c r="L2" s="3199"/>
      <c r="M2" s="3199"/>
      <c r="N2" s="3199"/>
      <c r="O2" s="3199"/>
      <c r="P2" s="3199"/>
      <c r="Q2" s="3199"/>
      <c r="R2" s="3199"/>
    </row>
    <row r="3" spans="1:18">
      <c r="A3" s="2761" t="s">
        <v>2502</v>
      </c>
      <c r="B3" s="2762">
        <f>项目基本情况!D3</f>
        <v>45504</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2.38</v>
      </c>
      <c r="D5" s="2766">
        <f>IF(ISERROR(ROUND(POWER(1+E5,A5-C5)*(POWER(1+E5,C5)-1)/(POWER(1+E5,A5)-1),3)),0,ROUND(POWER(1+E5,A5-C5)*(POWER(1+E5,C5)-1)/(POWER(1+E5,A5)-1),4))</f>
        <v>0.11260000000000001</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12.39</v>
      </c>
      <c r="D6" s="2766">
        <f>IF(ISERROR(ROUND(POWER(1+E6,A6-C6)*(POWER(1+E6,C6)-1)/(POWER(1+E6,A6)-1),3)),0,ROUND(POWER(1+E6,A6-C6)*(POWER(1+E6,C6)-1)/(POWER(1+E6,A6)-1),4))</f>
        <v>0.44790000000000002</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32.4</v>
      </c>
      <c r="D7" s="2766">
        <f>IF(ISERROR(ROUND(POWER(1+E7,A7-C7)*(POWER(1+E7,C7)-1)/(POWER(1+E7,A7)-1),3)),0,ROUND(POWER(1+E7,A7-C7)*(POWER(1+E7,C7)-1)/(POWER(1+E7,A7)-1),4))</f>
        <v>0.76870000000000005</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07"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208"/>
      <c r="D1" s="3208"/>
      <c r="E1" s="3208"/>
      <c r="F1" s="3208"/>
      <c r="G1" s="3208"/>
      <c r="H1" s="3208"/>
      <c r="I1" s="3209"/>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616"/>
      <c r="U1" s="1616"/>
      <c r="V1" s="1616"/>
      <c r="W1" s="1616"/>
      <c r="X1" s="1616"/>
      <c r="Y1" s="1616"/>
      <c r="Z1" s="1616"/>
      <c r="AA1" s="1616"/>
      <c r="AB1" s="1616"/>
    </row>
    <row r="2" spans="1:30">
      <c r="A2" s="2180" t="s">
        <v>2169</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北京市顺义区金关北二路2号院2号楼1层115房地产</v>
      </c>
      <c r="T2" s="1616"/>
      <c r="U2" s="1616"/>
      <c r="V2" s="1616"/>
      <c r="W2" s="1616"/>
      <c r="X2" s="1616"/>
      <c r="Y2" s="1616"/>
      <c r="Z2" s="1616"/>
      <c r="AA2" s="1616"/>
      <c r="AB2" s="1616"/>
    </row>
    <row r="3" spans="1:30">
      <c r="A3" s="294" t="s">
        <v>2170</v>
      </c>
      <c r="B3" s="2183">
        <v>45504</v>
      </c>
      <c r="C3" s="2184" t="s">
        <v>2171</v>
      </c>
      <c r="D3" s="2183">
        <f>B3</f>
        <v>45504</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t="s">
        <v>3449</v>
      </c>
      <c r="C4" s="2186">
        <f ca="1">SUMIF(注册房地产估价师,B4,估价师及机构信息!B3:B24)</f>
        <v>1419970001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吴薇（注册号：1419970001)、（注册号：0)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3381</v>
      </c>
      <c r="C8" s="2199"/>
      <c r="D8" s="3210" t="s">
        <v>2177</v>
      </c>
      <c r="E8" s="2200" t="s">
        <v>3382</v>
      </c>
      <c r="F8" s="2201"/>
      <c r="G8" s="2440"/>
      <c r="H8" s="2440"/>
      <c r="I8" s="2440"/>
      <c r="J8" s="2243"/>
      <c r="K8" s="2398"/>
      <c r="L8" s="2397"/>
      <c r="M8" s="2397"/>
      <c r="N8" s="2243"/>
      <c r="O8" s="1668"/>
      <c r="P8" s="2243"/>
      <c r="Q8" s="2243"/>
      <c r="R8" s="2243"/>
    </row>
    <row r="9" spans="1:30" ht="13.5" thickBot="1">
      <c r="A9" s="2202" t="s">
        <v>2178</v>
      </c>
      <c r="B9" s="2203" t="s">
        <v>3382</v>
      </c>
      <c r="C9" s="2204"/>
      <c r="D9" s="3211"/>
      <c r="E9" s="2203" t="s">
        <v>587</v>
      </c>
      <c r="F9" s="2205"/>
      <c r="G9" s="2441"/>
      <c r="H9" s="2441"/>
      <c r="I9" s="2441"/>
      <c r="J9" s="2243"/>
      <c r="K9" s="2400"/>
      <c r="L9" s="2397"/>
      <c r="M9" s="2397"/>
      <c r="N9" s="2243"/>
      <c r="O9" s="1668"/>
      <c r="P9" s="2243"/>
      <c r="Q9" s="2243"/>
      <c r="R9" s="2243"/>
    </row>
    <row r="10" spans="1:30" ht="13.5" thickTop="1">
      <c r="A10" s="2206" t="s">
        <v>2179</v>
      </c>
      <c r="B10" s="2207" t="s">
        <v>3383</v>
      </c>
      <c r="C10" s="2208"/>
      <c r="D10" s="2191"/>
      <c r="E10" s="2209" t="s">
        <v>2180</v>
      </c>
      <c r="F10" s="2442" t="s">
        <v>3385</v>
      </c>
      <c r="G10" s="2443"/>
      <c r="H10" s="2444"/>
      <c r="I10" s="2445"/>
      <c r="J10" s="2243"/>
      <c r="K10" s="2400"/>
      <c r="L10" s="2397"/>
      <c r="M10" s="2397"/>
      <c r="N10" s="2243"/>
      <c r="O10" s="1668"/>
      <c r="P10" s="2243"/>
      <c r="Q10" s="2243"/>
      <c r="R10" s="2243"/>
    </row>
    <row r="11" spans="1:30">
      <c r="A11" s="2210" t="s">
        <v>2181</v>
      </c>
      <c r="B11" s="2211" t="s">
        <v>3384</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2577</v>
      </c>
      <c r="J12" s="2801"/>
      <c r="K12" s="2397"/>
      <c r="L12" s="2397"/>
      <c r="M12" s="2243"/>
      <c r="N12" s="1668"/>
      <c r="O12" s="2243"/>
      <c r="P12" s="2243"/>
      <c r="Q12" s="2243"/>
      <c r="AD12" s="1616"/>
    </row>
    <row r="13" spans="1:30">
      <c r="A13" s="3120" t="s">
        <v>3333</v>
      </c>
      <c r="B13" s="2216" t="s">
        <v>2190</v>
      </c>
      <c r="C13" s="802"/>
      <c r="D13" s="802">
        <v>52737</v>
      </c>
      <c r="E13" s="802"/>
      <c r="F13" s="802"/>
      <c r="G13" s="802"/>
      <c r="H13" s="802"/>
      <c r="I13" s="802"/>
      <c r="J13" s="2801"/>
      <c r="K13" s="2397"/>
      <c r="L13" s="2397"/>
      <c r="M13" s="2243"/>
      <c r="N13" s="1668"/>
      <c r="O13" s="2243"/>
      <c r="P13" s="2243"/>
      <c r="Q13" s="2243"/>
      <c r="AD13" s="1616"/>
    </row>
    <row r="14" spans="1:30">
      <c r="A14" s="1016"/>
      <c r="B14" s="2216" t="s">
        <v>2191</v>
      </c>
      <c r="C14" s="2217"/>
      <c r="D14" s="2217">
        <v>40</v>
      </c>
      <c r="E14" s="2217"/>
      <c r="F14" s="2217"/>
      <c r="G14" s="2217"/>
      <c r="H14" s="2217"/>
      <c r="I14" s="2217"/>
      <c r="J14" s="2802"/>
      <c r="K14" s="2397"/>
      <c r="L14" s="2397"/>
      <c r="M14" s="2243"/>
      <c r="N14" s="1668"/>
      <c r="O14" s="2243"/>
      <c r="P14" s="2243"/>
      <c r="Q14" s="2243"/>
      <c r="AD14" s="1616"/>
    </row>
    <row r="15" spans="1:30">
      <c r="A15" s="312"/>
      <c r="B15" s="2218" t="s">
        <v>2192</v>
      </c>
      <c r="C15" s="2219" t="str">
        <f>IF(A13="出让",IF(C13="","",ROUNDDOWN(MIN((C13-$D$3)/365,C14),2)),C14)</f>
        <v/>
      </c>
      <c r="D15" s="2219">
        <f>IF(A13="出让",IF(D13="","",ROUNDDOWN(MIN((D13-$D$3)/365,D14),2)),D14)</f>
        <v>19.809999999999999</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2193</v>
      </c>
      <c r="B16" s="3217"/>
      <c r="C16" s="3218"/>
      <c r="D16" s="3219"/>
      <c r="E16" s="2220" t="s">
        <v>2194</v>
      </c>
      <c r="F16" s="3220"/>
      <c r="G16" s="3221"/>
      <c r="H16" s="3221"/>
      <c r="I16" s="3222"/>
      <c r="J16" s="2243"/>
      <c r="K16" s="2401"/>
      <c r="L16" s="1668"/>
      <c r="M16" s="1668"/>
      <c r="N16" s="2243"/>
      <c r="O16" s="1668"/>
      <c r="P16" s="2243"/>
      <c r="Q16" s="2243"/>
      <c r="R16" s="2243"/>
    </row>
    <row r="17" spans="1:28">
      <c r="A17" s="305" t="s">
        <v>2195</v>
      </c>
      <c r="B17" s="294" t="s">
        <v>2196</v>
      </c>
      <c r="C17" s="8">
        <f>'数据-汇总表'!E3</f>
        <v>2269.1</v>
      </c>
      <c r="D17" s="1254" t="s">
        <v>2197</v>
      </c>
      <c r="E17" s="3223" t="s">
        <v>2198</v>
      </c>
      <c r="F17" s="3224"/>
      <c r="G17" s="3224"/>
      <c r="H17" s="3224"/>
      <c r="I17" s="3225"/>
      <c r="J17" s="2243"/>
      <c r="K17" s="2402"/>
      <c r="L17" s="1668"/>
      <c r="M17" s="1668"/>
      <c r="N17" s="2243"/>
      <c r="O17" s="1668"/>
      <c r="P17" s="2243"/>
      <c r="Q17" s="2243"/>
      <c r="R17" s="2243"/>
      <c r="S17" s="2243"/>
      <c r="T17" s="2243"/>
      <c r="U17" s="2243"/>
      <c r="V17" s="2243"/>
    </row>
    <row r="18" spans="1:28" ht="24.75" thickBot="1">
      <c r="A18" s="2221" t="s">
        <v>2199</v>
      </c>
      <c r="B18" s="1025" t="s">
        <v>2200</v>
      </c>
      <c r="C18" s="2222">
        <f>'数据-汇总表'!D3</f>
        <v>0</v>
      </c>
      <c r="D18" s="1027" t="s">
        <v>2201</v>
      </c>
      <c r="E18" s="3226" t="s">
        <v>2202</v>
      </c>
      <c r="F18" s="3227"/>
      <c r="G18" s="3227"/>
      <c r="H18" s="3227"/>
      <c r="I18" s="3228"/>
      <c r="J18" s="2243"/>
      <c r="K18" s="2402"/>
      <c r="L18" s="1668"/>
      <c r="M18" s="1668"/>
      <c r="N18" s="2243"/>
      <c r="O18" s="1668"/>
      <c r="P18" s="2243"/>
      <c r="Q18" s="2243"/>
      <c r="R18" s="2243"/>
      <c r="S18" s="2243"/>
      <c r="T18" s="2243"/>
      <c r="U18" s="2243"/>
      <c r="V18" s="2243"/>
    </row>
    <row r="19" spans="1:28" ht="37.5" thickTop="1" thickBot="1">
      <c r="A19" s="319" t="s">
        <v>1055</v>
      </c>
      <c r="B19" s="299"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13" t="s">
        <v>2206</v>
      </c>
      <c r="C20" s="3214"/>
      <c r="D20" s="3215" t="s">
        <v>2207</v>
      </c>
      <c r="E20" s="3216"/>
      <c r="F20" s="2428" t="s">
        <v>1056</v>
      </c>
      <c r="G20" s="2440"/>
      <c r="H20" s="2440"/>
      <c r="I20" s="2440"/>
      <c r="J20" s="2243"/>
      <c r="K20" s="321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c r="H21" s="2440"/>
      <c r="I21" s="2440"/>
      <c r="J21" s="2243"/>
      <c r="K21" s="321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c r="H22" s="2440"/>
      <c r="I22" s="2440"/>
      <c r="J22" s="2243"/>
      <c r="K22" s="321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01"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01"/>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01"/>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02"/>
      <c r="B30" s="294" t="s">
        <v>2218</v>
      </c>
      <c r="C30" s="3203"/>
      <c r="D30" s="3204"/>
      <c r="E30" s="2440"/>
      <c r="F30" s="2440"/>
      <c r="G30" s="2440"/>
      <c r="H30" s="2440"/>
      <c r="I30" s="2440"/>
      <c r="J30" s="2243"/>
      <c r="K30" s="2400"/>
      <c r="L30" s="2397"/>
      <c r="M30" s="2397"/>
      <c r="N30" s="2243"/>
      <c r="O30" s="1668"/>
      <c r="P30" s="2243"/>
      <c r="Q30" s="2243"/>
      <c r="R30" s="2243"/>
      <c r="S30" s="2243"/>
      <c r="T30" s="2243"/>
      <c r="U30" s="2243"/>
      <c r="V30" s="2243"/>
    </row>
    <row r="31" spans="1:28">
      <c r="A31" s="3205" t="s">
        <v>2219</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06"/>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06"/>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3"/>
      <c r="V34" s="2243"/>
    </row>
    <row r="35" spans="1:30">
      <c r="A35" s="2234"/>
      <c r="B35" s="3200" t="s">
        <v>2229</v>
      </c>
      <c r="C35" s="3200"/>
      <c r="D35" s="3200"/>
      <c r="E35" s="320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2580</v>
      </c>
      <c r="G36" s="2440"/>
      <c r="H36" s="2440"/>
      <c r="I36" s="2440"/>
      <c r="J36" s="2243"/>
      <c r="K36" s="2400"/>
      <c r="L36" s="2397"/>
      <c r="M36" s="2397"/>
      <c r="N36" s="2243"/>
      <c r="O36" s="1668"/>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2269.1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2269.1</v>
      </c>
      <c r="H5" s="13">
        <f t="shared" ref="H5:AT5" si="0">SUM(H13:H656)</f>
        <v>2269.1</v>
      </c>
      <c r="I5" s="13">
        <f t="shared" si="0"/>
        <v>2269.1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2269.1</v>
      </c>
      <c r="BA5" s="15">
        <f t="shared" si="1"/>
        <v>2269.1</v>
      </c>
      <c r="BB5" s="15">
        <f t="shared" si="1"/>
        <v>2269.1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673</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3157">
        <v>45294</v>
      </c>
      <c r="D13" s="1511" t="s">
        <v>3386</v>
      </c>
      <c r="E13" s="13">
        <f>IF($C$3="是",ROUND($A$3*G13/$B$3,2),ROUND($A$3*(G13-AT13)/$B$3,2))</f>
        <v>0</v>
      </c>
      <c r="F13" s="29"/>
      <c r="G13" s="30">
        <f>H13+AC13+AT13</f>
        <v>2269.1</v>
      </c>
      <c r="H13" s="17">
        <f>SUMIF(I$12:AB$12,"总值",I13:AB13)</f>
        <v>2269.1</v>
      </c>
      <c r="I13" s="1512">
        <v>2269.1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45294</v>
      </c>
      <c r="AY13" s="1258">
        <f>ROUND($AY$6*AZ13/$AZ$5,2)</f>
        <v>0</v>
      </c>
      <c r="AZ13" s="13">
        <f>BA13+BL13</f>
        <v>2269.1</v>
      </c>
      <c r="BA13" s="13">
        <f>SUM(BB13:BK13)</f>
        <v>2269.1</v>
      </c>
      <c r="BB13" s="13">
        <f>IF($D13="是",I13-J13,0)</f>
        <v>2269.1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38" t="s">
        <v>1131</v>
      </c>
      <c r="B2" s="3238"/>
      <c r="C2" s="3238"/>
      <c r="D2" s="747" t="s">
        <v>1107</v>
      </c>
      <c r="E2" s="1521" t="s">
        <v>1108</v>
      </c>
      <c r="F2" s="2437"/>
      <c r="G2" s="2430"/>
      <c r="H2" s="2431"/>
      <c r="I2" s="2144" t="s">
        <v>1132</v>
      </c>
      <c r="J2" s="2437"/>
      <c r="K2" s="2437"/>
      <c r="L2" s="2437"/>
      <c r="M2" s="2437"/>
      <c r="N2" s="2438"/>
      <c r="O2" s="2437"/>
      <c r="P2" s="2437"/>
    </row>
    <row r="3" spans="1:16" ht="15.75" thickBot="1">
      <c r="A3" s="3239" t="s">
        <v>1105</v>
      </c>
      <c r="B3" s="3239"/>
      <c r="C3" s="3239"/>
      <c r="D3" s="41">
        <f>'数据-基础表'!AY6</f>
        <v>0</v>
      </c>
      <c r="E3" s="41">
        <f>'数据-基础表'!AZ5</f>
        <v>2269.1</v>
      </c>
      <c r="F3" s="2437"/>
      <c r="G3" s="42"/>
      <c r="H3" s="43" t="s">
        <v>1106</v>
      </c>
      <c r="I3" s="801" t="e">
        <f>ROUND('数据-基础表'!B3/'数据-基础表'!A3,2)</f>
        <v>#DIV/0!</v>
      </c>
      <c r="J3" s="2437"/>
      <c r="K3" s="2437"/>
      <c r="L3" s="2437"/>
      <c r="M3" s="2437"/>
      <c r="N3" s="2438"/>
      <c r="O3" s="2437"/>
      <c r="P3" s="2437"/>
    </row>
    <row r="4" spans="1:16" ht="15">
      <c r="A4" s="3240"/>
      <c r="B4" s="3241"/>
      <c r="C4" s="3242"/>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3" t="s">
        <v>1110</v>
      </c>
      <c r="C5" s="3243"/>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43" t="s">
        <v>1111</v>
      </c>
      <c r="C6" s="3243"/>
      <c r="D6" s="43">
        <f>ROUND($D$3*E6/$E$3,2)</f>
        <v>0</v>
      </c>
      <c r="E6" s="44">
        <f>E3-E5</f>
        <v>2269.1</v>
      </c>
      <c r="F6" s="2437"/>
      <c r="G6" s="1527" t="s">
        <v>1112</v>
      </c>
      <c r="H6" s="45" t="s">
        <v>1113</v>
      </c>
      <c r="I6" s="2433" t="e">
        <f>ROUND(F31/D31,2)</f>
        <v>#DIV/0!</v>
      </c>
      <c r="J6" s="2437"/>
      <c r="K6" s="2437"/>
      <c r="L6" s="2437"/>
      <c r="M6" s="2437"/>
      <c r="N6" s="2437"/>
      <c r="O6" s="2437"/>
      <c r="P6" s="2437"/>
    </row>
    <row r="7" spans="1:16" ht="15.75" thickBot="1">
      <c r="A7" s="3235"/>
      <c r="B7" s="3236"/>
      <c r="C7" s="3237"/>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2269.1</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0</v>
      </c>
      <c r="E16" s="48">
        <f>SUM(E8:E15)</f>
        <v>2269.1</v>
      </c>
      <c r="F16" s="2437"/>
      <c r="G16" s="2437"/>
      <c r="H16" s="1529" t="s">
        <v>1135</v>
      </c>
      <c r="I16" s="1530"/>
      <c r="J16" s="1069"/>
      <c r="K16" s="3232" t="s">
        <v>1135</v>
      </c>
      <c r="L16" s="3233"/>
      <c r="M16" s="3233"/>
      <c r="N16" s="3233"/>
      <c r="O16" s="3233"/>
      <c r="P16" s="3234"/>
    </row>
    <row r="17" spans="1:19" ht="15">
      <c r="A17" s="1531" t="s">
        <v>1136</v>
      </c>
      <c r="B17" s="1532" t="s">
        <v>1137</v>
      </c>
      <c r="C17" s="1533" t="s">
        <v>1138</v>
      </c>
      <c r="D17" s="1534" t="s">
        <v>1126</v>
      </c>
      <c r="E17" s="1535" t="s">
        <v>1127</v>
      </c>
      <c r="F17" s="1536"/>
      <c r="G17" s="1537"/>
      <c r="H17" s="1538" t="s">
        <v>1139</v>
      </c>
      <c r="I17" s="1539" t="s">
        <v>1124</v>
      </c>
      <c r="J17" s="1069"/>
      <c r="K17" s="3229" t="s">
        <v>1140</v>
      </c>
      <c r="L17" s="3230"/>
      <c r="M17" s="3231"/>
      <c r="N17" s="3229" t="s">
        <v>1141</v>
      </c>
      <c r="O17" s="3230"/>
      <c r="P17" s="3231"/>
      <c r="R17" s="768" t="s">
        <v>1142</v>
      </c>
      <c r="S17" s="54"/>
    </row>
    <row r="18" spans="1:19" ht="15">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3" t="s">
        <v>1151</v>
      </c>
      <c r="S18" s="43" t="s">
        <v>1152</v>
      </c>
    </row>
    <row r="19" spans="1:19">
      <c r="A19" s="1547"/>
      <c r="B19" s="45" t="s">
        <v>1125</v>
      </c>
      <c r="C19" s="3114">
        <v>115</v>
      </c>
      <c r="D19" s="43">
        <f>ROUND($D$3*E19/$E$3,2)</f>
        <v>0</v>
      </c>
      <c r="E19" s="51">
        <f t="shared" ref="E19:E26" si="1">SUM(F19:G19)</f>
        <v>2269.1</v>
      </c>
      <c r="F19" s="2556">
        <f>'数据-基础表'!I13</f>
        <v>2269.1</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2269.1</v>
      </c>
    </row>
    <row r="20" spans="1:19">
      <c r="A20" s="1547"/>
      <c r="B20" s="45" t="s">
        <v>1153</v>
      </c>
      <c r="C20" s="3114"/>
      <c r="D20" s="43">
        <f t="shared" ref="D20:D26" si="6">ROUND($D$3*E20/$E$3,2)</f>
        <v>0</v>
      </c>
      <c r="E20" s="51">
        <f t="shared" si="1"/>
        <v>0</v>
      </c>
      <c r="F20" s="2556"/>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2269.1</v>
      </c>
      <c r="F27" s="1070">
        <f>IF(SUM(F19:F26)=E8,SUM(F19:F26),"地上面积有误")</f>
        <v>2269.1</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2269.1</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f>D27+D30</f>
        <v>0</v>
      </c>
      <c r="E31" s="642">
        <f>E27+E30</f>
        <v>2269.1</v>
      </c>
      <c r="F31" s="643">
        <f>F27+F30</f>
        <v>2269.1</v>
      </c>
      <c r="G31" s="644">
        <f>G27+G30</f>
        <v>0</v>
      </c>
      <c r="H31" s="2437"/>
      <c r="I31" s="2437"/>
      <c r="J31" s="2437"/>
      <c r="K31" s="2437"/>
      <c r="L31" s="2437"/>
      <c r="M31" s="2437"/>
      <c r="N31" s="2437"/>
      <c r="O31" s="2437"/>
      <c r="P31" s="2437"/>
    </row>
    <row r="32" spans="1:19">
      <c r="A32" s="1524"/>
      <c r="B32" s="1524" t="s">
        <v>1159</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3">
        <f>项目基本情况!D3</f>
        <v>45504</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3392</v>
      </c>
      <c r="O5" s="1575" t="s">
        <v>1181</v>
      </c>
      <c r="P5" s="1578" t="s">
        <v>1182</v>
      </c>
      <c r="Q5" s="58" t="s">
        <v>1183</v>
      </c>
      <c r="R5" s="1579" t="s">
        <v>1184</v>
      </c>
      <c r="S5" s="1580" t="s">
        <v>1185</v>
      </c>
      <c r="T5" s="1581" t="s">
        <v>1186</v>
      </c>
      <c r="U5" s="984" t="s">
        <v>1187</v>
      </c>
      <c r="V5" s="504" t="s">
        <v>1188</v>
      </c>
      <c r="W5" s="504" t="s">
        <v>1189</v>
      </c>
      <c r="X5" s="60"/>
      <c r="Y5" s="59" t="s">
        <v>1190</v>
      </c>
      <c r="Z5" s="1099" t="s">
        <v>1187</v>
      </c>
      <c r="AA5" s="504" t="s">
        <v>1188</v>
      </c>
      <c r="AB5" s="504" t="s">
        <v>1189</v>
      </c>
      <c r="AC5" s="60"/>
      <c r="AD5" s="60" t="s">
        <v>1190</v>
      </c>
      <c r="AE5" s="984" t="s">
        <v>1191</v>
      </c>
      <c r="AF5" s="504" t="s">
        <v>1192</v>
      </c>
      <c r="AG5" s="59" t="s">
        <v>1193</v>
      </c>
      <c r="AH5" s="984" t="s">
        <v>1194</v>
      </c>
      <c r="AI5" s="1099" t="s">
        <v>1195</v>
      </c>
      <c r="AJ5" s="1099" t="s">
        <v>1196</v>
      </c>
      <c r="AK5" s="504" t="s">
        <v>1197</v>
      </c>
      <c r="AL5" s="504" t="s">
        <v>1198</v>
      </c>
      <c r="AM5" s="59" t="s">
        <v>1199</v>
      </c>
      <c r="AN5" s="1582" t="s">
        <v>1200</v>
      </c>
      <c r="AO5" s="1452" t="s">
        <v>1201</v>
      </c>
      <c r="AP5" s="967"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f>'数据-汇总表'!C19</f>
        <v>115</v>
      </c>
      <c r="B6" s="1585" t="str">
        <f>IF(A6=0,"","经营性")</f>
        <v>经营性</v>
      </c>
      <c r="C6" s="1586" t="s">
        <v>673</v>
      </c>
      <c r="D6" s="804">
        <f>SUMIF(项目基本情况!C$12:I$12,C6,项目基本情况!C$14:I$14)</f>
        <v>40</v>
      </c>
      <c r="E6" s="803">
        <f>IF(B6="","",SUMIF(项目基本情况!C$12:I$12,C6,项目基本情况!C$13:I$13))</f>
        <v>52737</v>
      </c>
      <c r="F6" s="61">
        <f>SUMIF(项目基本情况!C$12:I$12,C6,项目基本情况!C$15:I$15)</f>
        <v>19.809999999999999</v>
      </c>
      <c r="G6" s="62">
        <f>IF(ISERROR(ROUND(POWER(1+H6,D6-F6)*(POWER(1+H6,F6)-1)/(POWER(1+H6,D6)-1),3)),0,ROUND(POWER(1+H6,D6-F6)*(POWER(1+H6,F6)-1)/(POWER(1+H6,D6)-1),3))</f>
        <v>0.72199999999999998</v>
      </c>
      <c r="H6" s="690">
        <v>0.05</v>
      </c>
      <c r="I6" s="690">
        <v>5.5E-2</v>
      </c>
      <c r="J6" s="63">
        <v>7.0000000000000007E-2</v>
      </c>
      <c r="K6" s="969">
        <f>SUMIF('数据-汇总表'!C$19:C$33,A6,'数据-汇总表'!E$19:E$33)</f>
        <v>2269.1</v>
      </c>
      <c r="L6" s="691">
        <v>4000</v>
      </c>
      <c r="M6" s="64">
        <f t="shared" ref="M6:M14" si="0">ROUND(K6*L6/10000,0)</f>
        <v>908</v>
      </c>
      <c r="N6" s="689">
        <f>N20</f>
        <v>0.85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0">
        <f>ROUND($L$14*S6/10000,0)</f>
        <v>0</v>
      </c>
      <c r="U6" s="3125">
        <v>15</v>
      </c>
      <c r="V6" s="67">
        <v>0.02</v>
      </c>
      <c r="W6" s="67">
        <v>0.05</v>
      </c>
      <c r="X6" s="978"/>
      <c r="Y6" s="68">
        <f>N6</f>
        <v>0.85</v>
      </c>
      <c r="Z6" s="69"/>
      <c r="AA6" s="63"/>
      <c r="AB6" s="63"/>
      <c r="AC6" s="978"/>
      <c r="AD6" s="70"/>
      <c r="AE6" s="979">
        <f ca="1">IF(AN6="",0,SUMIF(INDIRECT("'"&amp;AN6&amp;"'"&amp;"!E:E"),$AE$5,INDIRECT("'"&amp;AN6&amp;"'"&amp;"!F:F")))</f>
        <v>19.809999999999999</v>
      </c>
      <c r="AF6" s="74"/>
      <c r="AG6" s="130">
        <f>IF(AF6="",0,AE6-AF6)</f>
        <v>0</v>
      </c>
      <c r="AH6" s="71"/>
      <c r="AI6" s="73">
        <v>365</v>
      </c>
      <c r="AJ6" s="74"/>
      <c r="AK6" s="75">
        <v>0.01</v>
      </c>
      <c r="AL6" s="76">
        <v>1.5E-3</v>
      </c>
      <c r="AM6" s="77">
        <f>AK6</f>
        <v>0.01</v>
      </c>
      <c r="AN6" s="1587" t="s">
        <v>3394</v>
      </c>
      <c r="AO6" s="50">
        <f ca="1">SUMIF(INDIRECT("'"&amp;AN6&amp;"'"&amp;"!A:A"),"总价",INDIRECT("'"&amp;AN6&amp;"'"&amp;"!B:B"))</f>
        <v>13508.627500000001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30"/>
      <c r="AH14" s="979"/>
      <c r="AI14" s="1264"/>
      <c r="AJ14" s="50"/>
      <c r="AK14" s="980"/>
      <c r="AL14" s="981"/>
      <c r="AM14" s="982"/>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30"/>
      <c r="AH15" s="979"/>
      <c r="AI15" s="1264"/>
      <c r="AJ15" s="50"/>
      <c r="AK15" s="980"/>
      <c r="AL15" s="981"/>
      <c r="AM15" s="982"/>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0.72199999999999998</v>
      </c>
      <c r="H16" s="84">
        <f>ROUND(SUMPRODUCT(H6:H13,K6:K13)/SUMPRODUCT((H6:H13&gt;0)*(K6:K13)),3)</f>
        <v>0.05</v>
      </c>
      <c r="I16" s="85"/>
      <c r="J16" s="85"/>
      <c r="K16" s="86">
        <f>SUM(K6:K15)</f>
        <v>2269.1</v>
      </c>
      <c r="L16" s="87">
        <f>ROUND(M16*10000/SUM(K6:K14),0)</f>
        <v>4002</v>
      </c>
      <c r="M16" s="87">
        <f>SUM(M6:M14)</f>
        <v>908</v>
      </c>
      <c r="N16" s="88">
        <f>ROUND(SUMPRODUCT(M6:M14,N6:N14)/M16,3)</f>
        <v>0.85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v>0</v>
      </c>
      <c r="C19" s="2559" t="s">
        <v>2302</v>
      </c>
      <c r="D19" s="2450"/>
      <c r="E19" s="2437"/>
      <c r="F19" s="2437"/>
      <c r="G19" s="2437"/>
      <c r="H19" s="2437"/>
      <c r="I19" s="2437"/>
      <c r="J19" s="2437"/>
      <c r="K19" s="2448"/>
      <c r="L19" s="2448"/>
      <c r="M19" s="3143" t="s">
        <v>3388</v>
      </c>
      <c r="N19" s="2448">
        <v>2015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v>2</v>
      </c>
      <c r="C20" s="2560" t="s">
        <v>2300</v>
      </c>
      <c r="D20" s="2450"/>
      <c r="E20" s="2437"/>
      <c r="F20" s="2437"/>
      <c r="G20" s="2437"/>
      <c r="H20" s="2437"/>
      <c r="I20" s="2437"/>
      <c r="J20" s="2437"/>
      <c r="K20" s="2448"/>
      <c r="L20" s="2448"/>
      <c r="M20" s="3143" t="s">
        <v>3389</v>
      </c>
      <c r="N20" s="2448">
        <f>ROUND(1-(1-0)*(2024-N19)/60,2)</f>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f>B20</f>
        <v>2</v>
      </c>
      <c r="C21" s="2437"/>
      <c r="D21" s="2450"/>
      <c r="E21" s="2437"/>
      <c r="F21" s="2437"/>
      <c r="G21" s="2437"/>
      <c r="H21" s="2437"/>
      <c r="I21" s="2437"/>
      <c r="J21" s="2437"/>
      <c r="K21" s="2448"/>
      <c r="L21" s="2448"/>
      <c r="M21" s="3143" t="s">
        <v>3390</v>
      </c>
      <c r="N21" s="2448">
        <v>0.9</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2</v>
      </c>
      <c r="C22" s="2437"/>
      <c r="D22" s="2450"/>
      <c r="E22" s="2437"/>
      <c r="F22" s="2437"/>
      <c r="G22" s="2437"/>
      <c r="H22" s="2437"/>
      <c r="I22" s="2437"/>
      <c r="J22" s="2437"/>
      <c r="K22" s="2448"/>
      <c r="L22" s="2448"/>
      <c r="M22" s="3143" t="s">
        <v>3391</v>
      </c>
      <c r="N22" s="2448">
        <f>ROUND((N20+N21)/2,2)</f>
        <v>0.88</v>
      </c>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v>0.03</v>
      </c>
      <c r="C33" s="2563" t="s">
        <v>2292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v>0</v>
      </c>
      <c r="C34" s="2563" t="s">
        <v>2293</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2295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v>0.02</v>
      </c>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v>0.02</v>
      </c>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3155">
        <v>3.3500000000000002E-2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v>0.05</v>
      </c>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t="s">
        <v>29</v>
      </c>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44" t="s">
        <v>2283</v>
      </c>
      <c r="B1" s="3245"/>
      <c r="C1" s="3245"/>
      <c r="D1" s="3245"/>
      <c r="E1" s="3245"/>
      <c r="F1" s="3245"/>
      <c r="G1" s="324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2279</v>
      </c>
      <c r="D2" s="1593"/>
      <c r="E2" s="2258"/>
      <c r="F2" s="2261"/>
      <c r="G2" s="2260" t="s">
        <v>2280</v>
      </c>
      <c r="H2" s="750"/>
      <c r="I2" s="750"/>
      <c r="J2" s="750"/>
      <c r="K2" s="750"/>
      <c r="L2" s="750"/>
      <c r="M2" s="750"/>
      <c r="N2" s="750"/>
      <c r="O2" s="750"/>
      <c r="P2" s="750"/>
      <c r="Q2" s="750"/>
    </row>
    <row r="3" spans="1:29" ht="25.5">
      <c r="A3" s="2245" t="s">
        <v>2281</v>
      </c>
      <c r="B3" s="2262" t="s">
        <v>2252</v>
      </c>
      <c r="C3" s="2263"/>
      <c r="D3" s="2264"/>
      <c r="E3" s="2246" t="s">
        <v>2281</v>
      </c>
      <c r="F3" s="2265" t="s">
        <v>2253</v>
      </c>
      <c r="G3" s="2266" t="s">
        <v>2282</v>
      </c>
      <c r="H3" s="750"/>
      <c r="I3" s="750"/>
      <c r="J3" s="750"/>
      <c r="K3" s="750"/>
      <c r="L3" s="750"/>
      <c r="M3" s="750"/>
      <c r="N3" s="750"/>
      <c r="O3" s="750"/>
      <c r="P3" s="750"/>
      <c r="Q3" s="750"/>
    </row>
    <row r="4" spans="1:29" ht="36">
      <c r="A4" s="2246"/>
      <c r="B4" s="315" t="s">
        <v>2254</v>
      </c>
      <c r="C4" s="3146" t="s">
        <v>3407</v>
      </c>
      <c r="D4" s="2264"/>
      <c r="E4" s="2268"/>
      <c r="F4" s="1279" t="s">
        <v>2255</v>
      </c>
      <c r="G4" s="2269" t="s">
        <v>2256</v>
      </c>
      <c r="H4" s="750"/>
      <c r="I4" s="750"/>
      <c r="J4" s="750"/>
      <c r="K4" s="750"/>
      <c r="L4" s="750"/>
      <c r="M4" s="750"/>
      <c r="N4" s="750"/>
      <c r="O4" s="750"/>
      <c r="P4" s="750"/>
      <c r="Q4" s="750"/>
    </row>
    <row r="5" spans="1:29" ht="24">
      <c r="A5" s="2246"/>
      <c r="B5" s="315" t="s">
        <v>2257</v>
      </c>
      <c r="C5" s="2267"/>
      <c r="D5" s="2264"/>
      <c r="E5" s="2268"/>
      <c r="F5" s="315" t="s">
        <v>2258</v>
      </c>
      <c r="G5" s="2269" t="s">
        <v>2259</v>
      </c>
      <c r="H5" s="750"/>
      <c r="I5" s="750"/>
      <c r="J5" s="750"/>
      <c r="K5" s="750"/>
      <c r="L5" s="750"/>
      <c r="M5" s="750"/>
      <c r="N5" s="750"/>
      <c r="O5" s="750"/>
      <c r="P5" s="750"/>
      <c r="Q5" s="750"/>
    </row>
    <row r="6" spans="1:29" ht="48">
      <c r="A6" s="2246"/>
      <c r="B6" s="315" t="s">
        <v>2260</v>
      </c>
      <c r="C6" s="3147" t="s">
        <v>3408</v>
      </c>
      <c r="D6" s="2264"/>
      <c r="E6" s="2268"/>
      <c r="F6" s="315" t="s">
        <v>2261</v>
      </c>
      <c r="G6" s="2269" t="s">
        <v>2262</v>
      </c>
      <c r="H6" s="750"/>
      <c r="I6" s="750"/>
      <c r="J6" s="750"/>
      <c r="K6" s="750"/>
      <c r="L6" s="750"/>
      <c r="M6" s="750"/>
      <c r="N6" s="750"/>
      <c r="O6" s="750"/>
      <c r="P6" s="750"/>
      <c r="Q6" s="750"/>
    </row>
    <row r="7" spans="1:29" ht="24.75" thickBot="1">
      <c r="A7" s="2246"/>
      <c r="B7" s="315" t="s">
        <v>2258</v>
      </c>
      <c r="C7" s="3147" t="s">
        <v>3409</v>
      </c>
      <c r="D7" s="2243"/>
      <c r="E7" s="2270"/>
      <c r="F7" s="2271" t="s">
        <v>2263</v>
      </c>
      <c r="G7" s="2272" t="s">
        <v>2264</v>
      </c>
      <c r="H7" s="750"/>
      <c r="I7" s="750"/>
      <c r="J7" s="750"/>
      <c r="K7" s="750"/>
      <c r="L7" s="750"/>
      <c r="M7" s="750"/>
      <c r="N7" s="750"/>
      <c r="O7" s="750"/>
      <c r="P7" s="750"/>
      <c r="Q7" s="750"/>
    </row>
    <row r="8" spans="1:29" ht="22.5" customHeight="1">
      <c r="A8" s="2246"/>
      <c r="B8" s="315" t="s">
        <v>2261</v>
      </c>
      <c r="C8" s="3147" t="s">
        <v>3414</v>
      </c>
      <c r="D8" s="2243"/>
      <c r="E8" s="2243"/>
      <c r="F8" s="121"/>
      <c r="G8" s="121"/>
      <c r="H8" s="750"/>
      <c r="I8" s="750"/>
      <c r="J8" s="750"/>
      <c r="K8" s="750"/>
      <c r="L8" s="750"/>
      <c r="M8" s="750"/>
      <c r="N8" s="750"/>
      <c r="O8" s="750"/>
      <c r="P8" s="750"/>
      <c r="Q8" s="750"/>
    </row>
    <row r="9" spans="1:29" ht="24">
      <c r="A9" s="2246"/>
      <c r="B9" s="315" t="s">
        <v>2265</v>
      </c>
      <c r="C9" s="2267" t="s">
        <v>2266</v>
      </c>
      <c r="D9" s="2264"/>
      <c r="E9" s="2243"/>
      <c r="F9" s="121"/>
      <c r="G9" s="121"/>
      <c r="H9" s="750"/>
      <c r="I9" s="750"/>
      <c r="J9" s="750"/>
      <c r="K9" s="750"/>
      <c r="L9" s="750"/>
      <c r="M9" s="750"/>
      <c r="N9" s="750"/>
      <c r="O9" s="750"/>
      <c r="P9" s="750"/>
      <c r="Q9" s="750"/>
    </row>
    <row r="10" spans="1:29" ht="15" thickBot="1">
      <c r="A10" s="2247"/>
      <c r="B10" s="2273" t="s">
        <v>2267</v>
      </c>
      <c r="C10" s="2274" t="s">
        <v>3411</v>
      </c>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2268</v>
      </c>
      <c r="D14" s="2264"/>
      <c r="E14" s="2285"/>
      <c r="F14" s="2285"/>
      <c r="G14" s="2260" t="s">
        <v>2269</v>
      </c>
    </row>
    <row r="15" spans="1:29" ht="25.5">
      <c r="A15" s="2248" t="s">
        <v>2270</v>
      </c>
      <c r="B15" s="2286" t="s">
        <v>2252</v>
      </c>
      <c r="C15" s="2287">
        <f>C3</f>
        <v>0</v>
      </c>
      <c r="D15" s="2264"/>
      <c r="E15" s="2249" t="s">
        <v>2271</v>
      </c>
      <c r="F15" s="2286" t="s">
        <v>2272</v>
      </c>
      <c r="G15" s="2288" t="str">
        <f>G3</f>
        <v>估价对象位于XX开发区，园区建设成熟度XX，产业集聚程度XX</v>
      </c>
    </row>
    <row r="16" spans="1:29" ht="38.25">
      <c r="A16" s="2250"/>
      <c r="B16" s="2289" t="s">
        <v>2254</v>
      </c>
      <c r="C16" s="2290" t="str">
        <f>C4</f>
        <v>估价对象周边以住宅配套商业为主，周边商业氛围成熟一般，人流量一般，商业繁华度一般</v>
      </c>
      <c r="D16" s="2264"/>
      <c r="E16" s="2251"/>
      <c r="F16" s="2291" t="s">
        <v>2255</v>
      </c>
      <c r="G16" s="2292" t="str">
        <f>G4</f>
        <v>估价对象周边道路状况、公共交通通达情况、停车便捷程度，综合评价交通便捷度较好</v>
      </c>
    </row>
    <row r="17" spans="1:17">
      <c r="A17" s="2250"/>
      <c r="B17" s="2289" t="s">
        <v>2257</v>
      </c>
      <c r="C17" s="2290">
        <f>C5</f>
        <v>0</v>
      </c>
      <c r="D17" s="2243"/>
      <c r="E17" s="2251"/>
      <c r="F17" s="2291" t="s">
        <v>2273</v>
      </c>
      <c r="G17" s="2293"/>
    </row>
    <row r="18" spans="1:17" ht="51">
      <c r="A18" s="2250"/>
      <c r="B18" s="2291" t="s">
        <v>2260</v>
      </c>
      <c r="C18" s="2292" t="str">
        <f>C6</f>
        <v>估价对象周边道路状况、公共交通通达情况915、918、955等、停车便捷程度，综合评价交通便捷度一般</v>
      </c>
      <c r="D18" s="2243"/>
      <c r="E18" s="2251"/>
      <c r="F18" s="2291" t="s">
        <v>2263</v>
      </c>
      <c r="G18" s="2292" t="str">
        <f>G7</f>
        <v>该园区内是否有污染型企业，绿化情况，卫生条件，整体环境状况判断</v>
      </c>
    </row>
    <row r="19" spans="1:17" ht="25.5">
      <c r="A19" s="2250"/>
      <c r="B19" s="2291" t="s">
        <v>2274</v>
      </c>
      <c r="C19" s="2293"/>
      <c r="D19" s="2264"/>
      <c r="E19" s="2251"/>
      <c r="F19" s="315" t="s">
        <v>2258</v>
      </c>
      <c r="G19" s="2292" t="str">
        <f>G5</f>
        <v>估价对象所在区域公共配套设施齐备情况</v>
      </c>
    </row>
    <row r="20" spans="1:17" ht="25.5">
      <c r="A20" s="2250"/>
      <c r="B20" s="2291" t="s">
        <v>2275</v>
      </c>
      <c r="C20" s="2290" t="str">
        <f>C9</f>
        <v>区域自然环境：；人文环境；综合评价环境状况一般</v>
      </c>
      <c r="D20" s="2243"/>
      <c r="E20" s="2251"/>
      <c r="F20" s="315" t="s">
        <v>2261</v>
      </c>
      <c r="G20" s="2292" t="str">
        <f>G6</f>
        <v>估价对象所在区域基础设施水平</v>
      </c>
    </row>
    <row r="21" spans="1:17" ht="25.5">
      <c r="A21" s="2250"/>
      <c r="B21" s="315" t="s">
        <v>2258</v>
      </c>
      <c r="C21" s="2292" t="str">
        <f>C7</f>
        <v>估价对象所在区域公共配套设施齐备情况一般</v>
      </c>
      <c r="D21" s="2264"/>
      <c r="E21" s="2251"/>
      <c r="F21" s="2291" t="s">
        <v>2276</v>
      </c>
      <c r="G21" s="2294"/>
    </row>
    <row r="22" spans="1:17" ht="13.5" customHeight="1">
      <c r="A22" s="2250"/>
      <c r="B22" s="315" t="s">
        <v>2261</v>
      </c>
      <c r="C22" s="2292" t="str">
        <f>C8</f>
        <v>七通</v>
      </c>
      <c r="D22" s="2264"/>
      <c r="E22" s="2251"/>
      <c r="F22" s="2291" t="s">
        <v>2267</v>
      </c>
      <c r="G22" s="2293"/>
    </row>
    <row r="23" spans="1:17" s="750" customFormat="1" ht="15" thickBot="1">
      <c r="A23" s="2250"/>
      <c r="B23" s="2291" t="s">
        <v>2276</v>
      </c>
      <c r="C23" s="2294"/>
      <c r="D23" s="1612"/>
      <c r="E23" s="2252"/>
      <c r="F23" s="2295" t="s">
        <v>2277</v>
      </c>
      <c r="G23" s="2296"/>
      <c r="H23" s="2275"/>
      <c r="I23" s="2275"/>
      <c r="J23" s="2275"/>
      <c r="K23" s="2275"/>
      <c r="L23" s="2275"/>
      <c r="M23" s="2275"/>
      <c r="N23" s="2275"/>
      <c r="O23" s="2275"/>
      <c r="P23" s="2275"/>
      <c r="Q23" s="2275"/>
    </row>
    <row r="24" spans="1:17" s="750" customFormat="1" ht="15" thickBot="1">
      <c r="A24" s="2253"/>
      <c r="B24" s="2295" t="s">
        <v>2278</v>
      </c>
      <c r="C24" s="2297" t="str">
        <f>C10</f>
        <v>次干道-南焦路</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G30" sqref="G3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2269.1</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45504</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13004.212100000001</v>
      </c>
      <c r="C5" s="2298">
        <f ca="1">IF(B5=D14,结果表!H102,ROUND(B5*10000/$B$1,0))</f>
        <v>57310</v>
      </c>
      <c r="D5" s="2298" t="e">
        <f ca="1">ROUND(B5*10000/$B$2,0)</f>
        <v>#DIV/0!</v>
      </c>
      <c r="E5" s="2460"/>
      <c r="F5" s="2461"/>
      <c r="G5" s="2461"/>
      <c r="H5" s="2461"/>
      <c r="I5" s="2461"/>
      <c r="J5" s="2461"/>
      <c r="K5" s="2461"/>
    </row>
    <row r="6" spans="1:11" ht="16.5">
      <c r="A6" s="2298" t="s">
        <v>656</v>
      </c>
      <c r="B6" s="2298">
        <f ca="1">SUM(G14:G23)</f>
        <v>13004.212100000001</v>
      </c>
      <c r="C6" s="2298">
        <f ca="1">IF(B6=G14,结果表!H108,ROUND(B6*10000/$B$1,0))</f>
        <v>57310</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 ca="1">SUM(I14:I23)</f>
        <v>11697.2888</v>
      </c>
      <c r="C8" s="2298">
        <f ca="1">IF(B8=I14,结果表!H112,ROUND(B8*10000/$B$1,0))</f>
        <v>51550</v>
      </c>
      <c r="D8" s="2298" t="e">
        <f ca="1">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0</v>
      </c>
      <c r="C10" s="2298" t="s">
        <v>3357</v>
      </c>
      <c r="D10" s="2298" t="s">
        <v>3358</v>
      </c>
      <c r="E10" s="3135"/>
      <c r="F10" s="3139" t="s">
        <v>3359</v>
      </c>
      <c r="G10" s="3136"/>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结果表!B118</f>
        <v>2269.1</v>
      </c>
      <c r="C14" s="2304"/>
      <c r="D14" s="2304">
        <f ca="1">ROUND(E14*B14/10000,4)</f>
        <v>13004.212100000001</v>
      </c>
      <c r="E14" s="2304">
        <f ca="1">结果表!I118</f>
        <v>57310</v>
      </c>
      <c r="F14" s="2304" t="e">
        <f ca="1">ROUND(D14*10000/C14,0)</f>
        <v>#DIV/0!</v>
      </c>
      <c r="G14" s="2304">
        <f ca="1">D14</f>
        <v>13004.212100000001</v>
      </c>
      <c r="H14" s="2304"/>
      <c r="I14" s="2304">
        <f ca="1">结果表!D126</f>
        <v>11697.2888</v>
      </c>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row r="29" spans="1:11" ht="14.25" customHeight="1">
      <c r="D29" s="3246" t="str">
        <f ca="1">NUMBERSTRING(INT(D14*10000),2)&amp;"元整"</f>
        <v>壹亿叁仟零肆万贰仟壹佰贰拾壹元整</v>
      </c>
      <c r="E29" s="3247"/>
      <c r="I29" s="3246" t="str">
        <f ca="1">NUMBERSTRING(INT(I14*10000),2)&amp;"元整"</f>
        <v>壹亿壹仟陆佰玖拾柒万贰仟捌佰捌拾捌元整</v>
      </c>
      <c r="J29" s="3247"/>
    </row>
  </sheetData>
  <sheetProtection password="CEE9" sheet="1" objects="1" scenarios="1" formatCells="0" formatColumns="0" formatRows="0"/>
  <mergeCells count="2">
    <mergeCell ref="D29:E29"/>
    <mergeCell ref="I29:J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v>115</v>
      </c>
      <c r="D1" s="645"/>
      <c r="E1" s="645"/>
      <c r="F1" s="1619" t="s">
        <v>1263</v>
      </c>
      <c r="G1" s="1451" t="s">
        <v>3404</v>
      </c>
      <c r="H1" s="1619" t="str">
        <f>IF(G1="现房","——","估价对象范围")</f>
        <v>——</v>
      </c>
      <c r="I1" s="1620" t="s">
        <v>3405</v>
      </c>
    </row>
    <row r="2" spans="1:12" ht="21.75" customHeight="1" thickBot="1">
      <c r="A2" s="3282" t="str">
        <f>项目基本情况!S2</f>
        <v>北京市顺义区金关北二路2号院2号楼1层115房地产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2" t="s">
        <v>1265</v>
      </c>
      <c r="B4" s="1623" t="s">
        <v>1266</v>
      </c>
      <c r="C4" s="1624" t="s">
        <v>3406</v>
      </c>
      <c r="D4" s="1624" t="s">
        <v>3394</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5"/>
      <c r="G5" s="1625"/>
      <c r="H5" s="1625"/>
      <c r="I5" s="1279"/>
    </row>
    <row r="6" spans="1:12" ht="12.75">
      <c r="A6" s="3262"/>
      <c r="B6" s="3249"/>
      <c r="C6" s="3266"/>
      <c r="D6" s="3285"/>
      <c r="E6" s="123" t="s">
        <v>1270</v>
      </c>
      <c r="F6" s="1625"/>
      <c r="G6" s="1625"/>
      <c r="H6" s="1625"/>
      <c r="I6" s="1279"/>
    </row>
    <row r="7" spans="1:12" ht="12.75">
      <c r="A7" s="3262"/>
      <c r="B7" s="3249"/>
      <c r="C7" s="3267"/>
      <c r="D7" s="3285"/>
      <c r="E7" s="123" t="s">
        <v>1271</v>
      </c>
      <c r="F7" s="1625"/>
      <c r="G7" s="1625"/>
      <c r="H7" s="1625"/>
      <c r="I7" s="1279"/>
    </row>
    <row r="8" spans="1:12" ht="12.75">
      <c r="A8" s="3262" t="s">
        <v>1272</v>
      </c>
      <c r="B8" s="3249">
        <v>15</v>
      </c>
      <c r="C8" s="3265"/>
      <c r="D8" s="3285"/>
      <c r="E8" s="123" t="s">
        <v>1273</v>
      </c>
      <c r="F8" s="1625"/>
      <c r="G8" s="1625"/>
      <c r="H8" s="1625"/>
      <c r="I8" s="1279"/>
    </row>
    <row r="9" spans="1:12" ht="12.75">
      <c r="A9" s="3262"/>
      <c r="B9" s="3249"/>
      <c r="C9" s="3267"/>
      <c r="D9" s="3285"/>
      <c r="E9" s="123" t="s">
        <v>1274</v>
      </c>
      <c r="F9" s="1625"/>
      <c r="G9" s="1625"/>
      <c r="H9" s="1625"/>
      <c r="I9" s="1279"/>
    </row>
    <row r="10" spans="1:12" ht="12.75">
      <c r="A10" s="3262" t="s">
        <v>1275</v>
      </c>
      <c r="B10" s="3249">
        <v>15</v>
      </c>
      <c r="C10" s="3265"/>
      <c r="D10" s="3285"/>
      <c r="E10" s="123" t="s">
        <v>1276</v>
      </c>
      <c r="F10" s="1625"/>
      <c r="G10" s="1625"/>
      <c r="H10" s="1625"/>
      <c r="I10" s="1279"/>
    </row>
    <row r="11" spans="1:12" ht="12.75">
      <c r="A11" s="3262"/>
      <c r="B11" s="3249"/>
      <c r="C11" s="3267"/>
      <c r="D11" s="3285"/>
      <c r="E11" s="123" t="s">
        <v>1277</v>
      </c>
      <c r="F11" s="1625"/>
      <c r="G11" s="1625"/>
      <c r="H11" s="1625"/>
      <c r="I11" s="1279"/>
    </row>
    <row r="12" spans="1:12" ht="12.75">
      <c r="A12" s="3262" t="s">
        <v>1278</v>
      </c>
      <c r="B12" s="3249">
        <v>15</v>
      </c>
      <c r="C12" s="3265"/>
      <c r="D12" s="3285"/>
      <c r="E12" s="123" t="s">
        <v>1279</v>
      </c>
      <c r="F12" s="1625"/>
      <c r="G12" s="1625"/>
      <c r="H12" s="1625"/>
      <c r="I12" s="1279"/>
    </row>
    <row r="13" spans="1:12" ht="12.75">
      <c r="A13" s="3262"/>
      <c r="B13" s="3249"/>
      <c r="C13" s="3267"/>
      <c r="D13" s="3285"/>
      <c r="E13" s="123" t="s">
        <v>1280</v>
      </c>
      <c r="F13" s="1625"/>
      <c r="G13" s="1625"/>
      <c r="H13" s="1625"/>
      <c r="I13" s="1279"/>
    </row>
    <row r="14" spans="1:12" ht="12.75">
      <c r="A14" s="3262" t="s">
        <v>1281</v>
      </c>
      <c r="B14" s="3249">
        <v>30</v>
      </c>
      <c r="C14" s="3265">
        <v>5</v>
      </c>
      <c r="D14" s="3285">
        <v>5</v>
      </c>
      <c r="E14" s="123" t="s">
        <v>1282</v>
      </c>
      <c r="F14" s="1625"/>
      <c r="G14" s="1625"/>
      <c r="H14" s="1625"/>
      <c r="I14" s="1279"/>
    </row>
    <row r="15" spans="1:12" ht="12.75">
      <c r="A15" s="3262"/>
      <c r="B15" s="3249"/>
      <c r="C15" s="3266"/>
      <c r="D15" s="3285"/>
      <c r="E15" s="123" t="s">
        <v>1283</v>
      </c>
      <c r="F15" s="1625"/>
      <c r="G15" s="1625"/>
      <c r="H15" s="1625"/>
      <c r="I15" s="1279"/>
    </row>
    <row r="16" spans="1:12" ht="12.75">
      <c r="A16" s="3262"/>
      <c r="B16" s="3249"/>
      <c r="C16" s="3267"/>
      <c r="D16" s="3285"/>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272" t="s">
        <v>2131</v>
      </c>
      <c r="F18" s="3273"/>
      <c r="G18" s="3273"/>
      <c r="H18" s="3273"/>
      <c r="I18" s="3273"/>
      <c r="K18" s="294" t="s">
        <v>1289</v>
      </c>
      <c r="L18" s="294">
        <f>IF(C1="",'数据-汇总表'!E3,SUMIF(项目类型,C1,'数据-汇总表'!E17:E26)+SUMIF(项目类型,C1,'数据-汇总表'!I17:I26))</f>
        <v>2269.1</v>
      </c>
      <c r="M18" s="294">
        <f>IF(C1="",'数据-汇总表'!E3,SUMIF(项目类型,C1,'数据-汇总表'!E17:E26))</f>
        <v>2269.1</v>
      </c>
    </row>
    <row r="19" spans="1:36" ht="15">
      <c r="A19" s="1628" t="s">
        <v>1290</v>
      </c>
      <c r="B19" s="1629" t="s">
        <v>1291</v>
      </c>
      <c r="C19" s="126">
        <f ca="1">SUMIF(INDIRECT("'"&amp;C4&amp;"'"&amp;"!A:A"),结果表!B19,INDIRECT("'"&amp;C4&amp;"'"&amp;"!B:B"))</f>
        <v>12499.7912</v>
      </c>
      <c r="D19" s="127">
        <f ca="1">SUMIF(INDIRECT("'"&amp;D4&amp;"'"&amp;"!A:A"),结果表!B19,INDIRECT("'"&amp;D4&amp;"'"&amp;"!B:B"))</f>
        <v>13508.627500000001</v>
      </c>
      <c r="E19" s="1628" t="s">
        <v>1292</v>
      </c>
      <c r="F19" s="1629" t="s">
        <v>1291</v>
      </c>
      <c r="G19" s="128">
        <f ca="1">ROUND(C19*$C$18+D19*$D$18,0)</f>
        <v>13004</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f ca="1">SUMIF(INDIRECT("'"&amp;C4&amp;"'"&amp;"!A:A"),结果表!B20,INDIRECT("'"&amp;C4&amp;"'"&amp;"!B:B"))</f>
        <v>55087</v>
      </c>
      <c r="D20" s="130">
        <f ca="1">SUMIF(INDIRECT("'"&amp;D4&amp;"'"&amp;"!A:A"),结果表!B20,INDIRECT("'"&amp;D4&amp;"'"&amp;"!B:B"))</f>
        <v>59533</v>
      </c>
      <c r="E20" s="1631"/>
      <c r="F20" s="43" t="s">
        <v>1295</v>
      </c>
      <c r="G20" s="131">
        <f ca="1">ROUND(C20*$C$18+D20*$D$18,0)</f>
        <v>57310</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2" t="s">
        <v>1296</v>
      </c>
      <c r="I21" s="121"/>
    </row>
    <row r="22" spans="1:36" ht="15" thickBot="1">
      <c r="A22" s="1562" t="s">
        <v>1298</v>
      </c>
      <c r="B22" s="1633"/>
      <c r="C22" s="1634"/>
      <c r="D22" s="679">
        <f ca="1">IF(C19&lt;D19,D19/C19-1,C19/D19-1)</f>
        <v>8.0708252150643922E-2</v>
      </c>
      <c r="E22" s="121"/>
      <c r="F22" s="121"/>
      <c r="G22" s="121"/>
      <c r="H22" s="121"/>
      <c r="I22" s="121"/>
      <c r="K22" s="683" t="s">
        <v>3393</v>
      </c>
    </row>
    <row r="23" spans="1:36" ht="13.5" thickBot="1">
      <c r="A23" s="645"/>
      <c r="B23" s="645"/>
      <c r="C23" s="645"/>
      <c r="D23" s="645"/>
      <c r="E23" s="121"/>
      <c r="F23" s="121"/>
      <c r="G23" s="121"/>
      <c r="H23" s="121"/>
      <c r="I23" s="121"/>
    </row>
    <row r="24" spans="1:36" ht="14.25">
      <c r="A24" s="3256" t="s">
        <v>1299</v>
      </c>
      <c r="B24" s="1629" t="s">
        <v>1291</v>
      </c>
      <c r="C24" s="128">
        <f>IF(B30=0,0,D30)</f>
        <v>0</v>
      </c>
      <c r="D24" s="1635"/>
      <c r="E24" s="121"/>
      <c r="F24" s="121"/>
      <c r="G24" s="121"/>
      <c r="H24" s="121"/>
      <c r="I24" s="121"/>
      <c r="K24" s="683">
        <v>1300</v>
      </c>
      <c r="L24" s="683">
        <f>K24*10000/L18</f>
        <v>5729.1437133665331</v>
      </c>
    </row>
    <row r="25" spans="1:36" ht="14.25">
      <c r="A25" s="3257"/>
      <c r="B25" s="43" t="s">
        <v>1295</v>
      </c>
      <c r="C25" s="133">
        <f>IF(B30=0,0,C30)</f>
        <v>0</v>
      </c>
      <c r="D25" s="1636"/>
      <c r="E25" s="121"/>
      <c r="F25" s="121"/>
      <c r="G25" s="121"/>
      <c r="H25" s="121"/>
      <c r="I25" s="121"/>
      <c r="K25" s="683">
        <v>1200</v>
      </c>
      <c r="L25" s="683">
        <f>K25*10000/L18</f>
        <v>5288.4403507998768</v>
      </c>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f ca="1">IF(D32="总价",G19-C24,G20-C25)</f>
        <v>57310</v>
      </c>
      <c r="D32" s="1639" t="s">
        <v>3443</v>
      </c>
      <c r="E32" s="121"/>
      <c r="F32" s="121"/>
      <c r="G32" s="121"/>
      <c r="H32" s="121"/>
      <c r="I32" s="121"/>
    </row>
    <row r="33" spans="1:15" ht="15">
      <c r="A33" s="739" t="s">
        <v>1306</v>
      </c>
      <c r="B33" s="123"/>
      <c r="C33" s="1640" t="s">
        <v>3444</v>
      </c>
      <c r="D33" s="1641" t="s">
        <v>3394</v>
      </c>
      <c r="E33" s="1642" t="s">
        <v>1307</v>
      </c>
      <c r="F33" s="1643" t="str">
        <f>IF(D32="楼面单价","取值（单价）","取值（总价）")</f>
        <v>取值（单价）</v>
      </c>
      <c r="G33" s="121"/>
      <c r="H33" s="121"/>
      <c r="I33" s="121"/>
    </row>
    <row r="34" spans="1:15" ht="15">
      <c r="A34" s="1644"/>
      <c r="B34" s="1645" t="s">
        <v>1308</v>
      </c>
      <c r="C34" s="140">
        <f ca="1">IF(C33="自定义",F34,C32-C35)</f>
        <v>52439</v>
      </c>
      <c r="D34" s="807">
        <f ca="1">IF(C33="自定义",ROUND(C34/C32,3),IF(C33="收益比率",SUMIF(INDIRECT("'"&amp;D33&amp;"'"&amp;"!b:b"),"土地收益比率",INDIRECT("'"&amp;D33&amp;"'"&amp;"!c:c")),SUMIF(INDIRECT("'"&amp;D33&amp;"'"&amp;"!b:b"),"土地成本比率",INDIRECT("'"&amp;D33&amp;"'"&amp;"!c:c"))))</f>
        <v>0.91500000000000004</v>
      </c>
      <c r="E34" s="1646" t="s">
        <v>1309</v>
      </c>
      <c r="F34" s="1241"/>
      <c r="G34" s="121"/>
      <c r="H34" s="121"/>
      <c r="I34" s="121"/>
    </row>
    <row r="35" spans="1:15" ht="15.75" thickBot="1">
      <c r="A35" s="1647"/>
      <c r="B35" s="1648" t="s">
        <v>1310</v>
      </c>
      <c r="C35" s="1088">
        <f ca="1">IF(C33="自定义",F35,ROUND(C32*D35,0))</f>
        <v>4871</v>
      </c>
      <c r="D35" s="1089">
        <f ca="1">IF(C33="自定义",ROUND(C35/C32,3),IF(C33="收益比率",SUMIF(INDIRECT("'"&amp;D33&amp;"'"&amp;"!b:b"),"建筑物收益比率",INDIRECT("'"&amp;D33&amp;"'"&amp;"!c:c")),SUMIF(INDIRECT("'"&amp;D33&amp;"'"&amp;"!b:b"),"建筑物成本比率",INDIRECT("'"&amp;D33&amp;"'"&amp;"!c:c"))))</f>
        <v>8.5000000000000006E-2</v>
      </c>
      <c r="E35" s="1649" t="s">
        <v>1311</v>
      </c>
      <c r="F35" s="146"/>
      <c r="G35" s="121"/>
      <c r="H35" s="121"/>
      <c r="I35" s="121"/>
    </row>
    <row r="36" spans="1:15" ht="15.75" thickBot="1">
      <c r="A36" s="3276" t="s">
        <v>1312</v>
      </c>
      <c r="B36" s="1650" t="s">
        <v>1313</v>
      </c>
      <c r="C36" s="137"/>
      <c r="D36" s="1651"/>
      <c r="E36" s="1565"/>
      <c r="F36" s="1652"/>
      <c r="G36" s="121"/>
      <c r="H36" s="121"/>
      <c r="I36" s="121"/>
    </row>
    <row r="37" spans="1:15" ht="15.75" thickBot="1">
      <c r="A37" s="3277"/>
      <c r="B37" s="1553" t="s">
        <v>1314</v>
      </c>
      <c r="C37" s="139"/>
      <c r="D37" s="1069"/>
      <c r="E37" s="1069"/>
      <c r="F37" s="1652"/>
      <c r="G37" s="121"/>
      <c r="H37" s="121"/>
      <c r="I37" s="121"/>
    </row>
    <row r="38" spans="1:15" ht="15.75" thickBot="1">
      <c r="A38" s="3278"/>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53" t="s">
        <v>1326</v>
      </c>
      <c r="B45" s="3254"/>
      <c r="C45" s="3255"/>
      <c r="D45" s="147">
        <f ca="1">ROUND(系统读取表!D14*F45*10000,0)</f>
        <v>130042121</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6"/>
      <c r="I46" s="151"/>
      <c r="J46" s="2308">
        <v>1</v>
      </c>
      <c r="K46" s="3312" t="s">
        <v>1331</v>
      </c>
      <c r="L46" s="3312"/>
      <c r="M46" s="3332"/>
      <c r="N46" s="3332"/>
      <c r="O46" s="3332"/>
    </row>
    <row r="47" spans="1:15" ht="12" customHeight="1">
      <c r="A47" s="152" t="s">
        <v>1332</v>
      </c>
      <c r="B47" s="153"/>
      <c r="C47" s="154"/>
      <c r="D47" s="1022" t="s">
        <v>1333</v>
      </c>
      <c r="E47" s="294" t="s">
        <v>1334</v>
      </c>
      <c r="F47" s="155" t="s">
        <v>1335</v>
      </c>
      <c r="G47" s="2331" t="s">
        <v>1336</v>
      </c>
      <c r="H47" s="2332"/>
      <c r="I47" s="151"/>
      <c r="J47" s="2308">
        <v>2</v>
      </c>
      <c r="K47" s="3312" t="s">
        <v>1337</v>
      </c>
      <c r="L47" s="3312"/>
      <c r="M47" s="3333">
        <f>'数据-取费表'!B2</f>
        <v>45504</v>
      </c>
      <c r="N47" s="3333"/>
      <c r="O47" s="3333"/>
    </row>
    <row r="48" spans="1:15" ht="25.5">
      <c r="A48" s="3281" t="s">
        <v>1338</v>
      </c>
      <c r="B48" s="3264"/>
      <c r="C48" s="3264"/>
      <c r="D48" s="12">
        <f ca="1">IF(H48="情况1",0,IF(H48="情况2",D52,IF(H48="情况3",D53,IF(H48="情况4",D54))))</f>
        <v>6811730</v>
      </c>
      <c r="E48" s="1254" t="str">
        <f>IF(H48="情况4","(销售额-原购置价)×税（费）率","销售额×税（费）率")</f>
        <v>(销售额-原购置价)×税（费）率</v>
      </c>
      <c r="F48" s="2333">
        <f>IF(H48="情况1","免征",'数据-取费表'!B41)</f>
        <v>5.5000000000000007E-2</v>
      </c>
      <c r="G48" s="2334" t="s">
        <v>1339</v>
      </c>
      <c r="H48" s="2335" t="s">
        <v>3445</v>
      </c>
      <c r="I48" s="1666"/>
      <c r="J48" s="2308">
        <v>3</v>
      </c>
      <c r="K48" s="3312" t="s">
        <v>1340</v>
      </c>
      <c r="L48" s="3312"/>
      <c r="M48" s="3334">
        <f ca="1">D45</f>
        <v>130042121</v>
      </c>
      <c r="N48" s="3334"/>
      <c r="O48" s="3334"/>
    </row>
    <row r="49" spans="1:35" ht="25.5" customHeight="1">
      <c r="A49" s="2150" t="s">
        <v>1341</v>
      </c>
      <c r="B49" s="3248" t="s">
        <v>1342</v>
      </c>
      <c r="C49" s="3248"/>
      <c r="D49" s="1476">
        <v>0</v>
      </c>
      <c r="E49" s="316" t="s">
        <v>1343</v>
      </c>
      <c r="F49" s="2231" t="s">
        <v>28</v>
      </c>
      <c r="G49" s="3318"/>
      <c r="H49" s="2132" t="s">
        <v>2134</v>
      </c>
      <c r="I49" s="2133"/>
      <c r="J49" s="2308">
        <v>4</v>
      </c>
      <c r="K49" s="3312" t="str">
        <f>IF(项目基本情况!E8="房地产抵押价值","房地产抵押价值","抵押担保权已注销时的房地产抵押价值")</f>
        <v>房地产抵押价值</v>
      </c>
      <c r="L49" s="3312"/>
      <c r="M49" s="3334">
        <f ca="1">D45</f>
        <v>130042121</v>
      </c>
      <c r="N49" s="3334"/>
      <c r="O49" s="3334"/>
    </row>
    <row r="50" spans="1:35" ht="25.5" customHeight="1">
      <c r="A50" s="2336"/>
      <c r="B50" s="3248" t="s">
        <v>1344</v>
      </c>
      <c r="C50" s="3248"/>
      <c r="D50" s="2187"/>
      <c r="E50" s="323"/>
      <c r="F50" s="2231"/>
      <c r="G50" s="3319"/>
      <c r="H50" s="2134" t="s">
        <v>2135</v>
      </c>
      <c r="I50" s="2133"/>
      <c r="J50" s="3331" t="s">
        <v>1345</v>
      </c>
      <c r="K50" s="3331"/>
      <c r="L50" s="3331"/>
      <c r="M50" s="3331"/>
      <c r="N50" s="3331"/>
      <c r="O50" s="3331"/>
    </row>
    <row r="51" spans="1:35" ht="20.45" customHeight="1">
      <c r="A51" s="2337"/>
      <c r="B51" s="3248" t="s">
        <v>1346</v>
      </c>
      <c r="C51" s="3248"/>
      <c r="D51" s="1022"/>
      <c r="E51" s="319"/>
      <c r="F51" s="2231"/>
      <c r="G51" s="3320"/>
      <c r="H51" s="2134" t="s">
        <v>2136</v>
      </c>
      <c r="I51" s="2133"/>
      <c r="J51" s="2309" t="s">
        <v>1347</v>
      </c>
      <c r="K51" s="3312" t="s">
        <v>1348</v>
      </c>
      <c r="L51" s="3312"/>
      <c r="M51" s="2309" t="s">
        <v>1349</v>
      </c>
      <c r="N51" s="2309" t="s">
        <v>1350</v>
      </c>
      <c r="O51" s="2309" t="s">
        <v>1351</v>
      </c>
    </row>
    <row r="52" spans="1:35" ht="24" customHeight="1">
      <c r="A52" s="2151" t="s">
        <v>1352</v>
      </c>
      <c r="B52" s="3248" t="s">
        <v>1353</v>
      </c>
      <c r="C52" s="3248"/>
      <c r="D52" s="1022">
        <f ca="1">ROUND(D45*'数据-取费表'!B41/(1+'数据-取费表'!C42),0)</f>
        <v>6811730</v>
      </c>
      <c r="E52" s="1254" t="s">
        <v>1354</v>
      </c>
      <c r="F52" s="2338">
        <f>'数据-取费表'!B41</f>
        <v>5.5000000000000007E-2</v>
      </c>
      <c r="G52" s="2339"/>
      <c r="H52" s="2329"/>
      <c r="I52" s="1667"/>
      <c r="J52" s="2308">
        <v>1</v>
      </c>
      <c r="K52" s="3313" t="s">
        <v>1355</v>
      </c>
      <c r="L52" s="3313"/>
      <c r="M52" s="2310">
        <f ca="1">D48</f>
        <v>6811730</v>
      </c>
      <c r="N52" s="2308" t="str">
        <f>E48</f>
        <v>(销售额-原购置价)×税（费）率</v>
      </c>
      <c r="O52" s="2311">
        <f>F48</f>
        <v>5.5000000000000007E-2</v>
      </c>
    </row>
    <row r="53" spans="1:35" ht="12" customHeight="1">
      <c r="A53" s="2151" t="s">
        <v>1356</v>
      </c>
      <c r="B53" s="3274" t="s">
        <v>2288</v>
      </c>
      <c r="C53" s="3275"/>
      <c r="D53" s="1022">
        <f ca="1">ROUND(D45*'数据-取费表'!B41/(1+'数据-取费表'!C42),0)</f>
        <v>6811730</v>
      </c>
      <c r="E53" s="1254" t="s">
        <v>1354</v>
      </c>
      <c r="F53" s="2338">
        <f>'数据-取费表'!B41</f>
        <v>5.5000000000000007E-2</v>
      </c>
      <c r="G53" s="2339"/>
      <c r="H53" s="2329"/>
      <c r="I53" s="1667"/>
      <c r="J53" s="2308">
        <v>2</v>
      </c>
      <c r="K53" s="3313" t="s">
        <v>1357</v>
      </c>
      <c r="L53" s="3313"/>
      <c r="M53" s="2310">
        <f t="shared" ref="M53:O54" ca="1" si="0">D55</f>
        <v>65021</v>
      </c>
      <c r="N53" s="2308" t="str">
        <f t="shared" si="0"/>
        <v>销售额×税（费）率</v>
      </c>
      <c r="O53" s="2311">
        <f t="shared" si="0"/>
        <v>5.0000000000000001E-4</v>
      </c>
    </row>
    <row r="54" spans="1:35" ht="12" customHeight="1">
      <c r="A54" s="2151" t="s">
        <v>1358</v>
      </c>
      <c r="B54" s="3274" t="s">
        <v>2289</v>
      </c>
      <c r="C54" s="3275"/>
      <c r="D54" s="1022">
        <f ca="1">C68</f>
        <v>6811730</v>
      </c>
      <c r="E54" s="319" t="s">
        <v>1359</v>
      </c>
      <c r="F54" s="2338">
        <f>'数据-取费表'!B41</f>
        <v>5.5000000000000007E-2</v>
      </c>
      <c r="G54" s="2339"/>
      <c r="H54" s="2340"/>
      <c r="I54" s="1667"/>
      <c r="J54" s="2308">
        <v>3</v>
      </c>
      <c r="K54" s="3313" t="s">
        <v>1360</v>
      </c>
      <c r="L54" s="3313"/>
      <c r="M54" s="2310">
        <f t="shared" ca="1" si="0"/>
        <v>6192482</v>
      </c>
      <c r="N54" s="2308" t="str">
        <f t="shared" si="0"/>
        <v>增值额×税（费）率</v>
      </c>
      <c r="O54" s="2312" t="str">
        <f t="shared" si="0"/>
        <v>——</v>
      </c>
    </row>
    <row r="55" spans="1:35" ht="24" customHeight="1">
      <c r="A55" s="3263" t="s">
        <v>1361</v>
      </c>
      <c r="B55" s="3264"/>
      <c r="C55" s="3264"/>
      <c r="D55" s="12">
        <f ca="1">IF(H55="个人住宅",0,ROUND(D45*I55,0))</f>
        <v>65021</v>
      </c>
      <c r="E55" s="1254" t="s">
        <v>1362</v>
      </c>
      <c r="F55" s="2338">
        <f>IF(H55="正常",I55,"免征")</f>
        <v>5.0000000000000001E-4</v>
      </c>
      <c r="G55" s="2339"/>
      <c r="H55" s="2335" t="s">
        <v>3399</v>
      </c>
      <c r="I55" s="157">
        <f>'数据-取费表'!B49</f>
        <v>5.0000000000000001E-4</v>
      </c>
      <c r="J55" s="2308" t="str">
        <f>IF(H59="非个人房产","",4)</f>
        <v/>
      </c>
      <c r="K55" s="3313" t="str">
        <f>IF(H59="非个人房产","——","个人所得税")</f>
        <v>——</v>
      </c>
      <c r="L55" s="3313"/>
      <c r="M55" s="2313" t="str">
        <f>D59</f>
        <v>——</v>
      </c>
      <c r="N55" s="1881" t="str">
        <f>E59</f>
        <v>——</v>
      </c>
      <c r="O55" s="2314" t="str">
        <f>F59</f>
        <v>——</v>
      </c>
    </row>
    <row r="56" spans="1:35" ht="24.75">
      <c r="A56" s="3263" t="s">
        <v>1363</v>
      </c>
      <c r="B56" s="3264"/>
      <c r="C56" s="3264"/>
      <c r="D56" s="3154">
        <f ca="1">ROUND(D45/1.05*0.05,0)</f>
        <v>6192482</v>
      </c>
      <c r="E56" s="1254" t="s">
        <v>1364</v>
      </c>
      <c r="F56" s="2338" t="str">
        <f>IF(H56="正常",F58,"免征")</f>
        <v>——</v>
      </c>
      <c r="G56" s="2341" t="s">
        <v>1365</v>
      </c>
      <c r="H56" s="2342" t="s">
        <v>3399</v>
      </c>
      <c r="I56" s="1668"/>
      <c r="J56" s="2308" t="str">
        <f>IF(项目基本情况!K6="上海银行",IF(J55="",4,J55+1),"")</f>
        <v/>
      </c>
      <c r="K56" s="3336" t="str">
        <f>IF(项目基本情况!K6="上海银行","其他处置费用","")</f>
        <v/>
      </c>
      <c r="L56" s="3337"/>
      <c r="M56" s="2310" t="str">
        <f>IF(项目基本情况!K6="上海银行",M69,"")</f>
        <v/>
      </c>
      <c r="N56" s="3336" t="str">
        <f>IF(项目基本情况!K6="上海银行","包含处置中涉及的律师、诉讼、拍卖、评估等费用","")</f>
        <v/>
      </c>
      <c r="O56" s="3339"/>
    </row>
    <row r="57" spans="1:35" ht="12.75">
      <c r="A57" s="2151" t="s">
        <v>1341</v>
      </c>
      <c r="B57" s="3274" t="s">
        <v>1366</v>
      </c>
      <c r="C57" s="3275"/>
      <c r="D57" s="1476">
        <v>0</v>
      </c>
      <c r="E57" s="316" t="s">
        <v>1343</v>
      </c>
      <c r="F57" s="294"/>
      <c r="G57" s="2339"/>
      <c r="H57" s="2343"/>
      <c r="I57" s="1668"/>
      <c r="J57" s="3313">
        <f>IF(AND(J55="",J56=""),4,IF(项目基本情况!K6="上海银行",结果表!J56+1,结果表!J55+1))</f>
        <v>4</v>
      </c>
      <c r="K57" s="3313" t="s">
        <v>1367</v>
      </c>
      <c r="L57" s="2315" t="s">
        <v>1368</v>
      </c>
      <c r="M57" s="2316"/>
      <c r="N57" s="2317">
        <f ca="1">SUMIF(M52:M56,"&lt;9e307")</f>
        <v>13069233</v>
      </c>
      <c r="O57" s="2318"/>
      <c r="P57" s="2463">
        <f ca="1">N57/M49</f>
        <v>0.10049999876578451</v>
      </c>
    </row>
    <row r="58" spans="1:35" ht="24.75">
      <c r="A58" s="2151" t="s">
        <v>1352</v>
      </c>
      <c r="B58" s="3274" t="s">
        <v>1369</v>
      </c>
      <c r="C58" s="3248"/>
      <c r="D58" s="12">
        <f ca="1">IF(H58="转让取得",C81,C97)</f>
        <v>73721498</v>
      </c>
      <c r="E58" s="1254" t="s">
        <v>1364</v>
      </c>
      <c r="F58" s="294" t="s">
        <v>28</v>
      </c>
      <c r="G58" s="2339"/>
      <c r="H58" s="2342" t="s">
        <v>3446</v>
      </c>
      <c r="I58" s="1668"/>
      <c r="J58" s="3313"/>
      <c r="K58" s="3313"/>
      <c r="L58" s="2315" t="s">
        <v>1370</v>
      </c>
      <c r="M58" s="2319"/>
      <c r="N58" s="2320" t="str">
        <f ca="1">NUMBERSTRING(INT(N57*10000),2)&amp;"元整"</f>
        <v>壹仟叁佰零陆亿玖仟贰佰叁拾叁万元整</v>
      </c>
      <c r="O58" s="2321"/>
    </row>
    <row r="59" spans="1:35" ht="24.75" thickBot="1">
      <c r="A59" s="3316" t="s">
        <v>1371</v>
      </c>
      <c r="B59" s="3317"/>
      <c r="C59" s="331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6" t="s">
        <v>3447</v>
      </c>
      <c r="I59" s="2135" t="s">
        <v>2137</v>
      </c>
      <c r="J59" s="3314">
        <f>J57+1</f>
        <v>5</v>
      </c>
      <c r="K59" s="3313" t="s">
        <v>1372</v>
      </c>
      <c r="L59" s="2308" t="s">
        <v>1368</v>
      </c>
      <c r="M59" s="2322"/>
      <c r="N59" s="2323">
        <f ca="1">(M49-N57)/10000</f>
        <v>11697.2888</v>
      </c>
      <c r="O59" s="2324"/>
    </row>
    <row r="60" spans="1:35" ht="12" customHeight="1">
      <c r="A60" s="1669"/>
      <c r="B60" s="645"/>
      <c r="C60" s="645"/>
      <c r="D60" s="645"/>
      <c r="E60" s="1464"/>
      <c r="F60" s="1668"/>
      <c r="G60" s="1668"/>
      <c r="H60" s="151"/>
      <c r="I60" s="121"/>
      <c r="J60" s="3315"/>
      <c r="K60" s="3313"/>
      <c r="L60" s="2315" t="s">
        <v>1370</v>
      </c>
      <c r="M60" s="2319"/>
      <c r="N60" s="2320" t="str">
        <f ca="1">NUMBERSTRING(INT(N59*10000),2)&amp;"元整"</f>
        <v>壹亿壹仟陆佰玖拾柒万贰仟捌佰捌拾捌元整</v>
      </c>
      <c r="O60" s="2321"/>
    </row>
    <row r="61" spans="1:35" ht="13.5" thickBot="1">
      <c r="A61" s="3261" t="s">
        <v>1373</v>
      </c>
      <c r="B61" s="3261"/>
      <c r="C61" s="3261"/>
      <c r="D61" s="3261"/>
      <c r="E61" s="3261"/>
      <c r="F61" s="1668"/>
      <c r="G61" s="1668"/>
      <c r="H61" s="151"/>
      <c r="I61" s="121"/>
      <c r="J61" s="2308">
        <f>J59+1</f>
        <v>6</v>
      </c>
      <c r="K61" s="3313" t="s">
        <v>1374</v>
      </c>
      <c r="L61" s="3313"/>
      <c r="M61" s="2325"/>
      <c r="N61" s="2326">
        <f ca="1">ROUND(N59*10000/'数据-汇总表'!E3,0)</f>
        <v>51550</v>
      </c>
      <c r="O61" s="2327"/>
    </row>
    <row r="62" spans="1:35" ht="12.75">
      <c r="A62" s="3279" t="s">
        <v>1375</v>
      </c>
      <c r="B62" s="3280"/>
      <c r="C62" s="1863"/>
      <c r="D62" s="1863" t="s">
        <v>1376</v>
      </c>
      <c r="E62" s="158" t="s">
        <v>1377</v>
      </c>
      <c r="F62" s="1668"/>
      <c r="G62" s="1668"/>
      <c r="H62" s="151"/>
      <c r="I62" s="121"/>
    </row>
    <row r="63" spans="1:35" ht="12.75">
      <c r="A63" s="165" t="s">
        <v>330</v>
      </c>
      <c r="B63" s="159" t="s">
        <v>1378</v>
      </c>
      <c r="C63" s="2348">
        <f ca="1">ROUND((C64+C65)/(1+'数据-取费表'!C42),0)</f>
        <v>123849639</v>
      </c>
      <c r="D63" s="159"/>
      <c r="E63" s="160"/>
      <c r="F63" s="1668"/>
      <c r="G63" s="1668"/>
      <c r="H63" s="151"/>
      <c r="I63" s="121"/>
      <c r="J63" s="3338" t="s">
        <v>1379</v>
      </c>
      <c r="K63" s="1243" t="s">
        <v>1380</v>
      </c>
      <c r="L63" s="1243">
        <f ca="1">IF(M49&gt;10000,M49*0.5%,IF(AND(M49&gt;1000,M49&lt;=10000),M49*1%,IF(AND(M49&gt;100,M49&lt;=1000),M49*3%,IF(AND(M49&gt;10,M49&lt;=100),M49*5%,M49*8%))))</f>
        <v>650210.60499999998</v>
      </c>
      <c r="M63" s="294">
        <f ca="1">ROUND(L63,1)</f>
        <v>650210.6</v>
      </c>
      <c r="N63" s="2328"/>
      <c r="Z63" s="1621"/>
      <c r="AI63" s="1559"/>
    </row>
    <row r="64" spans="1:35" ht="14.25" customHeight="1">
      <c r="A64" s="161" t="s">
        <v>325</v>
      </c>
      <c r="B64" s="162" t="s">
        <v>1381</v>
      </c>
      <c r="C64" s="2349">
        <f ca="1">D45</f>
        <v>130042121</v>
      </c>
      <c r="D64" s="162" t="s">
        <v>26</v>
      </c>
      <c r="E64" s="164"/>
      <c r="F64" s="1668"/>
      <c r="G64" s="1668"/>
      <c r="H64" s="151"/>
      <c r="I64" s="121"/>
      <c r="J64" s="3338"/>
      <c r="K64" s="1243" t="s">
        <v>1382</v>
      </c>
      <c r="L64" s="1243">
        <f ca="1">IF(M49&gt;2000,M49*0.5%,IF(AND(M49&gt;1000,M49&lt;=2000),M49*0.6%,IF(AND(M49&gt;500,M49&lt;=1000),M49*0.7%,IF(AND(M49&gt;200,M49&lt;=500),M49*0.8%,IF(AND(M49&gt;100,M49&lt;=200),M49*0.9%,IF(AND(M49&gt;50,M49&lt;=100),M49*1%,IF(AND(M49&gt;20,M49&lt;=50),M49*1.5%,IF(AND(M49&gt;10,M49&lt;=20),M49*2%,IF(AND(M49&gt;1,M49&lt;=10),M49*2.5%)))))))))</f>
        <v>650210.60499999998</v>
      </c>
      <c r="M64" s="294">
        <f t="shared" ref="M64:M65" ca="1" si="1">ROUND(L64,1)</f>
        <v>650210.6</v>
      </c>
      <c r="N64" s="2329" t="s">
        <v>1383</v>
      </c>
      <c r="Z64" s="1621"/>
      <c r="AI64" s="1559"/>
    </row>
    <row r="65" spans="1:35" ht="14.25" customHeight="1">
      <c r="A65" s="161" t="s">
        <v>326</v>
      </c>
      <c r="B65" s="162" t="s">
        <v>1384</v>
      </c>
      <c r="C65" s="2350"/>
      <c r="D65" s="162"/>
      <c r="E65" s="164"/>
      <c r="F65" s="1668"/>
      <c r="G65" s="1668"/>
      <c r="H65" s="151"/>
      <c r="I65" s="121"/>
      <c r="J65" s="3338"/>
      <c r="K65" s="1243" t="s">
        <v>1385</v>
      </c>
      <c r="L65" s="1243">
        <f ca="1">IF(M49&gt;1000,M49*0.1%,IF(AND(M49&gt;500,M49&lt;=1000),M49*0.5%,IF(AND(M49&gt;50,M49&lt;=500),M49*1%,IF(AND(M49&gt;1,M49&lt;=50),M49*1.5%))))</f>
        <v>130042.121</v>
      </c>
      <c r="M65" s="294">
        <f t="shared" ca="1" si="1"/>
        <v>130042.1</v>
      </c>
      <c r="N65" s="2329" t="s">
        <v>1383</v>
      </c>
      <c r="Z65" s="1621"/>
      <c r="AI65" s="1559"/>
    </row>
    <row r="66" spans="1:35" ht="14.25" customHeight="1">
      <c r="A66" s="165" t="s">
        <v>327</v>
      </c>
      <c r="B66" s="166" t="s">
        <v>1386</v>
      </c>
      <c r="C66" s="2351"/>
      <c r="D66" s="166" t="s">
        <v>26</v>
      </c>
      <c r="E66" s="1249" t="s">
        <v>671</v>
      </c>
      <c r="F66" s="1668"/>
      <c r="G66" s="1668"/>
      <c r="H66" s="151"/>
      <c r="I66" s="121"/>
      <c r="J66" s="3338"/>
      <c r="K66" s="1243" t="s">
        <v>1387</v>
      </c>
      <c r="L66" s="1243">
        <f ca="1">M49*0.5%</f>
        <v>650210.60499999998</v>
      </c>
      <c r="M66" s="294">
        <f ca="1">IF(L66&gt;0.5,0.5,ROUND(L66,0))</f>
        <v>0.5</v>
      </c>
      <c r="N66" s="2329" t="s">
        <v>1388</v>
      </c>
      <c r="Z66" s="1621"/>
      <c r="AI66" s="1559"/>
    </row>
    <row r="67" spans="1:35" ht="14.25" customHeight="1">
      <c r="A67" s="165" t="s">
        <v>328</v>
      </c>
      <c r="B67" s="166" t="s">
        <v>1389</v>
      </c>
      <c r="C67" s="2352">
        <f ca="1">C63-C66</f>
        <v>123849639</v>
      </c>
      <c r="D67" s="162" t="s">
        <v>26</v>
      </c>
      <c r="E67" s="164"/>
      <c r="F67" s="1668"/>
      <c r="G67" s="1668"/>
      <c r="H67" s="151"/>
      <c r="I67" s="121"/>
      <c r="J67" s="3338"/>
      <c r="K67" s="1243" t="s">
        <v>1390</v>
      </c>
      <c r="L67" s="1243">
        <f ca="1">IF(M49&gt;=10000,(8.25+(M49-10000)*0.01%),IF(AND(M49&gt;=8000,M49&lt;10000),(7.85+(M49-8000)*0.02%),IF(AND(M49&gt;=5000,M49&lt;8000),(6.65+(M49-5000)*0.04%),IF(AND(M49&gt;=2000,M49&lt;5000),(4.25+(PM49-2000)*0.08%),IF(AND(M49&gt;=1000,M49&lt;2000),(2.75+(M49-1000)*0.15%),IF(AND(M49&gt;=100,M49&lt;1000),(0.5+(M49-100)*0.25%),IF(AND(M49&gt;0,M49&lt;100),M49*0.5%)))))))</f>
        <v>13011.462100000001</v>
      </c>
      <c r="M67" s="294">
        <f ca="1">ROUND(L67*0.9,1)</f>
        <v>11710.3</v>
      </c>
      <c r="N67" s="2328"/>
      <c r="Z67" s="1621"/>
      <c r="AI67" s="1559"/>
    </row>
    <row r="68" spans="1:35" ht="14.25" customHeight="1" thickBot="1">
      <c r="A68" s="168" t="s">
        <v>329</v>
      </c>
      <c r="B68" s="169" t="s">
        <v>1391</v>
      </c>
      <c r="C68" s="2353">
        <f ca="1">IF(C67&lt;=0,0,ROUND(C67*D68,0))</f>
        <v>6811730</v>
      </c>
      <c r="D68" s="2354">
        <f>'数据-取费表'!B41</f>
        <v>5.5000000000000007E-2</v>
      </c>
      <c r="E68" s="170"/>
      <c r="F68" s="1668"/>
      <c r="G68" s="1668"/>
      <c r="H68" s="151"/>
      <c r="I68" s="121"/>
      <c r="J68" s="3338"/>
      <c r="K68" s="1243" t="s">
        <v>1392</v>
      </c>
      <c r="L68" s="1243">
        <f ca="1">IF(M49&gt;10000,M49*0.5%,IF(AND(M49&gt;5000,M49&lt;=10000),M49*1%,IF(AND(M49&gt;1000,M49&lt;=5000),M49*2%,IF(AND(M49&gt;200,M49&lt;=1000),M49*3%,M49*5%))))</f>
        <v>650210.60499999998</v>
      </c>
      <c r="M68" s="294">
        <f ca="1">ROUND(L68,1)</f>
        <v>650210.6</v>
      </c>
      <c r="N68" s="2328"/>
      <c r="Z68" s="1621"/>
      <c r="AI68" s="1559"/>
    </row>
    <row r="69" spans="1:35" ht="16.5" customHeight="1">
      <c r="A69" s="1670"/>
      <c r="B69" s="1671"/>
      <c r="C69" s="1672"/>
      <c r="D69" s="1673"/>
      <c r="E69" s="1674"/>
      <c r="F69" s="1464"/>
      <c r="G69" s="1464"/>
      <c r="H69" s="1465"/>
      <c r="I69" s="645"/>
      <c r="J69" s="3338"/>
      <c r="K69" s="1243" t="s">
        <v>1393</v>
      </c>
      <c r="L69" s="1243"/>
      <c r="M69" s="294">
        <f ca="1">ROUND(SUM(M63:M68),0)</f>
        <v>2092385</v>
      </c>
      <c r="N69" s="2330">
        <f ca="1">M69/M49</f>
        <v>1.6090055928878612E-2</v>
      </c>
      <c r="Z69" s="1621"/>
      <c r="AI69" s="1559"/>
    </row>
    <row r="70" spans="1:35" s="641" customFormat="1" ht="15" thickBot="1">
      <c r="A70" s="3300" t="s">
        <v>1394</v>
      </c>
      <c r="B70" s="3301"/>
      <c r="C70" s="3301"/>
      <c r="D70" s="3301"/>
      <c r="E70" s="3301"/>
      <c r="F70" s="3301"/>
      <c r="G70" s="3301"/>
      <c r="H70" s="3301"/>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79" t="s">
        <v>1375</v>
      </c>
      <c r="B71" s="3280"/>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f ca="1">ROUND(D45/(1+'数据-取费表'!C42),0)</f>
        <v>123849639</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f ca="1">C74+C78</f>
        <v>619248</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274" t="s">
        <v>1402</v>
      </c>
      <c r="F76" s="3248"/>
      <c r="G76" s="3248"/>
      <c r="H76" s="329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f ca="1">ROUND(D45*D78/(1+'数据-取费表'!C42),0)</f>
        <v>619248</v>
      </c>
      <c r="D78" s="2361">
        <f>'数据-取费表'!B43</f>
        <v>5.000000000000001E-3</v>
      </c>
      <c r="E78" s="3258" t="s">
        <v>1406</v>
      </c>
      <c r="F78" s="3259"/>
      <c r="G78" s="3259"/>
      <c r="H78" s="326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f ca="1">C72-C73</f>
        <v>123230391</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f ca="1">IF(C79&lt;=0,0,C79/C73)</f>
        <v>199.00006297961397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f ca="1">ROUND(IF(C79&lt;=0,0,IF(C80&gt;=200%,C79*60%-C73*35%,IF(C80&gt;=100%,C79*50%-C73*15%,IF(C80&gt;=50%,C79*40%-C73*5%,IF(C80&lt;50%,C79*30%,0))))),0)</f>
        <v>73721498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0" t="s">
        <v>1410</v>
      </c>
      <c r="B83" s="3301"/>
      <c r="C83" s="3301"/>
      <c r="D83" s="3301"/>
      <c r="E83" s="3301"/>
      <c r="F83" s="3301"/>
      <c r="G83" s="3301"/>
      <c r="H83" s="330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79" t="s">
        <v>1375</v>
      </c>
      <c r="B84" s="3280"/>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f ca="1">ROUND(D45/(1+'数据-取费表'!C42),0)</f>
        <v>123849639</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f ca="1">IF(H88="仅含出让金",C87+C90+C91+C92+C93+C94,C87+C91+C92+C93+C94)</f>
        <v>619248</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340" t="s">
        <v>2129</v>
      </c>
      <c r="H90" s="3341"/>
      <c r="I90" s="1679"/>
      <c r="J90" s="2306"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58" t="s">
        <v>1419</v>
      </c>
      <c r="F91" s="3259"/>
      <c r="G91" s="325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58" t="s">
        <v>1422</v>
      </c>
      <c r="F92" s="3259"/>
      <c r="G92" s="3259"/>
      <c r="H92" s="3268"/>
      <c r="I92" s="1679"/>
      <c r="J92" s="2307"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f ca="1">ROUND(D45*D93/(1+'数据-取费表'!C42),0)</f>
        <v>619248</v>
      </c>
      <c r="D93" s="2361">
        <f>'数据-取费表'!B43</f>
        <v>5.000000000000001E-3</v>
      </c>
      <c r="E93" s="3258" t="s">
        <v>1406</v>
      </c>
      <c r="F93" s="3259"/>
      <c r="G93" s="3259"/>
      <c r="H93" s="326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269" t="s">
        <v>1426</v>
      </c>
      <c r="F94" s="3270"/>
      <c r="G94" s="3270"/>
      <c r="H94" s="327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f ca="1">ROUND(C85-C86,0)</f>
        <v>123230391</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f ca="1">IF(C95&lt;=0,0,C95/C86)</f>
        <v>199.00006297961397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f ca="1">ROUND(IF(C95&lt;=0,0,IF(C96&gt;=200%,C95*60%-C86*35%,IF(C96&gt;=100%,C95*50%-C86*15%,IF(C96&gt;=50%,C95*40%-C86*5%,IF(C96&lt;50%,C95*30%,0))))),0)</f>
        <v>73721498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0" t="s">
        <v>1428</v>
      </c>
      <c r="B100" s="3241"/>
      <c r="C100" s="3241"/>
      <c r="D100" s="3260"/>
      <c r="E100" s="3241" t="s">
        <v>1429</v>
      </c>
      <c r="F100" s="3241"/>
      <c r="G100" s="3241"/>
      <c r="H100" s="3260"/>
      <c r="I100" s="121"/>
    </row>
    <row r="101" spans="1:35" ht="18.75" customHeight="1">
      <c r="A101" s="3321" t="s">
        <v>1430</v>
      </c>
      <c r="B101" s="3322"/>
      <c r="C101" s="2369" t="str">
        <f>C4</f>
        <v>比较法-商业</v>
      </c>
      <c r="D101" s="2370" t="str">
        <f>D4</f>
        <v>收益法 (元)</v>
      </c>
      <c r="E101" s="3335" t="s">
        <v>1431</v>
      </c>
      <c r="F101" s="3292"/>
      <c r="G101" s="1685" t="s">
        <v>1432</v>
      </c>
      <c r="H101" s="2379">
        <f ca="1">H118</f>
        <v>13004</v>
      </c>
      <c r="I101" s="121"/>
    </row>
    <row r="102" spans="1:35" ht="18.75" customHeight="1">
      <c r="A102" s="3294" t="s">
        <v>1433</v>
      </c>
      <c r="B102" s="2368" t="s">
        <v>1432</v>
      </c>
      <c r="C102" s="2369">
        <f ca="1">IF(D32="楼面单价",ROUND(C19,0),C19)</f>
        <v>12500</v>
      </c>
      <c r="D102" s="2370">
        <f ca="1">IF(D32="楼面单价",ROUND(D19,0),D19)</f>
        <v>13509</v>
      </c>
      <c r="E102" s="3335"/>
      <c r="F102" s="3292"/>
      <c r="G102" s="1685" t="s">
        <v>1434</v>
      </c>
      <c r="H102" s="2339">
        <f ca="1">I118</f>
        <v>57310</v>
      </c>
      <c r="I102" s="121"/>
    </row>
    <row r="103" spans="1:35" ht="42.75" customHeight="1">
      <c r="A103" s="3294"/>
      <c r="B103" s="2368" t="s">
        <v>1434</v>
      </c>
      <c r="C103" s="2371">
        <f ca="1">C20</f>
        <v>55087</v>
      </c>
      <c r="D103" s="2372">
        <f ca="1">D20</f>
        <v>59533</v>
      </c>
      <c r="E103" s="3329" t="s">
        <v>1435</v>
      </c>
      <c r="F103" s="3330"/>
      <c r="G103" s="1686" t="s">
        <v>1436</v>
      </c>
      <c r="H103" s="2379">
        <f>IF(D36="正常操作",H104+H105+H106,H105+H106)</f>
        <v>0</v>
      </c>
      <c r="I103" s="121"/>
    </row>
    <row r="104" spans="1:35" ht="18.75" customHeight="1">
      <c r="A104" s="3294" t="s">
        <v>1437</v>
      </c>
      <c r="B104" s="2373" t="s">
        <v>1432</v>
      </c>
      <c r="C104" s="2374">
        <f ca="1">H118</f>
        <v>13004</v>
      </c>
      <c r="D104" s="2375"/>
      <c r="E104" s="1553" t="s">
        <v>1438</v>
      </c>
      <c r="F104" s="1546"/>
      <c r="G104" s="1686" t="s">
        <v>1436</v>
      </c>
      <c r="H104" s="2380">
        <f>IF(D36="同一抵押权人同一抵押物续贷",C36&amp;"（续贷，未扣减，详见特别提示）",C36)</f>
        <v>0</v>
      </c>
      <c r="I104" s="121"/>
    </row>
    <row r="105" spans="1:35" ht="18.75" customHeight="1" thickBot="1">
      <c r="A105" s="3295"/>
      <c r="B105" s="2376" t="s">
        <v>1434</v>
      </c>
      <c r="C105" s="2377">
        <f ca="1">I118</f>
        <v>57310</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291" t="str">
        <f>IF(项目基本情况!E8="已注销","——","3.房地产抵押价值")</f>
        <v>3.房地产抵押价值</v>
      </c>
      <c r="F107" s="3292"/>
      <c r="G107" s="1685" t="s">
        <v>1432</v>
      </c>
      <c r="H107" s="2379">
        <f ca="1">IF(E107="——","——",H101-H103)</f>
        <v>13004</v>
      </c>
      <c r="I107" s="121"/>
    </row>
    <row r="108" spans="1:35" ht="18.75" customHeight="1">
      <c r="A108" s="121"/>
      <c r="B108" s="121"/>
      <c r="C108" s="121"/>
      <c r="D108" s="121"/>
      <c r="E108" s="3291"/>
      <c r="F108" s="3292"/>
      <c r="G108" s="1685" t="s">
        <v>1434</v>
      </c>
      <c r="H108" s="2339">
        <f ca="1">IF(H107=H101,H102,ROUND(H107*10000/'数据-汇总表'!E3,0))</f>
        <v>57310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5" t="s">
        <v>1432</v>
      </c>
      <c r="H109" s="2382" t="str">
        <f>IF(E109="——","——",H101-H105-H106)</f>
        <v>——</v>
      </c>
      <c r="I109" s="121"/>
    </row>
    <row r="110" spans="1:35" ht="18.75" customHeight="1">
      <c r="A110" s="121"/>
      <c r="B110" s="121"/>
      <c r="C110" s="121"/>
      <c r="D110" s="121"/>
      <c r="E110" s="3291"/>
      <c r="F110" s="3292"/>
      <c r="G110" s="1685" t="s">
        <v>1434</v>
      </c>
      <c r="H110" s="2339"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4.抵押净值</v>
      </c>
      <c r="F111" s="3293"/>
      <c r="G111" s="1685" t="s">
        <v>1432</v>
      </c>
      <c r="H111" s="2379">
        <f ca="1">IF(E111="——","——",N59)</f>
        <v>11697.2888</v>
      </c>
      <c r="I111" s="121"/>
    </row>
    <row r="112" spans="1:35" ht="18.75" customHeight="1" thickBot="1">
      <c r="A112" s="121"/>
      <c r="B112" s="121"/>
      <c r="C112" s="121"/>
      <c r="D112" s="121"/>
      <c r="E112" s="3324"/>
      <c r="F112" s="3325"/>
      <c r="G112" s="1688" t="s">
        <v>1434</v>
      </c>
      <c r="H112" s="2383">
        <f ca="1">IF(E111="——","——",N61)</f>
        <v>51550</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69"/>
      <c r="F114" s="1669"/>
      <c r="G114" s="1669"/>
      <c r="H114" s="1669"/>
      <c r="I114" s="645"/>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8" t="s">
        <v>1449</v>
      </c>
      <c r="E117" s="2148" t="s">
        <v>1450</v>
      </c>
      <c r="F117" s="2148" t="s">
        <v>1449</v>
      </c>
      <c r="G117" s="2148" t="s">
        <v>1451</v>
      </c>
      <c r="H117" s="2148" t="s">
        <v>1449</v>
      </c>
      <c r="I117" s="2148" t="s">
        <v>1451</v>
      </c>
    </row>
    <row r="118" spans="1:27" ht="24.75" customHeight="1">
      <c r="A118" s="2384" t="str">
        <f>项目基本情况!S2</f>
        <v>北京市顺义区金关北二路2号院2号楼1层115房地产</v>
      </c>
      <c r="B118" s="2148">
        <f>M18</f>
        <v>2269.1</v>
      </c>
      <c r="C118" s="2148">
        <f>M19</f>
        <v>0</v>
      </c>
      <c r="D118" s="2148">
        <f ca="1">ROUND(IF(D32="总价",C34,E118*B118/10000),0)</f>
        <v>11899</v>
      </c>
      <c r="E118" s="2148">
        <f ca="1">ROUND(IF(C33="自定义",IF(D32="楼面单价",C34,D118*10000/B118),I118-G118),0)</f>
        <v>52439</v>
      </c>
      <c r="F118" s="2148">
        <f ca="1">ROUND(IF(D32="总价",C35,G118*B118/10000),0)</f>
        <v>1105</v>
      </c>
      <c r="G118" s="2148">
        <f ca="1">ROUND(IF(D32="楼面单价",C35,F118*10000/B118),0)</f>
        <v>4871</v>
      </c>
      <c r="H118" s="2148">
        <f ca="1">ROUND(IF(D32="总价",C32,I118*B118/10000),0)</f>
        <v>13004</v>
      </c>
      <c r="I118" s="2148">
        <f ca="1">ROUND(IF(D32="楼面单价",C32,H118*10000/B118),0)</f>
        <v>57310</v>
      </c>
    </row>
    <row r="119" spans="1:27" ht="18.75" customHeight="1">
      <c r="A119" s="3262" t="s">
        <v>1452</v>
      </c>
      <c r="B119" s="3262"/>
      <c r="C119" s="3262"/>
      <c r="D119" s="3302" t="str">
        <f ca="1">NUMBERSTRING(INT(D118*10000),2)&amp;"元整"</f>
        <v>壹亿壹仟捌佰玖拾玖万元整</v>
      </c>
      <c r="E119" s="3304"/>
      <c r="F119" s="3302" t="str">
        <f ca="1">NUMBERSTRING(INT(F118*10000),2)&amp;"元整"</f>
        <v>壹仟壹佰零伍万元整</v>
      </c>
      <c r="G119" s="3304"/>
      <c r="H119" s="3302" t="str">
        <f ca="1">NUMBERSTRING(INT(H118*10000),2)&amp;"元整"</f>
        <v>壹亿叁仟零肆万元整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2" t="s">
        <v>1452</v>
      </c>
      <c r="B121" s="3303"/>
      <c r="C121" s="3304"/>
      <c r="D121" s="3302" t="str">
        <f>IF(D120=0,"零元整",NUMBERSTRING(INT(D120*10000),2)&amp;"元整")</f>
        <v>零元整</v>
      </c>
      <c r="E121" s="3303"/>
      <c r="F121" s="3303"/>
      <c r="G121" s="3303"/>
      <c r="H121" s="3303"/>
      <c r="I121" s="3304"/>
      <c r="AA121" s="683"/>
    </row>
    <row r="122" spans="1:27" ht="18.75" customHeight="1">
      <c r="A122" s="3293" t="str">
        <f>IF(项目基本情况!B9="房地产市场价值","",MID(E107,3,LEN(E107)-2))</f>
        <v>房地产抵押价值</v>
      </c>
      <c r="B122" s="3293"/>
      <c r="C122" s="3293"/>
      <c r="D122" s="3326">
        <f ca="1">H107</f>
        <v>13004</v>
      </c>
      <c r="E122" s="3327"/>
      <c r="F122" s="3327"/>
      <c r="G122" s="3327"/>
      <c r="H122" s="3327"/>
      <c r="I122" s="3328"/>
      <c r="AA122" s="683"/>
    </row>
    <row r="123" spans="1:27" ht="18.75" customHeight="1">
      <c r="A123" s="3262" t="s">
        <v>1452</v>
      </c>
      <c r="B123" s="3262"/>
      <c r="C123" s="3262"/>
      <c r="D123" s="3302" t="str">
        <f ca="1">NUMBERSTRING(INT(D122*10000),2)&amp;"元整"</f>
        <v>壹亿叁仟零肆万元整</v>
      </c>
      <c r="E123" s="3303"/>
      <c r="F123" s="3303"/>
      <c r="G123" s="3303"/>
      <c r="H123" s="3303"/>
      <c r="I123" s="3304"/>
      <c r="AA123" s="683"/>
    </row>
    <row r="124" spans="1:27" ht="18.75" customHeight="1">
      <c r="A124" s="3293" t="str">
        <f>IF(项目基本情况!B9="房地产市场价值","",MID(E109,3,LEN(E109)-2))</f>
        <v/>
      </c>
      <c r="B124" s="3293"/>
      <c r="C124" s="3293"/>
      <c r="D124" s="3326" t="str">
        <f>H109</f>
        <v>——</v>
      </c>
      <c r="E124" s="3327"/>
      <c r="F124" s="3327"/>
      <c r="G124" s="3327"/>
      <c r="H124" s="3327"/>
      <c r="I124" s="3328"/>
      <c r="AA124" s="683"/>
    </row>
    <row r="125" spans="1:27" ht="18.75" customHeight="1">
      <c r="A125" s="3262" t="s">
        <v>1452</v>
      </c>
      <c r="B125" s="3262"/>
      <c r="C125" s="3262"/>
      <c r="D125" s="3302" t="e">
        <f>NUMBERSTRING(INT(D124*10000),2)&amp;"元整"</f>
        <v>#VALUE!</v>
      </c>
      <c r="E125" s="3303"/>
      <c r="F125" s="3303"/>
      <c r="G125" s="3303"/>
      <c r="H125" s="3303"/>
      <c r="I125" s="3304"/>
      <c r="AA125" s="683"/>
    </row>
    <row r="126" spans="1:27" ht="18.75" customHeight="1">
      <c r="A126" s="3293" t="str">
        <f>IF(项目基本情况!B9="房地产市场价值","",MID(E111,3,LEN(E111)-2))</f>
        <v>抵押净值</v>
      </c>
      <c r="B126" s="3293"/>
      <c r="C126" s="3293"/>
      <c r="D126" s="3326">
        <f ca="1">H111</f>
        <v>11697.2888</v>
      </c>
      <c r="E126" s="3327"/>
      <c r="F126" s="3327"/>
      <c r="G126" s="3327"/>
      <c r="H126" s="3327"/>
      <c r="I126" s="3328"/>
      <c r="AA126" s="683"/>
    </row>
    <row r="127" spans="1:27" ht="18.75" customHeight="1">
      <c r="A127" s="3262" t="s">
        <v>1452</v>
      </c>
      <c r="B127" s="3262"/>
      <c r="C127" s="3262"/>
      <c r="D127" s="3302" t="str">
        <f ca="1">NUMBERSTRING(INT(D126*10000),2)&amp;"元整"</f>
        <v>壹亿壹仟陆佰玖拾柒万贰仟捌佰捌拾捌元整</v>
      </c>
      <c r="E127" s="3303"/>
      <c r="F127" s="3303"/>
      <c r="G127" s="3303"/>
      <c r="H127" s="3303"/>
      <c r="I127" s="3304"/>
      <c r="AA127" s="683"/>
    </row>
    <row r="128" spans="1:27" ht="21.75" customHeight="1">
      <c r="A128" s="3309" t="s">
        <v>1453</v>
      </c>
      <c r="B128" s="3309"/>
      <c r="C128" s="3309"/>
      <c r="D128" s="3309"/>
      <c r="E128" s="3309"/>
      <c r="F128" s="3309"/>
      <c r="G128" s="3309"/>
      <c r="H128" s="3309"/>
      <c r="I128" s="330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f ca="1">IF(D2="——",C52,C52-E2)</f>
        <v>1220</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5377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8"/>
      <c r="I9" s="1714" t="s">
        <v>1479</v>
      </c>
    </row>
    <row r="10" spans="1:9" s="206" customFormat="1" ht="13.5" customHeight="1">
      <c r="A10" s="732" t="s">
        <v>356</v>
      </c>
      <c r="B10" s="216" t="s">
        <v>1480</v>
      </c>
      <c r="C10" s="217">
        <f ca="1">ROUND(D10*E10/10000,0)</f>
        <v>45</v>
      </c>
      <c r="D10" s="794">
        <f ca="1">IF(B1="",'数据-汇总表'!E6,IF(INDIRECT("'数据-取费表'!c"&amp;$G$1)="住宅",INDIRECT("'数据-取费表'!s"&amp;$G$1),INDIRECT("'数据-取费表'!k"&amp;$G$1)+INDIRECT("'数据-取费表'!s"&amp;$G$1)))</f>
        <v>2269.1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45</v>
      </c>
      <c r="D19" s="204">
        <f ca="1">D9+D10</f>
        <v>2269.1</v>
      </c>
      <c r="E19" s="203">
        <f>'数据-取费表'!B31</f>
        <v>200</v>
      </c>
      <c r="F19" s="223"/>
      <c r="G19" s="1712"/>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3</v>
      </c>
      <c r="D22" s="227">
        <f>C26</f>
        <v>6.9999999999999999E-4</v>
      </c>
      <c r="E22" s="228" t="s">
        <v>1498</v>
      </c>
      <c r="F22" s="229">
        <f>'数据-取费表'!B40</f>
        <v>3.3500000000000002E-2</v>
      </c>
      <c r="G22" s="226" t="str">
        <f>IF('数据-取费表'!B22&lt;=1,"单利计息","复利计息")</f>
        <v>复利计息</v>
      </c>
    </row>
    <row r="23" spans="1:7" s="206" customFormat="1" ht="13.5" customHeight="1">
      <c r="A23" s="733" t="s">
        <v>1502</v>
      </c>
      <c r="B23" s="207" t="s">
        <v>1503</v>
      </c>
      <c r="C23" s="1040">
        <f>ROUND(IF('数据-取费表'!B22&lt;=1,C5*F22*'数据-取费表'!B23,C5*(POWER((1+F22),'数据-取费表'!B23)-1)),0)</f>
        <v>0</v>
      </c>
      <c r="D23" s="230"/>
      <c r="E23" s="230"/>
      <c r="F23" s="231"/>
      <c r="G23" s="232" t="s">
        <v>1504</v>
      </c>
    </row>
    <row r="24" spans="1:7" s="206" customFormat="1" ht="13.5" customHeight="1">
      <c r="A24" s="733" t="s">
        <v>1505</v>
      </c>
      <c r="B24" s="207" t="s">
        <v>1506</v>
      </c>
      <c r="C24" s="1040">
        <f ca="1">ROUND(IF('数据-取费表'!B22&lt;=1,C19*F22*('数据-取费表'!B19/2+'数据-取费表'!B21),C19*(POWER((1+F22),('数据-取费表'!B19/2+'数据-取费表'!B21))-1)),0)</f>
        <v>3</v>
      </c>
      <c r="D24" s="230"/>
      <c r="E24" s="230"/>
      <c r="F24" s="231"/>
      <c r="G24" s="232" t="s">
        <v>1507</v>
      </c>
    </row>
    <row r="25" spans="1:7" s="206" customFormat="1" ht="24">
      <c r="A25" s="733" t="s">
        <v>1508</v>
      </c>
      <c r="B25" s="207" t="s">
        <v>1509</v>
      </c>
      <c r="C25" s="1040">
        <f ca="1">ROUND(IF('数据-取费表'!B22&lt;=1,C20*F22*'数据-取费表'!B23/2,C20*(POWER((1+F22),'数据-取费表'!B23/2)-1)),0)</f>
        <v>0</v>
      </c>
      <c r="D25" s="230"/>
      <c r="E25" s="233"/>
      <c r="F25" s="231"/>
      <c r="G25" s="234" t="s">
        <v>1510</v>
      </c>
    </row>
    <row r="26" spans="1:7" s="206" customFormat="1">
      <c r="A26" s="733" t="s">
        <v>350</v>
      </c>
      <c r="B26" s="207" t="s">
        <v>1511</v>
      </c>
      <c r="C26" s="230">
        <f>ROUND(IF('数据-取费表'!B22&lt;=1,F21*F22*'数据-取费表'!B23/2,F21*(POWER((1+F22),'数据-取费表'!B23/2)-1)),4)</f>
        <v>6.9999999999999999E-4</v>
      </c>
      <c r="D26" s="230"/>
      <c r="E26" s="233"/>
      <c r="F26" s="231"/>
      <c r="G26" s="235"/>
    </row>
    <row r="27" spans="1:7" s="206" customFormat="1" ht="24.75">
      <c r="A27" s="247" t="s">
        <v>1512</v>
      </c>
      <c r="B27" s="236" t="s">
        <v>1513</v>
      </c>
      <c r="C27" s="237">
        <f ca="1">C28</f>
        <v>9</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9</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998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908</v>
      </c>
      <c r="D34" s="209"/>
      <c r="E34" s="212"/>
      <c r="F34" s="249">
        <f ca="1">IF('数据-取费表'!B24=0,1,IF(B1="",'数据-取费表'!N16,INDIRECT("'数据-取费表'!n"&amp;$G$1)))</f>
        <v>1</v>
      </c>
      <c r="G34" s="211" t="s">
        <v>1526</v>
      </c>
    </row>
    <row r="35" spans="1:7" ht="13.5" customHeight="1">
      <c r="A35" s="733" t="s">
        <v>351</v>
      </c>
      <c r="B35" s="207" t="s">
        <v>1527</v>
      </c>
      <c r="C35" s="212">
        <f ca="1">ROUND(C34*F35,0)</f>
        <v>27</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45</v>
      </c>
      <c r="D37" s="209">
        <f ca="1">D19</f>
        <v>2269.1</v>
      </c>
      <c r="E37" s="241">
        <f>'数据-取费表'!B35</f>
        <v>200</v>
      </c>
      <c r="F37" s="251"/>
      <c r="G37" s="253" t="s">
        <v>1532</v>
      </c>
    </row>
    <row r="38" spans="1:7" ht="13.5" customHeight="1">
      <c r="A38" s="733" t="s">
        <v>354</v>
      </c>
      <c r="B38" s="207" t="s">
        <v>1533</v>
      </c>
      <c r="C38" s="212">
        <f ca="1">ROUND(C34*F38,0)</f>
        <v>18</v>
      </c>
      <c r="D38" s="212"/>
      <c r="E38" s="212"/>
      <c r="F38" s="251">
        <f>'数据-取费表'!B36</f>
        <v>0.02</v>
      </c>
      <c r="G38" s="211" t="s">
        <v>1528</v>
      </c>
    </row>
    <row r="39" spans="1:7" s="206" customFormat="1" ht="13.5" customHeight="1">
      <c r="A39" s="247" t="s">
        <v>1534</v>
      </c>
      <c r="B39" s="202" t="s">
        <v>1535</v>
      </c>
      <c r="C39" s="224">
        <f ca="1">ROUND(C33*F20,0)</f>
        <v>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v>
      </c>
      <c r="D41" s="227">
        <f>C44</f>
        <v>6.9999999999999999E-4</v>
      </c>
      <c r="E41" s="228" t="s">
        <v>1539</v>
      </c>
      <c r="F41" s="229">
        <f>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33</v>
      </c>
      <c r="D42" s="230"/>
      <c r="E42" s="230"/>
      <c r="F42" s="231"/>
      <c r="G42" s="3342" t="s">
        <v>1544</v>
      </c>
    </row>
    <row r="43" spans="1:7" ht="13.5" customHeight="1">
      <c r="A43" s="733" t="s">
        <v>347</v>
      </c>
      <c r="B43" s="207" t="s">
        <v>1545</v>
      </c>
      <c r="C43" s="230">
        <f ca="1">ROUND(IF('数据-取费表'!B22&lt;=1,C39*F22*'数据-取费表'!B21/2,C39*(POWER((1+F22),'数据-取费表'!B21/2)-1)),0)</f>
        <v>1</v>
      </c>
      <c r="D43" s="230"/>
      <c r="E43" s="230"/>
      <c r="F43" s="231"/>
      <c r="G43" s="3343"/>
    </row>
    <row r="44" spans="1:7" ht="13.5" customHeight="1">
      <c r="A44" s="733" t="s">
        <v>348</v>
      </c>
      <c r="B44" s="207" t="s">
        <v>1546</v>
      </c>
      <c r="C44" s="230">
        <f>ROUND(IF('数据-取费表'!B22&lt;=1,C40*F22*'数据-取费表'!B21/2,C40*(POWER((1+F22),'数据-取费表'!B21/2)-1)),4)</f>
        <v>6.9999999999999999E-4</v>
      </c>
      <c r="D44" s="230"/>
      <c r="E44" s="230"/>
      <c r="F44" s="231"/>
      <c r="G44" s="3344"/>
    </row>
    <row r="45" spans="1:7" s="206" customFormat="1" ht="13.5" customHeight="1">
      <c r="A45" s="247" t="s">
        <v>1547</v>
      </c>
      <c r="B45" s="236" t="s">
        <v>1513</v>
      </c>
      <c r="C45" s="237">
        <f ca="1">C46</f>
        <v>204</v>
      </c>
      <c r="D45" s="227">
        <f ca="1">C47</f>
        <v>4.0000000000000001E-3</v>
      </c>
      <c r="E45" s="228" t="s">
        <v>1539</v>
      </c>
      <c r="F45" s="238">
        <f ca="1">F27</f>
        <v>0.2</v>
      </c>
      <c r="G45" s="239" t="s">
        <v>1548</v>
      </c>
    </row>
    <row r="46" spans="1:7" s="206" customFormat="1" ht="13.5" customHeight="1">
      <c r="A46" s="733" t="s">
        <v>346</v>
      </c>
      <c r="B46" s="240" t="s">
        <v>1549</v>
      </c>
      <c r="C46" s="241">
        <f ca="1">ROUND((C33+C39)*F27,0)</f>
        <v>204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1361</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1157</v>
      </c>
      <c r="D51" s="224"/>
      <c r="E51" s="224"/>
      <c r="F51" s="256"/>
      <c r="G51" s="226" t="s">
        <v>1560</v>
      </c>
    </row>
    <row r="52" spans="1:7" s="200" customFormat="1" ht="16.5" thickBot="1">
      <c r="A52" s="257" t="s">
        <v>1561</v>
      </c>
      <c r="B52" s="258"/>
      <c r="C52" s="259">
        <f ca="1">C31+C51</f>
        <v>1220</v>
      </c>
      <c r="D52" s="258"/>
      <c r="E52" s="258"/>
      <c r="F52" s="258"/>
      <c r="G52" s="260"/>
    </row>
    <row r="55" spans="1:7" ht="15">
      <c r="B55" s="262" t="s">
        <v>1562</v>
      </c>
      <c r="C55" s="263"/>
    </row>
    <row r="56" spans="1:7">
      <c r="B56" s="265" t="s">
        <v>802</v>
      </c>
      <c r="C56" s="267">
        <f ca="1">1-C57</f>
        <v>5.2000000000000046E-2</v>
      </c>
    </row>
    <row r="57" spans="1:7">
      <c r="B57" s="265" t="s">
        <v>803</v>
      </c>
      <c r="C57" s="266">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8" t="str">
        <f>项目基本情况!B1</f>
        <v>北京市顺义区金关北二路2号院2号楼1层115房地产抵押价值预评估</v>
      </c>
      <c r="C37" s="3158"/>
      <c r="D37" s="3158"/>
      <c r="E37" s="3158"/>
      <c r="F37" s="3158"/>
      <c r="G37" s="3158"/>
      <c r="H37" s="3158"/>
      <c r="I37" s="3158"/>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 ca="1">项目基本情况!K4</f>
        <v>吴薇（注册号：1419970001)、（注册号：0)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7" t="str">
        <f>IF(ISERROR(FIND("住宅",B1)),"非住宅","住宅")</f>
        <v>非住宅</v>
      </c>
    </row>
    <row r="2" spans="1:8" s="192" customFormat="1" ht="18" customHeight="1">
      <c r="A2" s="193" t="s">
        <v>1462</v>
      </c>
      <c r="B2" s="3121">
        <f ca="1">ROUND(IF(D2="——",C52/10000,C52/10000-E2),4)</f>
        <v>1284.0790999999999</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5659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453820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453820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453820</v>
      </c>
      <c r="D10" s="794">
        <f ca="1">IF(B1="",'数据-汇总表'!E6,IF(INDIRECT("'数据-取费表'!c"&amp;$G$1)="住宅",INDIRECT("'数据-取费表'!s"&amp;$G$1),INDIRECT("'数据-取费表'!k"&amp;$G$1)+INDIRECT("'数据-取费表'!s"&amp;$G$1)))</f>
        <v>2269.1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453820</v>
      </c>
      <c r="D19" s="204">
        <f ca="1">D9+D10</f>
        <v>2269.1</v>
      </c>
      <c r="E19" s="203">
        <f>'数据-取费表'!B31</f>
        <v>200</v>
      </c>
      <c r="F19" s="223"/>
      <c r="G19" s="1712"/>
    </row>
    <row r="20" spans="1:7" s="206" customFormat="1" ht="13.5" customHeight="1">
      <c r="A20" s="247" t="s">
        <v>1574</v>
      </c>
      <c r="B20" s="202" t="s">
        <v>1575</v>
      </c>
      <c r="C20" s="224">
        <f ca="1">ROUND((C5+C19)*F20,0)</f>
        <v>18153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62438</v>
      </c>
      <c r="D22" s="227">
        <f>C26</f>
        <v>6.9999999999999999E-4</v>
      </c>
      <c r="E22" s="228" t="s">
        <v>1579</v>
      </c>
      <c r="F22" s="229">
        <f>'数据-取费表'!B40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30915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30915</v>
      </c>
      <c r="D24" s="230"/>
      <c r="E24" s="230"/>
      <c r="F24" s="231"/>
      <c r="G24" s="232" t="s">
        <v>1586</v>
      </c>
    </row>
    <row r="25" spans="1:7" s="206" customFormat="1" ht="24">
      <c r="A25" s="733" t="s">
        <v>1476</v>
      </c>
      <c r="B25" s="207" t="s">
        <v>1587</v>
      </c>
      <c r="C25" s="230">
        <f ca="1">ROUND(IF('数据-取费表'!B22&lt;=1,C20*F22*'数据-取费表'!B22/2,C20*(POWER((1+F22),'数据-取费表'!B22/2)-1)),0)</f>
        <v>608</v>
      </c>
      <c r="D25" s="230"/>
      <c r="E25" s="233"/>
      <c r="F25" s="231"/>
      <c r="G25" s="234" t="s">
        <v>1588</v>
      </c>
    </row>
    <row r="26" spans="1:7" s="206" customFormat="1">
      <c r="A26" s="733" t="s">
        <v>350</v>
      </c>
      <c r="B26" s="207" t="s">
        <v>1511</v>
      </c>
      <c r="C26" s="230">
        <f>ROUND(IF('数据-取费表'!B22&lt;=1,F21*F22*'数据-取费表'!B22/2,F21*(POWER((1+F22),'数据-取费表'!B22/2)-1)),4)</f>
        <v>6.9999999999999999E-4</v>
      </c>
      <c r="D26" s="230"/>
      <c r="E26" s="233"/>
      <c r="F26" s="231"/>
      <c r="G26" s="235"/>
    </row>
    <row r="27" spans="1:7" s="206" customFormat="1" ht="24.75">
      <c r="A27" s="247" t="s">
        <v>1512</v>
      </c>
      <c r="B27" s="236" t="s">
        <v>1513</v>
      </c>
      <c r="C27" s="237">
        <f ca="1">C28</f>
        <v>185159</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185159</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1271416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9984040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9076400</v>
      </c>
      <c r="D34" s="209"/>
      <c r="E34" s="212"/>
      <c r="F34" s="249"/>
      <c r="G34" s="211"/>
    </row>
    <row r="35" spans="1:7" ht="13.5" customHeight="1">
      <c r="A35" s="733" t="s">
        <v>351</v>
      </c>
      <c r="B35" s="207" t="s">
        <v>1527</v>
      </c>
      <c r="C35" s="212">
        <f ca="1">ROUND(C34*F35,0)</f>
        <v>272292</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453820</v>
      </c>
      <c r="D37" s="209">
        <f ca="1">D19</f>
        <v>2269.1</v>
      </c>
      <c r="E37" s="241">
        <f>'数据-取费表'!B35</f>
        <v>200</v>
      </c>
      <c r="F37" s="251"/>
      <c r="G37" s="253"/>
    </row>
    <row r="38" spans="1:7" ht="13.5" customHeight="1">
      <c r="A38" s="733" t="s">
        <v>354</v>
      </c>
      <c r="B38" s="207" t="s">
        <v>1533</v>
      </c>
      <c r="C38" s="212">
        <f ca="1">ROUND(C34*F38,0)</f>
        <v>181528</v>
      </c>
      <c r="D38" s="212"/>
      <c r="E38" s="212"/>
      <c r="F38" s="251">
        <f>'数据-取费表'!B36</f>
        <v>0.02</v>
      </c>
      <c r="G38" s="211" t="s">
        <v>1528</v>
      </c>
    </row>
    <row r="39" spans="1:7" s="206" customFormat="1" ht="13.5" customHeight="1">
      <c r="A39" s="247" t="s">
        <v>1534</v>
      </c>
      <c r="B39" s="202" t="s">
        <v>1535</v>
      </c>
      <c r="C39" s="224">
        <f ca="1">ROUND(C33*F20,0)</f>
        <v>199681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341154</v>
      </c>
      <c r="D41" s="227">
        <f>C44</f>
        <v>6.9999999999999999E-4</v>
      </c>
      <c r="E41" s="228" t="s">
        <v>1539</v>
      </c>
      <c r="F41" s="229">
        <f>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334465</v>
      </c>
      <c r="D42" s="230"/>
      <c r="E42" s="230"/>
      <c r="F42" s="231"/>
      <c r="G42" s="3342" t="s">
        <v>1591</v>
      </c>
    </row>
    <row r="43" spans="1:7" ht="13.5" customHeight="1">
      <c r="A43" s="733" t="s">
        <v>347</v>
      </c>
      <c r="B43" s="207" t="s">
        <v>1545</v>
      </c>
      <c r="C43" s="230">
        <f ca="1">ROUND(IF('数据-取费表'!B22&lt;=1,C39*F22*'数据-取费表'!B20/2,C39*(POWER((1+F22),'数据-取费表'!B20/2)-1)),0)</f>
        <v>6689</v>
      </c>
      <c r="D43" s="230"/>
      <c r="E43" s="230"/>
      <c r="F43" s="231"/>
      <c r="G43" s="3343"/>
    </row>
    <row r="44" spans="1:7" ht="13.5" customHeight="1">
      <c r="A44" s="733" t="s">
        <v>348</v>
      </c>
      <c r="B44" s="207" t="s">
        <v>1546</v>
      </c>
      <c r="C44" s="230">
        <f>ROUND(IF('数据-取费表'!B22&lt;=1,C40*F22*'数据-取费表'!B20/2,C40*(POWER((1+F22),'数据-取费表'!B20/2)-1)),4)</f>
        <v>6.9999999999999999E-4</v>
      </c>
      <c r="D44" s="230"/>
      <c r="E44" s="230"/>
      <c r="F44" s="231"/>
      <c r="G44" s="3344"/>
    </row>
    <row r="45" spans="1:7" s="206" customFormat="1" ht="13.5" customHeight="1">
      <c r="A45" s="247" t="s">
        <v>1547</v>
      </c>
      <c r="B45" s="236" t="s">
        <v>1513</v>
      </c>
      <c r="C45" s="237">
        <f ca="1">C46</f>
        <v>2036744</v>
      </c>
      <c r="D45" s="227">
        <f ca="1">C47</f>
        <v>4.0000000000000001E-3</v>
      </c>
      <c r="E45" s="228" t="s">
        <v>1539</v>
      </c>
      <c r="F45" s="238">
        <f ca="1">F27</f>
        <v>0.2</v>
      </c>
      <c r="G45" s="239" t="s">
        <v>1548</v>
      </c>
    </row>
    <row r="46" spans="1:7" s="206" customFormat="1" ht="13.5" customHeight="1">
      <c r="A46" s="733" t="s">
        <v>346</v>
      </c>
      <c r="B46" s="240" t="s">
        <v>1549</v>
      </c>
      <c r="C46" s="241">
        <f ca="1">ROUND((C33+C39)*F27,0)</f>
        <v>2036744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13611029</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11569375</v>
      </c>
      <c r="D51" s="224"/>
      <c r="E51" s="224"/>
      <c r="F51" s="256"/>
      <c r="G51" s="226" t="s">
        <v>1560</v>
      </c>
    </row>
    <row r="52" spans="1:7" s="200" customFormat="1" ht="16.5" thickBot="1">
      <c r="A52" s="257" t="s">
        <v>1561</v>
      </c>
      <c r="B52" s="258"/>
      <c r="C52" s="259">
        <f ca="1">C31+C51</f>
        <v>12840791</v>
      </c>
      <c r="D52" s="258"/>
      <c r="E52" s="258"/>
      <c r="F52" s="258"/>
      <c r="G52" s="260"/>
    </row>
    <row r="55" spans="1:7" ht="15">
      <c r="B55" s="262" t="s">
        <v>1562</v>
      </c>
      <c r="C55" s="263"/>
    </row>
    <row r="56" spans="1:7">
      <c r="B56" s="265" t="s">
        <v>802</v>
      </c>
      <c r="C56" s="267">
        <f ca="1">1-C57</f>
        <v>9.8999999999999977E-2</v>
      </c>
    </row>
    <row r="57" spans="1:7">
      <c r="B57" s="265" t="s">
        <v>803</v>
      </c>
      <c r="C57" s="266">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f ca="1">C32</f>
        <v>-53</v>
      </c>
      <c r="C2" s="268" t="s">
        <v>1595</v>
      </c>
      <c r="D2" s="268"/>
      <c r="E2" s="2566"/>
      <c r="F2" s="2566"/>
      <c r="G2" s="2566"/>
      <c r="H2" s="2566"/>
      <c r="I2" s="2566"/>
      <c r="J2" s="2566"/>
      <c r="K2" s="2566"/>
    </row>
    <row r="3" spans="1:33" ht="18" customHeight="1" thickBot="1">
      <c r="A3" s="195" t="s">
        <v>1464</v>
      </c>
      <c r="B3" s="196">
        <f ca="1">ROUND(B2*10000/IF(C1="",'数据-汇总表'!E3,INDIRECT("'数据-取费表'!K"&amp;$K$1)),0)</f>
        <v>-234</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2269.1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2269.1</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45</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1627</v>
      </c>
      <c r="C20" s="21">
        <f ca="1">ROUND(D20*E20/10000,0)</f>
        <v>45</v>
      </c>
      <c r="D20" s="795">
        <f ca="1">IF(C1="",'数据-汇总表'!E6,IF(INDIRECT("'数据-取费表'!c"&amp;$K$1)="住宅",INDIRECT("'数据-取费表'!s"&amp;$K$1),INDIRECT("'数据-取费表'!k"&amp;$K$1)+INDIRECT("'数据-取费表'!s"&amp;$K$1)))</f>
        <v>2269.1</v>
      </c>
      <c r="E20" s="21">
        <f>'数据-取费表'!B28</f>
        <v>200</v>
      </c>
      <c r="F20" s="755"/>
      <c r="G20" s="12"/>
      <c r="H20" s="760"/>
      <c r="I20" s="760"/>
      <c r="J20" s="760"/>
      <c r="K20" s="761"/>
    </row>
    <row r="21" spans="1:33" s="754" customFormat="1" ht="13.5" customHeight="1">
      <c r="A21" s="743" t="s">
        <v>357</v>
      </c>
      <c r="B21" s="764" t="s">
        <v>1628</v>
      </c>
      <c r="C21" s="765">
        <f ca="1">C16+C17+C18</f>
        <v>45</v>
      </c>
      <c r="D21" s="766"/>
      <c r="E21" s="273"/>
      <c r="F21" s="273"/>
      <c r="G21" s="123" t="s">
        <v>1629</v>
      </c>
      <c r="H21" s="758"/>
      <c r="I21" s="758"/>
      <c r="J21" s="758"/>
      <c r="K21" s="759"/>
    </row>
    <row r="22" spans="1:33" s="754" customFormat="1" ht="13.5" customHeight="1">
      <c r="A22" s="743" t="s">
        <v>1601</v>
      </c>
      <c r="B22" s="764" t="s">
        <v>1630</v>
      </c>
      <c r="C22" s="765">
        <f ca="1">ROUND(C21*F22,0)</f>
        <v>1</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1">
        <f ca="1">C27</f>
        <v>0</v>
      </c>
      <c r="D25" s="272">
        <f>C26</f>
        <v>0</v>
      </c>
      <c r="E25" s="274" t="s">
        <v>12</v>
      </c>
      <c r="F25" s="275">
        <f>'数据-取费表'!B40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2">
        <f>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9</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9</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-53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8">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6">
        <f ca="1">C6+C10+C12</f>
        <v>0</v>
      </c>
      <c r="D5" s="1271" t="s">
        <v>693</v>
      </c>
      <c r="E5" s="1007"/>
      <c r="F5" s="1008"/>
      <c r="G5" s="1290"/>
      <c r="H5" s="291">
        <v>1</v>
      </c>
      <c r="I5" s="292" t="s">
        <v>692</v>
      </c>
      <c r="J5" s="1006">
        <f ca="1">J6+J10+J12</f>
        <v>0</v>
      </c>
      <c r="K5" s="1271" t="s">
        <v>693</v>
      </c>
      <c r="L5" s="1007"/>
      <c r="M5" s="1008"/>
    </row>
    <row r="6" spans="1:37" ht="18" customHeight="1">
      <c r="A6" s="1005" t="s">
        <v>398</v>
      </c>
      <c r="B6" s="3347" t="s">
        <v>694</v>
      </c>
      <c r="C6" s="1010">
        <f ca="1">ROUND(F6*F8*F7*(1-F9)/10000,0)</f>
        <v>0</v>
      </c>
      <c r="D6" s="147" t="s">
        <v>2109</v>
      </c>
      <c r="E6" s="294" t="s">
        <v>696</v>
      </c>
      <c r="F6" s="295">
        <f ca="1">INDIRECT("'数据-取费表'!u"&amp;$G$1)</f>
        <v>0</v>
      </c>
      <c r="G6" s="1290"/>
      <c r="H6" s="1005" t="s">
        <v>398</v>
      </c>
      <c r="I6" s="3347" t="s">
        <v>694</v>
      </c>
      <c r="J6" s="293">
        <f ca="1">ROUND(M6*M8*M7*(1-M9)/10000,0)</f>
        <v>0</v>
      </c>
      <c r="K6" s="147" t="s">
        <v>2108</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0</v>
      </c>
      <c r="G7" s="1290"/>
      <c r="H7" s="296"/>
      <c r="I7" s="3348"/>
      <c r="J7" s="298"/>
      <c r="K7" s="299"/>
      <c r="L7" s="294" t="s">
        <v>697</v>
      </c>
      <c r="M7" s="295">
        <f ca="1">F7</f>
        <v>0</v>
      </c>
    </row>
    <row r="8" spans="1:37" ht="18" customHeight="1">
      <c r="A8" s="296"/>
      <c r="B8" s="3348"/>
      <c r="C8" s="298"/>
      <c r="D8" s="299"/>
      <c r="E8" s="294" t="s">
        <v>698</v>
      </c>
      <c r="F8" s="295">
        <f ca="1">INDIRECT("'数据-取费表'!ai"&amp;$G$1)</f>
        <v>0</v>
      </c>
      <c r="G8" s="1290"/>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0"/>
      <c r="H9" s="296"/>
      <c r="I9" s="3349"/>
      <c r="J9" s="298"/>
      <c r="K9" s="299"/>
      <c r="L9" s="305" t="s">
        <v>699</v>
      </c>
      <c r="M9" s="306">
        <f ca="1">INDIRECT("'数据-取费表'!ab"&amp;$G$1)</f>
        <v>0</v>
      </c>
    </row>
    <row r="10" spans="1:37" ht="18" customHeight="1">
      <c r="A10" s="1005" t="s">
        <v>402</v>
      </c>
      <c r="B10" s="1272" t="s">
        <v>700</v>
      </c>
      <c r="C10" s="308">
        <f ca="1">ROUND(IF(F10="押一",C6/12*F11,IF(F10="押二",C6/12*2*F11,IF(F10="押三",C6/12*3*F11,C11*F11))),0)</f>
        <v>0</v>
      </c>
      <c r="D10" s="150" t="s">
        <v>2117</v>
      </c>
      <c r="E10" s="305" t="s">
        <v>701</v>
      </c>
      <c r="F10" s="1051"/>
      <c r="G10" s="1290"/>
      <c r="H10" s="1005" t="s">
        <v>402</v>
      </c>
      <c r="I10" s="1272" t="s">
        <v>700</v>
      </c>
      <c r="J10" s="293">
        <f ca="1">ROUND(IF(M10="押一",J6/12*M11,IF(M10="押二",J6/12*2*M11,IF(M10="押三",J6/12*3*M11,J11*M11))),0)</f>
        <v>0</v>
      </c>
      <c r="K10" s="150" t="s">
        <v>2116</v>
      </c>
      <c r="L10" s="305" t="s">
        <v>701</v>
      </c>
      <c r="M10" s="1051"/>
    </row>
    <row r="11" spans="1:37" ht="18" customHeight="1">
      <c r="A11" s="300"/>
      <c r="B11" s="1273" t="s">
        <v>679</v>
      </c>
      <c r="C11" s="904"/>
      <c r="D11" s="1274"/>
      <c r="E11" s="305" t="s">
        <v>702</v>
      </c>
      <c r="F11" s="306">
        <f ca="1">'数据-取费表'!B39</f>
        <v>1.4999999999999999E-2</v>
      </c>
      <c r="G11" s="1290"/>
      <c r="H11" s="1013"/>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f ca="1">C29</f>
        <v>0</v>
      </c>
      <c r="K14" s="12"/>
      <c r="L14" s="758"/>
      <c r="M14" s="759"/>
    </row>
    <row r="15" spans="1:37" s="1302" customFormat="1" ht="18" customHeight="1" thickBot="1">
      <c r="A15" s="927"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8"/>
    </row>
    <row r="17" spans="1:37" s="1302" customFormat="1" ht="18" customHeight="1">
      <c r="A17" s="927" t="s">
        <v>681</v>
      </c>
      <c r="B17" s="294" t="s">
        <v>716</v>
      </c>
      <c r="C17" s="21">
        <f ca="1">ROUND(F17*(F43+INDIRECT("'数据-取费表'!S"&amp;$G$1))/10000,0)</f>
        <v>0</v>
      </c>
      <c r="D17" s="294" t="s">
        <v>717</v>
      </c>
      <c r="E17" s="294" t="s">
        <v>718</v>
      </c>
      <c r="F17" s="23">
        <f>'数据-取费表'!B35</f>
        <v>200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0.02</v>
      </c>
      <c r="G18" s="1301"/>
      <c r="H18" s="927"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0.02</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ROUND(J14*M22,2)</f>
        <v>0</v>
      </c>
      <c r="K22" s="1254" t="s">
        <v>739</v>
      </c>
      <c r="L22" s="294" t="s">
        <v>712</v>
      </c>
      <c r="M22" s="320">
        <f ca="1">INDIRECT("'数据-取费表'!Ak"&amp;$G$1)</f>
        <v>0</v>
      </c>
    </row>
    <row r="23" spans="1:37" s="1302"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7"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ROUND(IF('数据-取费表'!B22&lt;=1,F21*F24*F23/2,F21*(POWER((1+F24),F23/2)-1)),4)</f>
        <v>6.9999999999999999E-4</v>
      </c>
      <c r="D24" s="138" t="str">
        <f>IF(F23&lt;=1,"销售费用×利率×(建设周期÷2)","销售费用×((1+利率)^(建设周期÷2)-1)")</f>
        <v>销售费用×((1+利率)^(建设周期÷2)-1)</v>
      </c>
      <c r="E24" s="294" t="s">
        <v>747</v>
      </c>
      <c r="F24" s="322">
        <f>'数据-取费表'!B40</f>
        <v>3.3500000000000002E-2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f ca="1">J5-J16</f>
        <v>0</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8"/>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f ca="1">ROUND(C29*F36,2)</f>
        <v>0</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f ca="1">ROUND(C13*F37,2)</f>
        <v>0</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f ca="1">C5-C30</f>
        <v>0</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49">
        <f ca="1">ROUND(F49*F51*F50*(1-F52)/10000,0)</f>
        <v>0</v>
      </c>
      <c r="D49" s="991" t="s">
        <v>2110</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0</v>
      </c>
      <c r="K53" s="3345" t="s">
        <v>837</v>
      </c>
      <c r="L53" s="3346"/>
      <c r="O53" s="1323" t="s">
        <v>409</v>
      </c>
      <c r="P53" s="1324" t="s">
        <v>838</v>
      </c>
      <c r="Q53" s="1325" t="e">
        <f ca="1">Q47+Q48</f>
        <v>#DIV/0!</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3" t="s">
        <v>714</v>
      </c>
      <c r="C58" s="308">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8"/>
      <c r="B63" s="901"/>
      <c r="C63" s="26"/>
      <c r="D63" s="911"/>
      <c r="E63" s="895" t="s">
        <v>788</v>
      </c>
      <c r="F63" s="295">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20">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1">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#DIV/0!</v>
      </c>
      <c r="R66" s="1325" t="s">
        <v>869</v>
      </c>
    </row>
    <row r="67" spans="1:18" s="1290" customFormat="1" ht="16.5" thickBot="1">
      <c r="A67" s="902" t="s">
        <v>394</v>
      </c>
      <c r="B67" s="912" t="s">
        <v>752</v>
      </c>
      <c r="C67" s="308">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3" t="e">
        <f ca="1">ROUND(C67*(1-((1+F70)/(1+F68))^F69)/(F68-F70),0)</f>
        <v>#DIV/0!</v>
      </c>
      <c r="D68" s="910" t="s">
        <v>758</v>
      </c>
      <c r="E68" s="895" t="s">
        <v>759</v>
      </c>
      <c r="F68" s="304">
        <f ca="1">F40</f>
        <v>0</v>
      </c>
      <c r="O68" s="1332" t="s">
        <v>406</v>
      </c>
      <c r="P68" s="1369" t="s">
        <v>871</v>
      </c>
      <c r="Q68" s="1325">
        <f ca="1">ROUND(Q69-Q70*Q71,0)</f>
        <v>0</v>
      </c>
      <c r="R68" s="1325" t="s">
        <v>414</v>
      </c>
    </row>
    <row r="69" spans="1:18" s="1290" customFormat="1" ht="13.5" thickBot="1">
      <c r="A69" s="896"/>
      <c r="B69" s="897"/>
      <c r="C69" s="298"/>
      <c r="D69" s="915" t="s">
        <v>762</v>
      </c>
      <c r="E69" s="895" t="s">
        <v>763</v>
      </c>
      <c r="F69" s="324">
        <f ca="1">F41</f>
        <v>0</v>
      </c>
      <c r="O69" s="1332" t="s">
        <v>411</v>
      </c>
      <c r="P69" s="1369" t="s">
        <v>872</v>
      </c>
      <c r="Q69" s="1325">
        <f ca="1">C39</f>
        <v>0</v>
      </c>
      <c r="R69" s="1325" t="s">
        <v>818</v>
      </c>
    </row>
    <row r="70" spans="1:18" s="1290" customFormat="1" ht="13.5" thickBot="1">
      <c r="A70" s="899"/>
      <c r="B70" s="900"/>
      <c r="C70" s="302"/>
      <c r="D70" s="911"/>
      <c r="E70" s="895" t="s">
        <v>766</v>
      </c>
      <c r="F70" s="990"/>
      <c r="O70" s="1332" t="s">
        <v>412</v>
      </c>
      <c r="P70" s="1369" t="s">
        <v>873</v>
      </c>
      <c r="Q70" s="1325">
        <f ca="1">C13</f>
        <v>0</v>
      </c>
      <c r="R70" s="1325" t="s">
        <v>818</v>
      </c>
    </row>
    <row r="71" spans="1:18" s="1290" customFormat="1" ht="13.5" thickBot="1">
      <c r="A71" s="916" t="s">
        <v>396</v>
      </c>
      <c r="B71" s="917" t="s">
        <v>776</v>
      </c>
      <c r="C71" s="327" t="e">
        <f ca="1">ROUND(C68*10000/F71,0)</f>
        <v>#DIV/0!</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O96" sqref="O9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v>115</v>
      </c>
      <c r="E1" s="3123" t="s">
        <v>3402</v>
      </c>
      <c r="F1" s="1733" t="s">
        <v>3403</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12499.7912</v>
      </c>
      <c r="C2" s="1735" t="s">
        <v>43</v>
      </c>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55087</v>
      </c>
      <c r="C3" s="344" t="s">
        <v>1768</v>
      </c>
      <c r="D3" s="343">
        <f>IF(D1="",'数据-汇总表'!E3,SUMIF('数据-汇总表'!$C19:$C33,D1,'数据-汇总表'!$E19:$E33))</f>
        <v>2269.1</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372" t="s">
        <v>1775</v>
      </c>
      <c r="Q4" s="3373"/>
      <c r="R4" s="3378" t="s">
        <v>1771</v>
      </c>
      <c r="S4" s="3379"/>
      <c r="T4" s="3378" t="s">
        <v>1772</v>
      </c>
      <c r="U4" s="3379"/>
      <c r="V4" s="3351" t="s">
        <v>1773</v>
      </c>
      <c r="W4" s="3351"/>
      <c r="X4" s="1263"/>
      <c r="Y4" s="3378" t="s">
        <v>1775</v>
      </c>
      <c r="Z4" s="3379"/>
      <c r="AA4" s="3365" t="s">
        <v>1771</v>
      </c>
      <c r="AB4" s="3351" t="s">
        <v>1772</v>
      </c>
      <c r="AC4" s="3365" t="s">
        <v>1773</v>
      </c>
    </row>
    <row r="5" spans="1:29" ht="15">
      <c r="A5" s="348"/>
      <c r="B5" s="349"/>
      <c r="C5" s="3391" t="s">
        <v>1673</v>
      </c>
      <c r="D5" s="3387"/>
      <c r="E5" s="3394" t="s">
        <v>3450</v>
      </c>
      <c r="F5" s="3395"/>
      <c r="G5" s="3386" t="s">
        <v>3442</v>
      </c>
      <c r="H5" s="3387"/>
      <c r="I5" s="3386" t="s">
        <v>3451</v>
      </c>
      <c r="J5" s="3387"/>
      <c r="K5" s="537"/>
      <c r="L5" s="2485"/>
      <c r="M5" s="2486"/>
      <c r="N5" s="2486"/>
      <c r="O5" s="2486"/>
      <c r="P5" s="3374"/>
      <c r="Q5" s="3375"/>
      <c r="R5" s="3380"/>
      <c r="S5" s="3381"/>
      <c r="T5" s="3380"/>
      <c r="U5" s="3381"/>
      <c r="V5" s="3351"/>
      <c r="W5" s="3351"/>
      <c r="X5" s="1263"/>
      <c r="Y5" s="3380"/>
      <c r="Z5" s="3381"/>
      <c r="AA5" s="3366"/>
      <c r="AB5" s="3351"/>
      <c r="AC5" s="3366"/>
    </row>
    <row r="6" spans="1:29" ht="15.75" thickBot="1">
      <c r="A6" s="350"/>
      <c r="B6" s="351"/>
      <c r="C6" s="3384" t="s">
        <v>1677</v>
      </c>
      <c r="D6" s="3385"/>
      <c r="E6" s="3392" t="s">
        <v>1677</v>
      </c>
      <c r="F6" s="3393"/>
      <c r="G6" s="3384" t="s">
        <v>1677</v>
      </c>
      <c r="H6" s="3385"/>
      <c r="I6" s="3384" t="s">
        <v>1677</v>
      </c>
      <c r="J6" s="3385"/>
      <c r="K6" s="537" t="s">
        <v>1678</v>
      </c>
      <c r="L6" s="2485"/>
      <c r="M6" s="2486"/>
      <c r="N6" s="2486"/>
      <c r="O6" s="2486"/>
      <c r="P6" s="3376"/>
      <c r="Q6" s="3377"/>
      <c r="R6" s="3380"/>
      <c r="S6" s="3381"/>
      <c r="T6" s="3382"/>
      <c r="U6" s="3383"/>
      <c r="V6" s="3351"/>
      <c r="W6" s="3351"/>
      <c r="X6" s="1263"/>
      <c r="Y6" s="3382"/>
      <c r="Z6" s="3383"/>
      <c r="AA6" s="3367"/>
      <c r="AB6" s="3351"/>
      <c r="AC6" s="3367"/>
    </row>
    <row r="7" spans="1:29" s="102" customFormat="1" ht="15.75" thickBot="1">
      <c r="A7" s="352" t="s">
        <v>1679</v>
      </c>
      <c r="B7" s="353"/>
      <c r="C7" s="354">
        <f>'数据-取费表'!B2</f>
        <v>45504</v>
      </c>
      <c r="D7" s="355">
        <v>100</v>
      </c>
      <c r="E7" s="356">
        <v>45474</v>
      </c>
      <c r="F7" s="357">
        <f>SUMIF(58:58,YEAR(E7)&amp;"-"&amp;MONTH(E7),59:59)</f>
        <v>100</v>
      </c>
      <c r="G7" s="356">
        <v>45474</v>
      </c>
      <c r="H7" s="355">
        <f>SUMIF(58:58,YEAR(G7)&amp;"-"&amp;MONTH(G7),59:59)</f>
        <v>100</v>
      </c>
      <c r="I7" s="356">
        <v>45474</v>
      </c>
      <c r="J7" s="355">
        <f>SUMIF(58:58,YEAR(I7)&amp;"-"&amp;MONTH(I7),59:59)</f>
        <v>100</v>
      </c>
      <c r="K7" s="38"/>
      <c r="L7" s="2487"/>
      <c r="M7" s="2438"/>
      <c r="N7" s="2438"/>
      <c r="O7" s="2438"/>
      <c r="P7" s="3388" t="s">
        <v>1680</v>
      </c>
      <c r="Q7" s="3390"/>
      <c r="R7" s="663" t="s">
        <v>14</v>
      </c>
      <c r="S7" s="664">
        <f t="shared" ref="S7:S15" si="0">F7</f>
        <v>100</v>
      </c>
      <c r="T7" s="663" t="s">
        <v>14</v>
      </c>
      <c r="U7" s="664">
        <f t="shared" ref="U7:U15" si="1">H7</f>
        <v>100</v>
      </c>
      <c r="V7" s="663" t="s">
        <v>14</v>
      </c>
      <c r="W7" s="664">
        <f t="shared" ref="W7:W15" si="2">J7</f>
        <v>100</v>
      </c>
      <c r="X7" s="665"/>
      <c r="Y7" s="3388" t="s">
        <v>1680</v>
      </c>
      <c r="Z7" s="3389"/>
      <c r="AA7" s="50">
        <f>D7/F7</f>
        <v>1</v>
      </c>
      <c r="AB7" s="50">
        <f>D7/H7</f>
        <v>1</v>
      </c>
      <c r="AC7" s="50">
        <f>D7/J7</f>
        <v>1</v>
      </c>
    </row>
    <row r="8" spans="1:29" s="102" customFormat="1" ht="15.75" thickBot="1">
      <c r="A8" s="352" t="s">
        <v>1681</v>
      </c>
      <c r="B8" s="353"/>
      <c r="C8" s="358" t="s">
        <v>3399</v>
      </c>
      <c r="D8" s="355">
        <v>100</v>
      </c>
      <c r="E8" s="358" t="s">
        <v>3401</v>
      </c>
      <c r="F8" s="357">
        <f>SUMIF(61:61,E8,62:62)-SUMIF(61:61,C8,62:62)+100</f>
        <v>102</v>
      </c>
      <c r="G8" s="358" t="s">
        <v>3401</v>
      </c>
      <c r="H8" s="355">
        <f>SUMIF(61:61,G8,62:62)-SUMIF(61:61,C8,62:62)+100</f>
        <v>102</v>
      </c>
      <c r="I8" s="358" t="s">
        <v>3401</v>
      </c>
      <c r="J8" s="355">
        <f>SUMIF(61:61,I8,62:62)-SUMIF(61:61,C8,62:62)+100</f>
        <v>102</v>
      </c>
      <c r="K8" s="38"/>
      <c r="L8" s="2487"/>
      <c r="M8" s="2438"/>
      <c r="N8" s="2438"/>
      <c r="O8" s="2438"/>
      <c r="P8" s="3388" t="s">
        <v>1683</v>
      </c>
      <c r="Q8" s="3389"/>
      <c r="R8" s="663" t="s">
        <v>14</v>
      </c>
      <c r="S8" s="664">
        <f t="shared" si="0"/>
        <v>102</v>
      </c>
      <c r="T8" s="663" t="s">
        <v>14</v>
      </c>
      <c r="U8" s="664">
        <f t="shared" si="1"/>
        <v>102</v>
      </c>
      <c r="V8" s="663" t="s">
        <v>14</v>
      </c>
      <c r="W8" s="664">
        <f t="shared" si="2"/>
        <v>102</v>
      </c>
      <c r="X8" s="665"/>
      <c r="Y8" s="3388" t="s">
        <v>1683</v>
      </c>
      <c r="Z8" s="3389"/>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145" t="s">
        <v>3400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6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75" thickTop="1">
      <c r="A10" s="363"/>
      <c r="B10" s="364" t="s">
        <v>1688</v>
      </c>
      <c r="C10" s="3156"/>
      <c r="D10" s="119">
        <v>100</v>
      </c>
      <c r="E10" s="3156"/>
      <c r="F10" s="364">
        <f>SUMIF(65:65,E10,66:66)-SUMIF(65:65,C10,66:66)+100</f>
        <v>100</v>
      </c>
      <c r="G10" s="3156"/>
      <c r="H10" s="119">
        <f>SUMIF(65:65,G10,66:66)-SUMIF(65:65,C10,66:66)+100</f>
        <v>100</v>
      </c>
      <c r="I10" s="3156"/>
      <c r="J10" s="119">
        <f>SUMIF(65:65,I10,66:66)-SUMIF(65:65,C10,66:66)+100</f>
        <v>100</v>
      </c>
      <c r="K10" s="38"/>
      <c r="L10" s="2488"/>
      <c r="M10" s="2489"/>
      <c r="N10" s="2489"/>
      <c r="O10" s="2489"/>
      <c r="P10" s="336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64"/>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6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4"/>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85.5">
      <c r="A15" s="379" t="s">
        <v>1690</v>
      </c>
      <c r="B15" s="58" t="s">
        <v>1777</v>
      </c>
      <c r="C15" s="1748" t="str">
        <f>估价对象房地状况!C4</f>
        <v>估价对象周边以住宅配套商业为主，周边商业氛围成熟一般，人流量一般，商业繁华度一般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55" t="s">
        <v>1691</v>
      </c>
      <c r="Q15" s="1261" t="str">
        <f t="shared" si="6"/>
        <v>商业繁华度</v>
      </c>
      <c r="R15" s="666" t="s">
        <v>14</v>
      </c>
      <c r="S15" s="667">
        <f t="shared" si="0"/>
        <v>100</v>
      </c>
      <c r="T15" s="666" t="s">
        <v>14</v>
      </c>
      <c r="U15" s="667">
        <f t="shared" si="1"/>
        <v>100</v>
      </c>
      <c r="V15" s="666" t="s">
        <v>14</v>
      </c>
      <c r="W15" s="667">
        <f t="shared" si="2"/>
        <v>100</v>
      </c>
      <c r="X15" s="1263"/>
      <c r="Y15" s="3357" t="s">
        <v>1691</v>
      </c>
      <c r="Z15" s="1262" t="str">
        <f t="shared" si="7"/>
        <v>商业繁华度</v>
      </c>
      <c r="AA15" s="1262">
        <f t="shared" si="3"/>
        <v>1</v>
      </c>
      <c r="AB15" s="1262">
        <f t="shared" si="4"/>
        <v>1</v>
      </c>
      <c r="AC15" s="1262">
        <f t="shared" si="5"/>
        <v>1</v>
      </c>
    </row>
    <row r="16" spans="1:29" ht="15">
      <c r="A16" s="367"/>
      <c r="B16" s="385"/>
      <c r="C16" s="386" t="s">
        <v>3412</v>
      </c>
      <c r="D16" s="387"/>
      <c r="E16" s="386" t="s">
        <v>3412</v>
      </c>
      <c r="F16" s="388"/>
      <c r="G16" s="386" t="s">
        <v>3412</v>
      </c>
      <c r="H16" s="389"/>
      <c r="I16" s="386" t="s">
        <v>3412</v>
      </c>
      <c r="J16" s="387"/>
      <c r="K16" s="541"/>
      <c r="L16" s="2491"/>
      <c r="M16" s="2486"/>
      <c r="N16" s="2486"/>
      <c r="O16" s="2486"/>
      <c r="P16" s="3356"/>
      <c r="Q16" s="1261"/>
      <c r="R16" s="666"/>
      <c r="S16" s="667"/>
      <c r="T16" s="666"/>
      <c r="U16" s="667"/>
      <c r="V16" s="666"/>
      <c r="W16" s="667"/>
      <c r="X16" s="1263"/>
      <c r="Y16" s="3358"/>
      <c r="Z16" s="1262"/>
      <c r="AA16" s="1262">
        <v>1</v>
      </c>
      <c r="AB16" s="1262">
        <v>1</v>
      </c>
      <c r="AC16" s="1262">
        <v>1</v>
      </c>
    </row>
    <row r="17" spans="1:29" ht="99.75">
      <c r="A17" s="367"/>
      <c r="B17" s="390" t="s">
        <v>1259</v>
      </c>
      <c r="C17" s="1752" t="str">
        <f>估价对象房地状况!C6</f>
        <v>估价对象周边道路状况、公共交通通达情况915、918、955等、停车便捷程度，综合评价交通便捷度一般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56"/>
      <c r="Q17" s="1261" t="str">
        <f>B17</f>
        <v>交通便捷度</v>
      </c>
      <c r="R17" s="666" t="s">
        <v>14</v>
      </c>
      <c r="S17" s="667">
        <f>F17</f>
        <v>100</v>
      </c>
      <c r="T17" s="666" t="s">
        <v>14</v>
      </c>
      <c r="U17" s="667">
        <f>H17</f>
        <v>100</v>
      </c>
      <c r="V17" s="666" t="s">
        <v>14</v>
      </c>
      <c r="W17" s="667">
        <f>J17</f>
        <v>100</v>
      </c>
      <c r="X17" s="1263"/>
      <c r="Y17" s="3358"/>
      <c r="Z17" s="1262" t="str">
        <f>Q17</f>
        <v>交通便捷度</v>
      </c>
      <c r="AA17" s="1262">
        <f t="shared" si="3"/>
        <v>1</v>
      </c>
      <c r="AB17" s="1262">
        <f t="shared" si="4"/>
        <v>1</v>
      </c>
      <c r="AC17" s="1262">
        <f t="shared" si="5"/>
        <v>1</v>
      </c>
    </row>
    <row r="18" spans="1:29" ht="15">
      <c r="A18" s="367"/>
      <c r="B18" s="395"/>
      <c r="C18" s="1753" t="s">
        <v>3412</v>
      </c>
      <c r="D18" s="389"/>
      <c r="E18" s="1753" t="s">
        <v>3412</v>
      </c>
      <c r="F18" s="392"/>
      <c r="G18" s="1753" t="s">
        <v>3412</v>
      </c>
      <c r="H18" s="387"/>
      <c r="I18" s="1753" t="s">
        <v>3412</v>
      </c>
      <c r="J18" s="387"/>
      <c r="K18" s="541"/>
      <c r="L18" s="2491"/>
      <c r="M18" s="2486"/>
      <c r="N18" s="2486"/>
      <c r="O18" s="2486"/>
      <c r="P18" s="3356"/>
      <c r="Q18" s="1261"/>
      <c r="R18" s="666"/>
      <c r="S18" s="667"/>
      <c r="T18" s="666"/>
      <c r="U18" s="667"/>
      <c r="V18" s="666"/>
      <c r="W18" s="667"/>
      <c r="X18" s="1263"/>
      <c r="Y18" s="3358"/>
      <c r="Z18" s="1262"/>
      <c r="AA18" s="1262">
        <v>1</v>
      </c>
      <c r="AB18" s="1262">
        <v>1</v>
      </c>
      <c r="AC18" s="1262">
        <v>1</v>
      </c>
    </row>
    <row r="19" spans="1:29" ht="42.75">
      <c r="A19" s="367"/>
      <c r="B19" s="390" t="s">
        <v>1778</v>
      </c>
      <c r="C19" s="1752" t="str">
        <f>估价对象房地状况!C7</f>
        <v>估价对象所在区域公共配套设施齐备情况一般</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56"/>
      <c r="Q19" s="1261" t="str">
        <f>B19</f>
        <v>公共配套设施</v>
      </c>
      <c r="R19" s="666" t="s">
        <v>14</v>
      </c>
      <c r="S19" s="667">
        <f>F19</f>
        <v>100</v>
      </c>
      <c r="T19" s="666" t="s">
        <v>14</v>
      </c>
      <c r="U19" s="667">
        <f>H19</f>
        <v>100</v>
      </c>
      <c r="V19" s="666" t="s">
        <v>14</v>
      </c>
      <c r="W19" s="667">
        <f>J19</f>
        <v>100</v>
      </c>
      <c r="X19" s="1263"/>
      <c r="Y19" s="3358"/>
      <c r="Z19" s="1262" t="str">
        <f>Q19</f>
        <v>公共配套设施</v>
      </c>
      <c r="AA19" s="1262">
        <f t="shared" si="3"/>
        <v>1</v>
      </c>
      <c r="AB19" s="1262">
        <f t="shared" si="4"/>
        <v>1</v>
      </c>
      <c r="AC19" s="1262">
        <f t="shared" si="5"/>
        <v>1</v>
      </c>
    </row>
    <row r="20" spans="1:29" ht="15">
      <c r="A20" s="367"/>
      <c r="B20" s="395"/>
      <c r="C20" s="386" t="s">
        <v>3412</v>
      </c>
      <c r="D20" s="387"/>
      <c r="E20" s="386" t="s">
        <v>3412</v>
      </c>
      <c r="F20" s="388"/>
      <c r="G20" s="386" t="s">
        <v>3412</v>
      </c>
      <c r="H20" s="387"/>
      <c r="I20" s="386" t="s">
        <v>3412</v>
      </c>
      <c r="J20" s="387"/>
      <c r="K20" s="541"/>
      <c r="L20" s="2491"/>
      <c r="M20" s="2486"/>
      <c r="N20" s="2486"/>
      <c r="O20" s="2486"/>
      <c r="P20" s="3356"/>
      <c r="Q20" s="1261"/>
      <c r="R20" s="666"/>
      <c r="S20" s="667"/>
      <c r="T20" s="666"/>
      <c r="U20" s="667"/>
      <c r="V20" s="666"/>
      <c r="W20" s="667"/>
      <c r="X20" s="1263"/>
      <c r="Y20" s="3358"/>
      <c r="Z20" s="1262"/>
      <c r="AA20" s="1262">
        <v>1</v>
      </c>
      <c r="AB20" s="1262">
        <v>1</v>
      </c>
      <c r="AC20" s="1262">
        <v>1</v>
      </c>
    </row>
    <row r="21" spans="1:29" ht="15">
      <c r="A21" s="367"/>
      <c r="B21" s="585" t="s">
        <v>1779</v>
      </c>
      <c r="C21" s="1752"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56"/>
      <c r="Q21" s="1261" t="str">
        <f>B21</f>
        <v>基础设施水平</v>
      </c>
      <c r="R21" s="666" t="s">
        <v>14</v>
      </c>
      <c r="S21" s="667">
        <f>F21</f>
        <v>100</v>
      </c>
      <c r="T21" s="666" t="s">
        <v>14</v>
      </c>
      <c r="U21" s="667">
        <f>H21</f>
        <v>100</v>
      </c>
      <c r="V21" s="666" t="s">
        <v>14</v>
      </c>
      <c r="W21" s="667">
        <f>J21</f>
        <v>100</v>
      </c>
      <c r="X21" s="1263"/>
      <c r="Y21" s="3358"/>
      <c r="Z21" s="1262" t="str">
        <f>Q21</f>
        <v>基础设施水平</v>
      </c>
      <c r="AA21" s="1262">
        <f t="shared" ref="AA21" si="8">D21/F21</f>
        <v>1</v>
      </c>
      <c r="AB21" s="1262">
        <f t="shared" ref="AB21" si="9">D21/H21</f>
        <v>1</v>
      </c>
      <c r="AC21" s="1262">
        <f t="shared" ref="AC21" si="10">D21/J21</f>
        <v>1</v>
      </c>
    </row>
    <row r="22" spans="1:29" ht="15">
      <c r="A22" s="367"/>
      <c r="B22" s="585"/>
      <c r="C22" s="1753" t="s">
        <v>3413</v>
      </c>
      <c r="D22" s="387"/>
      <c r="E22" s="1753" t="s">
        <v>3413</v>
      </c>
      <c r="F22" s="388"/>
      <c r="G22" s="1753" t="s">
        <v>3413</v>
      </c>
      <c r="H22" s="387"/>
      <c r="I22" s="1753" t="s">
        <v>3413</v>
      </c>
      <c r="J22" s="387"/>
      <c r="K22" s="1062"/>
      <c r="L22" s="2491"/>
      <c r="M22" s="2486"/>
      <c r="N22" s="2486"/>
      <c r="O22" s="2486"/>
      <c r="P22" s="3356"/>
      <c r="Q22" s="1261"/>
      <c r="R22" s="666"/>
      <c r="S22" s="667"/>
      <c r="T22" s="666"/>
      <c r="U22" s="667"/>
      <c r="V22" s="666"/>
      <c r="W22" s="667"/>
      <c r="X22" s="1263"/>
      <c r="Y22" s="3358"/>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56"/>
      <c r="Q23" s="1261" t="str">
        <f>B23</f>
        <v>自然及人文环境</v>
      </c>
      <c r="R23" s="666" t="s">
        <v>14</v>
      </c>
      <c r="S23" s="667">
        <f>F23</f>
        <v>100</v>
      </c>
      <c r="T23" s="666" t="s">
        <v>14</v>
      </c>
      <c r="U23" s="667">
        <f>H23</f>
        <v>100</v>
      </c>
      <c r="V23" s="666" t="s">
        <v>14</v>
      </c>
      <c r="W23" s="667">
        <f>J23</f>
        <v>100</v>
      </c>
      <c r="X23" s="1263"/>
      <c r="Y23" s="3358"/>
      <c r="Z23" s="1262" t="str">
        <f>Q23</f>
        <v>自然及人文环境</v>
      </c>
      <c r="AA23" s="1262">
        <f t="shared" si="3"/>
        <v>1</v>
      </c>
      <c r="AB23" s="1262">
        <f t="shared" si="4"/>
        <v>1</v>
      </c>
      <c r="AC23" s="1262">
        <f t="shared" si="5"/>
        <v>1</v>
      </c>
    </row>
    <row r="24" spans="1:29" ht="15">
      <c r="A24" s="367"/>
      <c r="B24" s="395"/>
      <c r="C24" s="386" t="s">
        <v>3412</v>
      </c>
      <c r="D24" s="387"/>
      <c r="E24" s="386" t="s">
        <v>3412</v>
      </c>
      <c r="F24" s="388"/>
      <c r="G24" s="386" t="s">
        <v>3412</v>
      </c>
      <c r="H24" s="387"/>
      <c r="I24" s="386" t="s">
        <v>3412</v>
      </c>
      <c r="J24" s="387"/>
      <c r="K24" s="541"/>
      <c r="L24" s="2491"/>
      <c r="M24" s="2486"/>
      <c r="N24" s="2486"/>
      <c r="O24" s="2486"/>
      <c r="P24" s="3356"/>
      <c r="Q24" s="1261"/>
      <c r="R24" s="666"/>
      <c r="S24" s="667"/>
      <c r="T24" s="666"/>
      <c r="U24" s="667"/>
      <c r="V24" s="666"/>
      <c r="W24" s="667"/>
      <c r="X24" s="1263"/>
      <c r="Y24" s="3358"/>
      <c r="Z24" s="1262"/>
      <c r="AA24" s="1262">
        <v>1</v>
      </c>
      <c r="AB24" s="1262">
        <v>1</v>
      </c>
      <c r="AC24" s="1262">
        <v>1</v>
      </c>
    </row>
    <row r="25" spans="1:29" ht="15">
      <c r="A25" s="367"/>
      <c r="B25" s="364" t="s">
        <v>1780</v>
      </c>
      <c r="C25" s="542" t="s">
        <v>3418</v>
      </c>
      <c r="D25" s="374">
        <v>100</v>
      </c>
      <c r="E25" s="542" t="s">
        <v>3418</v>
      </c>
      <c r="F25" s="400">
        <f>SUMIF(86:86,E25,87:87)-SUMIF(86:86,C25,87:87)+100</f>
        <v>100</v>
      </c>
      <c r="G25" s="542" t="s">
        <v>3418</v>
      </c>
      <c r="H25" s="374">
        <f>SUMIF(86:86,G25,87:87)-SUMIF(86:86,C25,87:87)+100</f>
        <v>100</v>
      </c>
      <c r="I25" s="542" t="s">
        <v>3418</v>
      </c>
      <c r="J25" s="374">
        <f>SUMIF(86:86,I25,87:87)-SUMIF(86:86,C25,87:87)+100</f>
        <v>100</v>
      </c>
      <c r="K25" s="538">
        <v>3</v>
      </c>
      <c r="L25" s="2491"/>
      <c r="M25" s="2486"/>
      <c r="N25" s="2486"/>
      <c r="O25" s="2486"/>
      <c r="P25" s="3356"/>
      <c r="Q25" s="1261" t="str">
        <f t="shared" ref="Q25:Q46" si="11">B25</f>
        <v>临街状况</v>
      </c>
      <c r="R25" s="666" t="s">
        <v>14</v>
      </c>
      <c r="S25" s="667">
        <f>F25</f>
        <v>100</v>
      </c>
      <c r="T25" s="666" t="s">
        <v>14</v>
      </c>
      <c r="U25" s="667">
        <f>H25</f>
        <v>100</v>
      </c>
      <c r="V25" s="666" t="s">
        <v>14</v>
      </c>
      <c r="W25" s="667">
        <f>J25</f>
        <v>100</v>
      </c>
      <c r="X25" s="1263"/>
      <c r="Y25" s="3358"/>
      <c r="Z25" s="1262" t="str">
        <f>Q25</f>
        <v>临街状况</v>
      </c>
      <c r="AA25" s="1262">
        <f t="shared" si="3"/>
        <v>1</v>
      </c>
      <c r="AB25" s="1262">
        <f t="shared" si="4"/>
        <v>1</v>
      </c>
      <c r="AC25" s="1262">
        <f t="shared" si="5"/>
        <v>1</v>
      </c>
    </row>
    <row r="26" spans="1:29" ht="15">
      <c r="A26" s="367"/>
      <c r="B26" s="1064" t="s">
        <v>1781</v>
      </c>
      <c r="C26" s="3152" t="s">
        <v>3441</v>
      </c>
      <c r="D26" s="374">
        <v>100</v>
      </c>
      <c r="E26" s="3152" t="s">
        <v>3441</v>
      </c>
      <c r="F26" s="400">
        <f>SUMIF(88:88,E26,89:89)-SUMIF(88:88,C26,89:89)+100</f>
        <v>100</v>
      </c>
      <c r="G26" s="3152" t="s">
        <v>3441</v>
      </c>
      <c r="H26" s="374">
        <f>SUMIF(88:88,G26,89:89)-SUMIF(88:88,C26,89:89)+100</f>
        <v>100</v>
      </c>
      <c r="I26" s="3152" t="s">
        <v>3441</v>
      </c>
      <c r="J26" s="374">
        <f>SUMIF(88:88,I26,89:89)-SUMIF(88:88,C26,89:89)+100</f>
        <v>100</v>
      </c>
      <c r="K26" s="539"/>
      <c r="L26" s="2491"/>
      <c r="M26" s="2486"/>
      <c r="N26" s="2486"/>
      <c r="O26" s="2486"/>
      <c r="P26" s="3356"/>
      <c r="Q26" s="1261" t="str">
        <f t="shared" si="11"/>
        <v>平面位置/可视性</v>
      </c>
      <c r="R26" s="666" t="s">
        <v>14</v>
      </c>
      <c r="S26" s="667">
        <f>F26</f>
        <v>100</v>
      </c>
      <c r="T26" s="666" t="s">
        <v>14</v>
      </c>
      <c r="U26" s="667">
        <f>H26</f>
        <v>100</v>
      </c>
      <c r="V26" s="666" t="s">
        <v>14</v>
      </c>
      <c r="W26" s="667">
        <f>J26</f>
        <v>100</v>
      </c>
      <c r="X26" s="1263"/>
      <c r="Y26" s="3358"/>
      <c r="Z26" s="1262" t="str">
        <f>Q26</f>
        <v>平面位置/可视性</v>
      </c>
      <c r="AA26" s="1262">
        <f t="shared" si="3"/>
        <v>1</v>
      </c>
      <c r="AB26" s="1262">
        <f t="shared" si="4"/>
        <v>1</v>
      </c>
      <c r="AC26" s="1262">
        <f t="shared" si="5"/>
        <v>1</v>
      </c>
    </row>
    <row r="27" spans="1:29" s="102" customFormat="1" ht="15">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3</v>
      </c>
      <c r="L27" s="2487"/>
      <c r="M27" s="2438"/>
      <c r="N27" s="2438"/>
      <c r="O27" s="2438"/>
      <c r="P27" s="3356"/>
      <c r="Q27" s="530" t="str">
        <f t="shared" si="11"/>
        <v>人流量</v>
      </c>
      <c r="R27" s="663" t="s">
        <v>14</v>
      </c>
      <c r="S27" s="664">
        <f>F27</f>
        <v>100</v>
      </c>
      <c r="T27" s="663" t="s">
        <v>14</v>
      </c>
      <c r="U27" s="664">
        <f>H27</f>
        <v>100</v>
      </c>
      <c r="V27" s="663" t="s">
        <v>14</v>
      </c>
      <c r="W27" s="664">
        <f>J27</f>
        <v>100</v>
      </c>
      <c r="X27" s="665"/>
      <c r="Y27" s="3358"/>
      <c r="Z27" s="50" t="str">
        <f>Q27</f>
        <v>人流量</v>
      </c>
      <c r="AA27" s="1262">
        <f>D27/F27</f>
        <v>1</v>
      </c>
      <c r="AB27" s="1262">
        <f>D27/H27</f>
        <v>1</v>
      </c>
      <c r="AC27" s="1262">
        <f>D27/J27</f>
        <v>1</v>
      </c>
    </row>
    <row r="28" spans="1:29" ht="15">
      <c r="A28" s="367"/>
      <c r="B28" s="364" t="s">
        <v>1783</v>
      </c>
      <c r="C28" s="542" t="s">
        <v>3458</v>
      </c>
      <c r="D28" s="374">
        <v>100</v>
      </c>
      <c r="E28" s="542">
        <v>1</v>
      </c>
      <c r="F28" s="400">
        <f>SUMIF(92:92,E28,93:93)-SUMIF(92:92,C28,93:93)+100</f>
        <v>125</v>
      </c>
      <c r="G28" s="542">
        <v>1</v>
      </c>
      <c r="H28" s="374">
        <f>SUMIF(92:92,G28,93:93)-SUMIF(92:92,C28,93:93)+100</f>
        <v>125</v>
      </c>
      <c r="I28" s="542">
        <v>1</v>
      </c>
      <c r="J28" s="374">
        <f>SUMIF(92:92,I28,93:93)-SUMIF(92:92,C28,93:93)+100</f>
        <v>125</v>
      </c>
      <c r="K28" s="539"/>
      <c r="L28" s="2491"/>
      <c r="M28" s="2486"/>
      <c r="N28" s="2486"/>
      <c r="O28" s="2486"/>
      <c r="P28" s="3356"/>
      <c r="Q28" s="1261" t="str">
        <f t="shared" si="11"/>
        <v>楼层</v>
      </c>
      <c r="R28" s="666" t="s">
        <v>14</v>
      </c>
      <c r="S28" s="667">
        <f t="shared" ref="S28:S46" si="12">F28</f>
        <v>125</v>
      </c>
      <c r="T28" s="666" t="s">
        <v>14</v>
      </c>
      <c r="U28" s="667">
        <f t="shared" ref="U28:U46" si="13">H28</f>
        <v>125</v>
      </c>
      <c r="V28" s="666" t="s">
        <v>14</v>
      </c>
      <c r="W28" s="667">
        <f t="shared" ref="W28:W46" si="14">J28</f>
        <v>125</v>
      </c>
      <c r="X28" s="1263"/>
      <c r="Y28" s="3358"/>
      <c r="Z28" s="1262" t="str">
        <f t="shared" ref="Z28:Z46" si="15">Q28</f>
        <v>楼层</v>
      </c>
      <c r="AA28" s="1262">
        <f t="shared" si="3"/>
        <v>0.8</v>
      </c>
      <c r="AB28" s="1262">
        <f t="shared" si="4"/>
        <v>0.8</v>
      </c>
      <c r="AC28" s="1262">
        <f t="shared" si="5"/>
        <v>0.8</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56"/>
      <c r="Q29" s="1261">
        <f t="shared" si="11"/>
        <v>111</v>
      </c>
      <c r="R29" s="666" t="s">
        <v>14</v>
      </c>
      <c r="S29" s="667">
        <f t="shared" si="12"/>
        <v>100</v>
      </c>
      <c r="T29" s="666" t="s">
        <v>14</v>
      </c>
      <c r="U29" s="667">
        <f t="shared" si="13"/>
        <v>100</v>
      </c>
      <c r="V29" s="666" t="s">
        <v>14</v>
      </c>
      <c r="W29" s="667">
        <f t="shared" si="14"/>
        <v>100</v>
      </c>
      <c r="X29" s="1263"/>
      <c r="Y29" s="3358"/>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56"/>
      <c r="Q30" s="1261">
        <f t="shared" si="11"/>
        <v>111</v>
      </c>
      <c r="R30" s="666" t="s">
        <v>14</v>
      </c>
      <c r="S30" s="667">
        <f t="shared" si="12"/>
        <v>100</v>
      </c>
      <c r="T30" s="666" t="s">
        <v>14</v>
      </c>
      <c r="U30" s="667">
        <f t="shared" si="13"/>
        <v>100</v>
      </c>
      <c r="V30" s="666" t="s">
        <v>14</v>
      </c>
      <c r="W30" s="667">
        <f t="shared" si="14"/>
        <v>100</v>
      </c>
      <c r="X30" s="1263"/>
      <c r="Y30" s="3358"/>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56"/>
      <c r="Q31" s="1261">
        <f t="shared" si="11"/>
        <v>111</v>
      </c>
      <c r="R31" s="666" t="s">
        <v>14</v>
      </c>
      <c r="S31" s="667">
        <f t="shared" si="12"/>
        <v>100</v>
      </c>
      <c r="T31" s="666" t="s">
        <v>14</v>
      </c>
      <c r="U31" s="667">
        <f t="shared" si="13"/>
        <v>100</v>
      </c>
      <c r="V31" s="666" t="s">
        <v>14</v>
      </c>
      <c r="W31" s="667">
        <f t="shared" si="14"/>
        <v>100</v>
      </c>
      <c r="X31" s="1263"/>
      <c r="Y31" s="3358"/>
      <c r="Z31" s="1262">
        <f t="shared" si="15"/>
        <v>111</v>
      </c>
      <c r="AA31" s="1262">
        <f t="shared" si="3"/>
        <v>1</v>
      </c>
      <c r="AB31" s="1262">
        <f t="shared" si="4"/>
        <v>1</v>
      </c>
      <c r="AC31" s="1262">
        <f t="shared" si="5"/>
        <v>1</v>
      </c>
    </row>
    <row r="32" spans="1:29" ht="15">
      <c r="A32" s="379" t="s">
        <v>1694</v>
      </c>
      <c r="B32" s="60" t="s">
        <v>1784</v>
      </c>
      <c r="C32" s="1762" t="s">
        <v>3429</v>
      </c>
      <c r="D32" s="405">
        <v>100</v>
      </c>
      <c r="E32" s="1762" t="s">
        <v>3429</v>
      </c>
      <c r="F32" s="400">
        <f>SUMIF(100:100,E32,101:101)-SUMIF(100:100,C32,101:101)+100</f>
        <v>100</v>
      </c>
      <c r="G32" s="1762" t="s">
        <v>3429</v>
      </c>
      <c r="H32" s="374">
        <f>SUMIF(100:100,G32,101:101)-SUMIF(100:100,C32,101:101)+100</f>
        <v>100</v>
      </c>
      <c r="I32" s="1762" t="s">
        <v>3429</v>
      </c>
      <c r="J32" s="405">
        <f>SUMIF(100:100,I32,101:101)-SUMIF(100:100,C32,101:101)+100</f>
        <v>100</v>
      </c>
      <c r="K32" s="538">
        <v>3</v>
      </c>
      <c r="L32" s="2491"/>
      <c r="M32" s="2486"/>
      <c r="N32" s="2486"/>
      <c r="O32" s="2486"/>
      <c r="P32" s="3359" t="s">
        <v>1696</v>
      </c>
      <c r="Q32" s="1261" t="str">
        <f t="shared" si="11"/>
        <v>商业类型</v>
      </c>
      <c r="R32" s="666" t="s">
        <v>14</v>
      </c>
      <c r="S32" s="667">
        <f t="shared" si="12"/>
        <v>100</v>
      </c>
      <c r="T32" s="666" t="s">
        <v>14</v>
      </c>
      <c r="U32" s="667">
        <f t="shared" si="13"/>
        <v>100</v>
      </c>
      <c r="V32" s="666" t="s">
        <v>14</v>
      </c>
      <c r="W32" s="667">
        <f t="shared" si="14"/>
        <v>100</v>
      </c>
      <c r="X32" s="1263"/>
      <c r="Y32" s="3362"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539"/>
      <c r="L33" s="2490"/>
      <c r="M33" s="2492"/>
      <c r="N33" s="2492"/>
      <c r="O33" s="2492"/>
      <c r="P33" s="3360"/>
      <c r="Q33" s="531" t="str">
        <f t="shared" si="11"/>
        <v>项目建筑规模</v>
      </c>
      <c r="R33" s="668" t="s">
        <v>14</v>
      </c>
      <c r="S33" s="669">
        <f t="shared" si="12"/>
        <v>100</v>
      </c>
      <c r="T33" s="668" t="s">
        <v>14</v>
      </c>
      <c r="U33" s="669">
        <f t="shared" si="13"/>
        <v>100</v>
      </c>
      <c r="V33" s="668" t="s">
        <v>14</v>
      </c>
      <c r="W33" s="669">
        <f t="shared" si="14"/>
        <v>100</v>
      </c>
      <c r="X33" s="670"/>
      <c r="Y33" s="3362"/>
      <c r="Z33" s="671" t="str">
        <f t="shared" si="15"/>
        <v>项目建筑规模</v>
      </c>
      <c r="AA33" s="1262">
        <f t="shared" si="3"/>
        <v>1</v>
      </c>
      <c r="AB33" s="1262">
        <f t="shared" si="4"/>
        <v>1</v>
      </c>
      <c r="AC33" s="1262">
        <f t="shared" si="5"/>
        <v>1</v>
      </c>
    </row>
    <row r="34" spans="1:29" ht="15">
      <c r="A34" s="409"/>
      <c r="B34" s="364" t="s">
        <v>1698</v>
      </c>
      <c r="C34" s="399" t="s">
        <v>3396</v>
      </c>
      <c r="D34" s="374">
        <v>100</v>
      </c>
      <c r="E34" s="399" t="s">
        <v>3396</v>
      </c>
      <c r="F34" s="400">
        <f>SUMIF(105:105,E34,106:106)-SUMIF(105:105,C34,106:106)+100</f>
        <v>100</v>
      </c>
      <c r="G34" s="399" t="s">
        <v>3396</v>
      </c>
      <c r="H34" s="374">
        <f>SUMIF(105:105,G34,106:106)-SUMIF(105:105,C34,106:106)+100</f>
        <v>100</v>
      </c>
      <c r="I34" s="399" t="s">
        <v>3396</v>
      </c>
      <c r="J34" s="374">
        <f>SUMIF(105:105,I34,106:106)-SUMIF(105:105,C34,106:106)+100</f>
        <v>100</v>
      </c>
      <c r="K34" s="538">
        <v>2</v>
      </c>
      <c r="L34" s="2491"/>
      <c r="M34" s="2486"/>
      <c r="N34" s="2486"/>
      <c r="O34" s="2486"/>
      <c r="P34" s="3360"/>
      <c r="Q34" s="1261" t="str">
        <f t="shared" si="11"/>
        <v>建筑结构</v>
      </c>
      <c r="R34" s="666" t="s">
        <v>14</v>
      </c>
      <c r="S34" s="667">
        <f t="shared" si="12"/>
        <v>100</v>
      </c>
      <c r="T34" s="666" t="s">
        <v>14</v>
      </c>
      <c r="U34" s="667">
        <f t="shared" si="13"/>
        <v>100</v>
      </c>
      <c r="V34" s="666" t="s">
        <v>14</v>
      </c>
      <c r="W34" s="667">
        <f t="shared" si="14"/>
        <v>100</v>
      </c>
      <c r="X34" s="1263"/>
      <c r="Y34" s="3362"/>
      <c r="Z34" s="1262" t="str">
        <f t="shared" si="15"/>
        <v>建筑结构</v>
      </c>
      <c r="AA34" s="1262">
        <f t="shared" si="3"/>
        <v>1</v>
      </c>
      <c r="AB34" s="1262">
        <f t="shared" si="4"/>
        <v>1</v>
      </c>
      <c r="AC34" s="1262">
        <f t="shared" si="5"/>
        <v>1</v>
      </c>
    </row>
    <row r="35" spans="1:29" ht="15">
      <c r="A35" s="409"/>
      <c r="B35" s="364" t="s">
        <v>1785</v>
      </c>
      <c r="C35" s="1758" t="s">
        <v>3432</v>
      </c>
      <c r="D35" s="374">
        <v>100</v>
      </c>
      <c r="E35" s="1758" t="s">
        <v>3432</v>
      </c>
      <c r="F35" s="400">
        <f>SUMIF(107:107,E35,108:108)-SUMIF(107:107,C35,108:108)+100</f>
        <v>100</v>
      </c>
      <c r="G35" s="1758" t="s">
        <v>3432</v>
      </c>
      <c r="H35" s="374">
        <f>SUMIF(107:107,G35,108:108)-SUMIF(107:107,C35,108:108)+100</f>
        <v>100</v>
      </c>
      <c r="I35" s="1758" t="s">
        <v>3432</v>
      </c>
      <c r="J35" s="374">
        <f>SUMIF(107:107,I35,108:108)-SUMIF(107:107,C35,108:108)+100</f>
        <v>100</v>
      </c>
      <c r="K35" s="538">
        <v>2</v>
      </c>
      <c r="L35" s="2491"/>
      <c r="M35" s="2486"/>
      <c r="N35" s="2486"/>
      <c r="O35" s="2486"/>
      <c r="P35" s="3360"/>
      <c r="Q35" s="1261" t="str">
        <f t="shared" si="11"/>
        <v>公共部分装修</v>
      </c>
      <c r="R35" s="666" t="s">
        <v>14</v>
      </c>
      <c r="S35" s="667">
        <f t="shared" si="12"/>
        <v>100</v>
      </c>
      <c r="T35" s="666" t="s">
        <v>14</v>
      </c>
      <c r="U35" s="667">
        <f t="shared" si="13"/>
        <v>100</v>
      </c>
      <c r="V35" s="666" t="s">
        <v>14</v>
      </c>
      <c r="W35" s="667">
        <f t="shared" si="14"/>
        <v>100</v>
      </c>
      <c r="X35" s="1263"/>
      <c r="Y35" s="3362"/>
      <c r="Z35" s="1262" t="str">
        <f t="shared" si="15"/>
        <v>公共部分装修</v>
      </c>
      <c r="AA35" s="1262">
        <f t="shared" si="3"/>
        <v>1</v>
      </c>
      <c r="AB35" s="1262">
        <f t="shared" si="4"/>
        <v>1</v>
      </c>
      <c r="AC35" s="1262">
        <f t="shared" si="5"/>
        <v>1</v>
      </c>
    </row>
    <row r="36" spans="1:29" ht="15">
      <c r="A36" s="409"/>
      <c r="B36" s="364" t="s">
        <v>1786</v>
      </c>
      <c r="C36" s="411">
        <f>'数据-取费表'!N6</f>
        <v>0.85</v>
      </c>
      <c r="D36" s="374">
        <v>100</v>
      </c>
      <c r="E36" s="3153">
        <f>ROUND(1-(1-0)*(2024-2014)/60,2)</f>
        <v>0.83</v>
      </c>
      <c r="F36" s="400">
        <f>LOOKUP(E36,110:110,111:111)-LOOKUP(C36,110:110,111:111)+100</f>
        <v>100</v>
      </c>
      <c r="G36" s="3153">
        <f>ROUND(1-(1-0)*(2024-2014)/60,2)</f>
        <v>0.83</v>
      </c>
      <c r="H36" s="400">
        <f>LOOKUP(G36,110:110,111:111)-LOOKUP(C36,110:110,111:111)+100</f>
        <v>100</v>
      </c>
      <c r="I36" s="3153">
        <f>ROUND(1-(1-0)*(2024-2006)/60,2)</f>
        <v>0.7</v>
      </c>
      <c r="J36" s="374">
        <f>LOOKUP(I36,110:110,111:111)-LOOKUP(C36,110:110,111:111)+100</f>
        <v>99</v>
      </c>
      <c r="K36" s="538">
        <v>1</v>
      </c>
      <c r="L36" s="2491"/>
      <c r="M36" s="2486"/>
      <c r="N36" s="2486"/>
      <c r="O36" s="2486"/>
      <c r="P36" s="3360"/>
      <c r="Q36" s="1261" t="str">
        <f t="shared" si="11"/>
        <v>成新度</v>
      </c>
      <c r="R36" s="666" t="s">
        <v>14</v>
      </c>
      <c r="S36" s="667">
        <f t="shared" si="12"/>
        <v>100</v>
      </c>
      <c r="T36" s="666" t="s">
        <v>14</v>
      </c>
      <c r="U36" s="667">
        <f t="shared" si="13"/>
        <v>100</v>
      </c>
      <c r="V36" s="666" t="s">
        <v>14</v>
      </c>
      <c r="W36" s="667">
        <f t="shared" si="14"/>
        <v>99</v>
      </c>
      <c r="X36" s="1263"/>
      <c r="Y36" s="3362"/>
      <c r="Z36" s="1262" t="str">
        <f t="shared" si="15"/>
        <v>成新度</v>
      </c>
      <c r="AA36" s="1262">
        <f t="shared" si="3"/>
        <v>1</v>
      </c>
      <c r="AB36" s="1262">
        <f t="shared" si="4"/>
        <v>1</v>
      </c>
      <c r="AC36" s="1262">
        <f t="shared" si="5"/>
        <v>1.0101010101010102</v>
      </c>
    </row>
    <row r="37" spans="1:29" s="102" customFormat="1" ht="15">
      <c r="A37" s="410"/>
      <c r="B37" s="364" t="s">
        <v>1787</v>
      </c>
      <c r="C37" s="1758" t="s">
        <v>3410</v>
      </c>
      <c r="D37" s="119">
        <v>100</v>
      </c>
      <c r="E37" s="1758" t="s">
        <v>3410</v>
      </c>
      <c r="F37" s="400">
        <f>SUMIF(112:112,E37,113:113)-SUMIF(112:112,C37,113:113)+100</f>
        <v>100</v>
      </c>
      <c r="G37" s="1758" t="s">
        <v>3410</v>
      </c>
      <c r="H37" s="374">
        <f>SUMIF(112:112,G37,113:113)-SUMIF(112:112,C37,113:113)+100</f>
        <v>100</v>
      </c>
      <c r="I37" s="1758" t="s">
        <v>3410</v>
      </c>
      <c r="J37" s="374">
        <f>SUMIF(112:112,I37,113:113)-SUMIF(112:112,C37,113:113)+100</f>
        <v>100</v>
      </c>
      <c r="K37" s="538">
        <v>1</v>
      </c>
      <c r="L37" s="2487"/>
      <c r="M37" s="2438"/>
      <c r="N37" s="2438"/>
      <c r="O37" s="2438"/>
      <c r="P37" s="3360"/>
      <c r="Q37" s="530" t="str">
        <f t="shared" si="11"/>
        <v>市政基础设施</v>
      </c>
      <c r="R37" s="663" t="s">
        <v>14</v>
      </c>
      <c r="S37" s="664">
        <f t="shared" si="12"/>
        <v>100</v>
      </c>
      <c r="T37" s="663" t="s">
        <v>14</v>
      </c>
      <c r="U37" s="664">
        <f t="shared" si="13"/>
        <v>100</v>
      </c>
      <c r="V37" s="663" t="s">
        <v>14</v>
      </c>
      <c r="W37" s="664">
        <f t="shared" si="14"/>
        <v>100</v>
      </c>
      <c r="X37" s="665"/>
      <c r="Y37" s="3362"/>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60" t="s">
        <v>1696</v>
      </c>
      <c r="Q38" s="1261" t="str">
        <f t="shared" si="11"/>
        <v>业态</v>
      </c>
      <c r="R38" s="666" t="s">
        <v>14</v>
      </c>
      <c r="S38" s="667">
        <f t="shared" si="12"/>
        <v>100</v>
      </c>
      <c r="T38" s="666" t="s">
        <v>14</v>
      </c>
      <c r="U38" s="667">
        <f t="shared" si="13"/>
        <v>100</v>
      </c>
      <c r="V38" s="666" t="s">
        <v>14</v>
      </c>
      <c r="W38" s="667">
        <f t="shared" si="14"/>
        <v>100</v>
      </c>
      <c r="X38" s="1263"/>
      <c r="Y38" s="3362" t="s">
        <v>1696</v>
      </c>
      <c r="Z38" s="1262" t="str">
        <f t="shared" si="15"/>
        <v>业态</v>
      </c>
      <c r="AA38" s="1262">
        <f t="shared" si="3"/>
        <v>1</v>
      </c>
      <c r="AB38" s="1262">
        <f t="shared" si="4"/>
        <v>1</v>
      </c>
      <c r="AC38" s="1262">
        <f t="shared" si="5"/>
        <v>1</v>
      </c>
    </row>
    <row r="39" spans="1:29" ht="15">
      <c r="A39" s="409"/>
      <c r="B39" s="364" t="s">
        <v>1789</v>
      </c>
      <c r="C39" s="1758" t="s">
        <v>3438</v>
      </c>
      <c r="D39" s="374">
        <v>100</v>
      </c>
      <c r="E39" s="1758" t="s">
        <v>3438</v>
      </c>
      <c r="F39" s="400">
        <f>SUMIF(116:116,E39,117:117)-SUMIF(116:116,C39,117:117)+100</f>
        <v>100</v>
      </c>
      <c r="G39" s="1758" t="s">
        <v>3438</v>
      </c>
      <c r="H39" s="374">
        <f>SUMIF(116:116,G39,117:117)-SUMIF(116:116,C39,117:117)+100</f>
        <v>100</v>
      </c>
      <c r="I39" s="1758" t="s">
        <v>3438</v>
      </c>
      <c r="J39" s="374">
        <f>SUMIF(116:116,I39,117:117)-SUMIF(116:116,C39,117:117)+100</f>
        <v>100</v>
      </c>
      <c r="K39" s="538">
        <v>5</v>
      </c>
      <c r="L39" s="2491"/>
      <c r="M39" s="2486"/>
      <c r="N39" s="2486"/>
      <c r="O39" s="2486"/>
      <c r="P39" s="3360"/>
      <c r="Q39" s="1261" t="str">
        <f t="shared" si="11"/>
        <v>层高</v>
      </c>
      <c r="R39" s="666" t="s">
        <v>14</v>
      </c>
      <c r="S39" s="667">
        <f t="shared" si="12"/>
        <v>100</v>
      </c>
      <c r="T39" s="666" t="s">
        <v>14</v>
      </c>
      <c r="U39" s="667">
        <f t="shared" si="13"/>
        <v>100</v>
      </c>
      <c r="V39" s="666" t="s">
        <v>14</v>
      </c>
      <c r="W39" s="667">
        <f t="shared" si="14"/>
        <v>100</v>
      </c>
      <c r="X39" s="1263"/>
      <c r="Y39" s="3362"/>
      <c r="Z39" s="1262" t="str">
        <f t="shared" si="15"/>
        <v>层高</v>
      </c>
      <c r="AA39" s="1262">
        <f t="shared" si="3"/>
        <v>1</v>
      </c>
      <c r="AB39" s="1262">
        <f t="shared" si="4"/>
        <v>1</v>
      </c>
      <c r="AC39" s="1262">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60"/>
      <c r="Q40" s="1261" t="str">
        <f t="shared" si="11"/>
        <v>单套建筑面积</v>
      </c>
      <c r="R40" s="666" t="s">
        <v>14</v>
      </c>
      <c r="S40" s="667">
        <f t="shared" si="12"/>
        <v>100</v>
      </c>
      <c r="T40" s="666" t="s">
        <v>14</v>
      </c>
      <c r="U40" s="667">
        <f t="shared" si="13"/>
        <v>100</v>
      </c>
      <c r="V40" s="666" t="s">
        <v>14</v>
      </c>
      <c r="W40" s="667">
        <f t="shared" si="14"/>
        <v>100</v>
      </c>
      <c r="X40" s="1263"/>
      <c r="Y40" s="336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0"/>
      <c r="Q41" s="531" t="str">
        <f t="shared" si="11"/>
        <v>进深比</v>
      </c>
      <c r="R41" s="668" t="s">
        <v>14</v>
      </c>
      <c r="S41" s="669">
        <f t="shared" si="12"/>
        <v>100</v>
      </c>
      <c r="T41" s="668" t="s">
        <v>14</v>
      </c>
      <c r="U41" s="669">
        <f t="shared" si="13"/>
        <v>100</v>
      </c>
      <c r="V41" s="668" t="s">
        <v>14</v>
      </c>
      <c r="W41" s="669">
        <f t="shared" si="14"/>
        <v>100</v>
      </c>
      <c r="X41" s="670"/>
      <c r="Y41" s="3362"/>
      <c r="Z41" s="671" t="str">
        <f t="shared" si="15"/>
        <v>进深比</v>
      </c>
      <c r="AA41" s="1262">
        <f t="shared" si="3"/>
        <v>1</v>
      </c>
      <c r="AB41" s="1262">
        <f t="shared" si="4"/>
        <v>1</v>
      </c>
      <c r="AC41" s="1262">
        <f t="shared" si="5"/>
        <v>1</v>
      </c>
    </row>
    <row r="42" spans="1:29" ht="15">
      <c r="A42" s="409"/>
      <c r="B42" s="364" t="s">
        <v>1792</v>
      </c>
      <c r="C42" s="1758" t="s">
        <v>3431</v>
      </c>
      <c r="D42" s="374">
        <v>100</v>
      </c>
      <c r="E42" s="1758" t="s">
        <v>3431</v>
      </c>
      <c r="F42" s="400">
        <f>SUMIF(122:122,E42,123:123)-SUMIF(122:122,C42,123:123)+100</f>
        <v>100</v>
      </c>
      <c r="G42" s="1758" t="s">
        <v>3431</v>
      </c>
      <c r="H42" s="374">
        <f>SUMIF(122:122,G42,123:123)-SUMIF(122:122,C42,123:123)+100</f>
        <v>100</v>
      </c>
      <c r="I42" s="1758" t="s">
        <v>3431</v>
      </c>
      <c r="J42" s="374">
        <f>SUMIF(122:122,I42,123:123)-SUMIF(122:122,C42,123:123)+100</f>
        <v>100</v>
      </c>
      <c r="K42" s="538">
        <v>1</v>
      </c>
      <c r="L42" s="2491"/>
      <c r="M42" s="2486"/>
      <c r="N42" s="2486"/>
      <c r="O42" s="2486"/>
      <c r="P42" s="3360"/>
      <c r="Q42" s="1261" t="str">
        <f t="shared" si="11"/>
        <v>内部装修</v>
      </c>
      <c r="R42" s="666" t="s">
        <v>14</v>
      </c>
      <c r="S42" s="667">
        <f t="shared" si="12"/>
        <v>100</v>
      </c>
      <c r="T42" s="666" t="s">
        <v>14</v>
      </c>
      <c r="U42" s="667">
        <f t="shared" si="13"/>
        <v>100</v>
      </c>
      <c r="V42" s="666" t="s">
        <v>14</v>
      </c>
      <c r="W42" s="667">
        <f t="shared" si="14"/>
        <v>100</v>
      </c>
      <c r="X42" s="1263"/>
      <c r="Y42" s="3362"/>
      <c r="Z42" s="1262" t="str">
        <f t="shared" si="15"/>
        <v>内部装修</v>
      </c>
      <c r="AA42" s="1262">
        <f t="shared" si="3"/>
        <v>1</v>
      </c>
      <c r="AB42" s="1262">
        <f t="shared" si="4"/>
        <v>1</v>
      </c>
      <c r="AC42" s="1262">
        <f t="shared" si="5"/>
        <v>1</v>
      </c>
    </row>
    <row r="43" spans="1:29" ht="15">
      <c r="A43" s="409"/>
      <c r="B43" s="364" t="s">
        <v>1707</v>
      </c>
      <c r="C43" s="1758" t="s">
        <v>3421</v>
      </c>
      <c r="D43" s="374">
        <v>100</v>
      </c>
      <c r="E43" s="1758" t="s">
        <v>3421</v>
      </c>
      <c r="F43" s="400">
        <f>SUMIF(124:124,E43,125:125)-SUMIF(124:124,C43,125:125)+100</f>
        <v>100</v>
      </c>
      <c r="G43" s="1758" t="s">
        <v>3421</v>
      </c>
      <c r="H43" s="374">
        <f>SUMIF(124:124,G43,125:125)-SUMIF(124:124,C43,125:125)+100</f>
        <v>100</v>
      </c>
      <c r="I43" s="1758" t="s">
        <v>3421</v>
      </c>
      <c r="J43" s="374">
        <f>SUMIF(124:124,I43,125:125)-SUMIF(124:124,C43,125:125)+100</f>
        <v>100</v>
      </c>
      <c r="K43" s="538">
        <v>2</v>
      </c>
      <c r="L43" s="2491"/>
      <c r="M43" s="2486"/>
      <c r="N43" s="2486"/>
      <c r="O43" s="2486"/>
      <c r="P43" s="3360"/>
      <c r="Q43" s="1261" t="str">
        <f t="shared" si="11"/>
        <v>内部装修维护情况</v>
      </c>
      <c r="R43" s="666" t="s">
        <v>14</v>
      </c>
      <c r="S43" s="667">
        <f t="shared" si="12"/>
        <v>100</v>
      </c>
      <c r="T43" s="666" t="s">
        <v>14</v>
      </c>
      <c r="U43" s="667">
        <f t="shared" si="13"/>
        <v>100</v>
      </c>
      <c r="V43" s="666" t="s">
        <v>14</v>
      </c>
      <c r="W43" s="667">
        <f t="shared" si="14"/>
        <v>100</v>
      </c>
      <c r="X43" s="1263"/>
      <c r="Y43" s="3362"/>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60"/>
      <c r="Q44" s="530">
        <f t="shared" si="11"/>
        <v>111</v>
      </c>
      <c r="R44" s="663" t="s">
        <v>14</v>
      </c>
      <c r="S44" s="664">
        <f t="shared" si="12"/>
        <v>100</v>
      </c>
      <c r="T44" s="663" t="s">
        <v>14</v>
      </c>
      <c r="U44" s="664">
        <f t="shared" si="13"/>
        <v>100</v>
      </c>
      <c r="V44" s="663" t="s">
        <v>14</v>
      </c>
      <c r="W44" s="664">
        <f t="shared" si="14"/>
        <v>100</v>
      </c>
      <c r="X44" s="665"/>
      <c r="Y44" s="3362"/>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0"/>
      <c r="Q45" s="1261">
        <f t="shared" si="11"/>
        <v>111</v>
      </c>
      <c r="R45" s="666" t="s">
        <v>14</v>
      </c>
      <c r="S45" s="667">
        <f t="shared" si="12"/>
        <v>100</v>
      </c>
      <c r="T45" s="666" t="s">
        <v>14</v>
      </c>
      <c r="U45" s="667">
        <f t="shared" si="13"/>
        <v>100</v>
      </c>
      <c r="V45" s="666" t="s">
        <v>14</v>
      </c>
      <c r="W45" s="667">
        <f t="shared" si="14"/>
        <v>100</v>
      </c>
      <c r="X45" s="1263"/>
      <c r="Y45" s="3362"/>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1"/>
      <c r="Q46" s="1261">
        <f t="shared" si="11"/>
        <v>111</v>
      </c>
      <c r="R46" s="666" t="s">
        <v>14</v>
      </c>
      <c r="S46" s="667">
        <f t="shared" si="12"/>
        <v>100</v>
      </c>
      <c r="T46" s="666" t="s">
        <v>14</v>
      </c>
      <c r="U46" s="667">
        <f t="shared" si="13"/>
        <v>100</v>
      </c>
      <c r="V46" s="666" t="s">
        <v>14</v>
      </c>
      <c r="W46" s="667">
        <f t="shared" si="14"/>
        <v>100</v>
      </c>
      <c r="X46" s="1263"/>
      <c r="Y46" s="3363"/>
      <c r="Z46" s="1262">
        <f t="shared" si="15"/>
        <v>111</v>
      </c>
      <c r="AA46" s="1262">
        <f t="shared" si="3"/>
        <v>1</v>
      </c>
      <c r="AB46" s="1262">
        <f t="shared" si="4"/>
        <v>1</v>
      </c>
      <c r="AC46" s="1262">
        <f t="shared" si="5"/>
        <v>1</v>
      </c>
    </row>
    <row r="47" spans="1:29" ht="15">
      <c r="A47" s="416" t="s">
        <v>1708</v>
      </c>
      <c r="B47" s="417"/>
      <c r="C47" s="1079" t="s">
        <v>0</v>
      </c>
      <c r="D47" s="418"/>
      <c r="E47" s="419">
        <v>70000</v>
      </c>
      <c r="F47" s="420"/>
      <c r="G47" s="421">
        <f>E47</f>
        <v>70000</v>
      </c>
      <c r="H47" s="422"/>
      <c r="I47" s="419">
        <f>G47</f>
        <v>70000</v>
      </c>
      <c r="J47" s="422"/>
      <c r="K47" s="673"/>
      <c r="L47" s="2493"/>
      <c r="M47" s="2486"/>
      <c r="N47" s="2486"/>
      <c r="O47" s="2486"/>
      <c r="P47" s="3350" t="str">
        <f>A47</f>
        <v>成交单价（元/平方米）</v>
      </c>
      <c r="Q47" s="3350"/>
      <c r="R47" s="3351">
        <f>E47</f>
        <v>70000</v>
      </c>
      <c r="S47" s="3351"/>
      <c r="T47" s="3351">
        <f>G47</f>
        <v>70000</v>
      </c>
      <c r="U47" s="3351"/>
      <c r="V47" s="3351">
        <f>I47</f>
        <v>70000</v>
      </c>
      <c r="W47" s="3351"/>
      <c r="X47" s="385"/>
      <c r="Y47" s="672"/>
      <c r="Z47" s="385"/>
      <c r="AA47" s="385"/>
      <c r="AB47" s="385"/>
      <c r="AC47" s="385"/>
    </row>
    <row r="48" spans="1:29" ht="15.75" thickBot="1">
      <c r="A48" s="423" t="s">
        <v>1793</v>
      </c>
      <c r="B48" s="424"/>
      <c r="C48" s="1080">
        <f>R49</f>
        <v>55087</v>
      </c>
      <c r="D48" s="2139" t="s">
        <v>2138</v>
      </c>
      <c r="E48" s="1081">
        <f>R48</f>
        <v>54902</v>
      </c>
      <c r="F48" s="2140"/>
      <c r="G48" s="1080">
        <f>T48</f>
        <v>54902</v>
      </c>
      <c r="H48" s="2140"/>
      <c r="I48" s="1081">
        <f>V48</f>
        <v>55457</v>
      </c>
      <c r="J48" s="2140"/>
      <c r="K48" s="2142">
        <f>F48+H48+J48</f>
        <v>0</v>
      </c>
      <c r="L48" s="2493"/>
      <c r="M48" s="2486"/>
      <c r="N48" s="2486"/>
      <c r="O48" s="2486"/>
      <c r="P48" s="3350" t="str">
        <f>A48</f>
        <v>比较价值（元/平方米）</v>
      </c>
      <c r="Q48" s="3350"/>
      <c r="R48" s="3351">
        <f>IF(F1="售价",ROUND(PRODUCT(R47,AA7:AA46),0),ROUND(PRODUCT(R47,AA7:AA46),1))</f>
        <v>54902</v>
      </c>
      <c r="S48" s="3351"/>
      <c r="T48" s="3351">
        <f>IF(F1="售价",ROUND(PRODUCT(T47,AB7:AB46),0),ROUND(PRODUCT(T47,AB7:AB46),1))</f>
        <v>54902</v>
      </c>
      <c r="U48" s="3351"/>
      <c r="V48" s="3351">
        <f>IF(F1="售价",ROUND(PRODUCT(V47,AC7:AC46),0),ROUND(PRODUCT(V47,AC7:AC46),1))</f>
        <v>55457</v>
      </c>
      <c r="W48" s="3351"/>
      <c r="X48" s="385"/>
      <c r="Y48" s="385"/>
      <c r="Z48" s="385"/>
      <c r="AA48" s="385"/>
      <c r="AB48" s="385"/>
      <c r="AC48" s="385"/>
    </row>
    <row r="49" spans="1:29" ht="15.75" thickBot="1">
      <c r="A49" s="427" t="s">
        <v>1794</v>
      </c>
      <c r="B49" s="428"/>
      <c r="C49" s="351">
        <f>R49</f>
        <v>55087</v>
      </c>
      <c r="D49" s="351"/>
      <c r="E49" s="351"/>
      <c r="F49" s="351"/>
      <c r="G49" s="351"/>
      <c r="H49" s="351"/>
      <c r="I49" s="351"/>
      <c r="J49" s="351"/>
      <c r="K49" s="674"/>
      <c r="L49" s="2493"/>
      <c r="M49" s="2486"/>
      <c r="N49" s="2486"/>
      <c r="O49" s="2486"/>
      <c r="P49" s="3352" t="str">
        <f>A49</f>
        <v>估价对象XX用房的比较价值（楼面单价，元/平方米）</v>
      </c>
      <c r="Q49" s="3353"/>
      <c r="R49" s="3354">
        <f>IF(F1="售价",ROUND(IF(D48="简单平均",AVERAGE(R48:V48),R48*F48+T48*H48+V48*J48),0),ROUND(IF(D48="简单平均",AVERAGE(R48:V48),R48*F48+T48*H48+V48*J48),1))</f>
        <v>55087</v>
      </c>
      <c r="S49" s="3354"/>
      <c r="T49" s="3354"/>
      <c r="U49" s="3354"/>
      <c r="V49" s="3354"/>
      <c r="W49" s="335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0.27499908928636474</v>
      </c>
      <c r="F52" s="435" t="str">
        <f>IF(OR(E52&gt;=0.3,E52&lt;=-0.3),"超过30%","")</f>
        <v/>
      </c>
      <c r="G52" s="434">
        <f>IF(G47&lt;G48,G48/G47-1,G47/G48-1)</f>
        <v>0.27499908928636474</v>
      </c>
      <c r="H52" s="435" t="str">
        <f>IF(OR(G52&gt;=0.3,G52&lt;=-0.3),"超过30%","")</f>
        <v/>
      </c>
      <c r="I52" s="434">
        <f>IF(I47&lt;I48,I48/I47-1,I47/I48-1)</f>
        <v>0.26223921236273151</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v>
      </c>
      <c r="F53" s="435" t="str">
        <f>IF(OR(E53&gt;=0.2,E53&lt;=-0.2),"超过20%","")</f>
        <v/>
      </c>
      <c r="G53" s="434">
        <f>IF(G48&lt;I48,I48/G48-1,G48/I48-1)</f>
        <v>1.0108921350770572E-2</v>
      </c>
      <c r="H53" s="435" t="str">
        <f>IF(OR(G53&gt;=0.2,G53&lt;=-0.2),"超过20%","")</f>
        <v/>
      </c>
      <c r="I53" s="434">
        <f>IF(I48&lt;E48,E48/I48-1,I48/E48-1)</f>
        <v>1.0108921350770572E-2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2024-7</v>
      </c>
      <c r="D58" s="1102">
        <f>EDATE(C58,-1)</f>
        <v>45444</v>
      </c>
      <c r="E58" s="1102">
        <f t="shared" ref="E58:N58" si="16">EDATE(D58,-1)</f>
        <v>45413</v>
      </c>
      <c r="F58" s="1102">
        <f t="shared" si="16"/>
        <v>45383</v>
      </c>
      <c r="G58" s="1102">
        <f t="shared" si="16"/>
        <v>45352</v>
      </c>
      <c r="H58" s="1102">
        <f t="shared" si="16"/>
        <v>45323</v>
      </c>
      <c r="I58" s="1102">
        <f t="shared" si="16"/>
        <v>45292</v>
      </c>
      <c r="J58" s="1102">
        <f t="shared" si="16"/>
        <v>45261</v>
      </c>
      <c r="K58" s="1102">
        <f t="shared" si="16"/>
        <v>45231</v>
      </c>
      <c r="L58" s="1102">
        <f t="shared" si="16"/>
        <v>45200</v>
      </c>
      <c r="M58" s="1102">
        <f t="shared" si="16"/>
        <v>45170</v>
      </c>
      <c r="N58" s="1102">
        <f t="shared" si="16"/>
        <v>45139</v>
      </c>
      <c r="O58" s="1102">
        <f>EDATE(N58,-1)</f>
        <v>45108</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v>100</v>
      </c>
      <c r="E59" s="446">
        <v>100</v>
      </c>
      <c r="F59" s="446">
        <v>100</v>
      </c>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44" t="s">
        <v>3398</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3452</v>
      </c>
      <c r="D65" s="3156" t="s">
        <v>3453</v>
      </c>
      <c r="E65" s="3156" t="s">
        <v>3454</v>
      </c>
      <c r="F65" s="3156" t="s">
        <v>3455</v>
      </c>
      <c r="G65" s="3156" t="s">
        <v>3456</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C66+1</f>
        <v>101</v>
      </c>
      <c r="E66" s="467">
        <f t="shared" ref="E66:G66" si="17">D66+1</f>
        <v>102</v>
      </c>
      <c r="F66" s="467">
        <f t="shared" si="17"/>
        <v>103</v>
      </c>
      <c r="G66" s="467">
        <f t="shared" si="17"/>
        <v>104</v>
      </c>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8" t="s">
        <v>3415</v>
      </c>
      <c r="D86" s="3148" t="s">
        <v>3416</v>
      </c>
      <c r="E86" s="3148" t="s">
        <v>3417</v>
      </c>
      <c r="F86" s="3148" t="s">
        <v>3419</v>
      </c>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8" t="s">
        <v>3420</v>
      </c>
      <c r="D88" s="3148" t="s">
        <v>3421</v>
      </c>
      <c r="E88" s="3148" t="s">
        <v>3412</v>
      </c>
      <c r="F88" s="3149" t="s">
        <v>3422</v>
      </c>
      <c r="G88" s="3148" t="s">
        <v>3423</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v>98</v>
      </c>
      <c r="E89" s="467">
        <v>96</v>
      </c>
      <c r="F89" s="467">
        <v>94</v>
      </c>
      <c r="G89" s="467">
        <v>92</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8" t="s">
        <v>3424</v>
      </c>
      <c r="D90" s="3148" t="s">
        <v>3425</v>
      </c>
      <c r="E90" s="3148" t="s">
        <v>3412</v>
      </c>
      <c r="F90" s="3148" t="s">
        <v>3426</v>
      </c>
      <c r="G90" s="3148" t="s">
        <v>3427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v>1</v>
      </c>
      <c r="D92" s="3497" t="s">
        <v>3457</v>
      </c>
      <c r="E92" s="485"/>
      <c r="F92" s="485"/>
      <c r="G92" s="485"/>
      <c r="H92" s="485"/>
      <c r="I92" s="485"/>
      <c r="J92" s="485"/>
      <c r="K92" s="485"/>
      <c r="L92" s="510"/>
      <c r="M92" s="511"/>
      <c r="N92" s="2520"/>
      <c r="O92" s="2520">
        <v>100</v>
      </c>
      <c r="P92" s="2512"/>
      <c r="Q92" s="2507"/>
      <c r="R92" s="2486"/>
      <c r="S92" s="2486"/>
      <c r="T92" s="2486"/>
      <c r="U92" s="2486"/>
      <c r="V92" s="2486"/>
      <c r="W92" s="2486"/>
      <c r="X92" s="2486"/>
      <c r="Y92" s="2486"/>
      <c r="Z92" s="2486"/>
      <c r="AA92" s="2486"/>
      <c r="AB92" s="2486"/>
      <c r="AC92" s="2486"/>
    </row>
    <row r="93" spans="1:29" ht="15.75" thickBot="1">
      <c r="A93" s="367"/>
      <c r="B93" s="474"/>
      <c r="C93" s="467">
        <v>125</v>
      </c>
      <c r="D93" s="467">
        <v>100</v>
      </c>
      <c r="E93" s="467"/>
      <c r="F93" s="467"/>
      <c r="G93" s="467"/>
      <c r="H93" s="467"/>
      <c r="I93" s="467"/>
      <c r="J93" s="467"/>
      <c r="K93" s="467"/>
      <c r="L93" s="467"/>
      <c r="M93" s="468"/>
      <c r="N93" s="2521"/>
      <c r="O93" s="2521">
        <v>80</v>
      </c>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v>80</v>
      </c>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50" t="s">
        <v>3430</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300(含)-500</v>
      </c>
      <c r="G102" s="509" t="str">
        <f t="shared" si="24"/>
        <v>500(含)-800</v>
      </c>
      <c r="H102" s="509" t="str">
        <f t="shared" si="24"/>
        <v>800(含)-</v>
      </c>
      <c r="I102" s="509" t="str">
        <f t="shared" si="24"/>
        <v>(含)-</v>
      </c>
      <c r="J102" s="509" t="str">
        <f t="shared" si="24"/>
        <v>(含)-</v>
      </c>
      <c r="K102" s="509" t="str">
        <f t="shared" si="24"/>
        <v>(含)-</v>
      </c>
      <c r="L102" s="509" t="str">
        <f t="shared" si="24"/>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800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C104-2</f>
        <v>98</v>
      </c>
      <c r="E104" s="467">
        <f t="shared" ref="E104:H104" si="25">D104-2</f>
        <v>96</v>
      </c>
      <c r="F104" s="467">
        <f t="shared" si="25"/>
        <v>94</v>
      </c>
      <c r="G104" s="467">
        <f t="shared" si="25"/>
        <v>92</v>
      </c>
      <c r="H104" s="467">
        <f t="shared" si="25"/>
        <v>90</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8" t="s">
        <v>3428</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8" t="s">
        <v>3431</v>
      </c>
      <c r="D107" s="3148" t="s">
        <v>3432</v>
      </c>
      <c r="E107" s="3148" t="s">
        <v>3433</v>
      </c>
      <c r="F107" s="3151" t="s">
        <v>3434</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48" t="s">
        <v>3435</v>
      </c>
      <c r="D112" s="3148" t="s">
        <v>3436</v>
      </c>
      <c r="E112" s="3148" t="s">
        <v>3437</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48" t="s">
        <v>3440</v>
      </c>
      <c r="D116" s="3148" t="s">
        <v>3439</v>
      </c>
      <c r="E116" s="3148"/>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8" t="s">
        <v>3431</v>
      </c>
      <c r="D122" s="3148" t="s">
        <v>3432</v>
      </c>
      <c r="E122" s="3148" t="s">
        <v>3433</v>
      </c>
      <c r="F122" s="3151" t="s">
        <v>3434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v>115</v>
      </c>
      <c r="D1" s="1269" t="s">
        <v>43</v>
      </c>
      <c r="E1" s="1270" t="s">
        <v>678</v>
      </c>
      <c r="F1" s="998">
        <f ca="1">J53</f>
        <v>19.809999999999999</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f ca="1">ROUND(D2/10000,4)</f>
        <v>13508.627500000001</v>
      </c>
      <c r="C2" s="1287" t="s">
        <v>879</v>
      </c>
      <c r="D2" s="1373">
        <f ca="1">C40+J29+L46</f>
        <v>135086275</v>
      </c>
      <c r="E2" s="1293" t="s">
        <v>880</v>
      </c>
      <c r="F2" s="1294"/>
      <c r="G2" s="2477"/>
      <c r="H2" s="2467"/>
      <c r="I2" s="2467"/>
      <c r="J2" s="2467"/>
      <c r="K2" s="2468"/>
      <c r="L2" s="2467"/>
      <c r="M2" s="2467"/>
    </row>
    <row r="3" spans="1:37" ht="18" customHeight="1" thickBot="1">
      <c r="A3" s="1295" t="s">
        <v>881</v>
      </c>
      <c r="B3" s="1296">
        <f ca="1">IF(ISERROR(D2/F43),0,ROUND(D2/F43,0))</f>
        <v>59533</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6">
        <f ca="1">C6+C10+C12</f>
        <v>11816909</v>
      </c>
      <c r="D5" s="1271" t="s">
        <v>889</v>
      </c>
      <c r="E5" s="1007"/>
      <c r="F5" s="1008"/>
      <c r="G5" s="1290"/>
      <c r="H5" s="291">
        <v>1</v>
      </c>
      <c r="I5" s="292" t="s">
        <v>888</v>
      </c>
      <c r="J5" s="1006">
        <f ca="1">J6+J10+J12</f>
        <v>0</v>
      </c>
      <c r="K5" s="1271" t="s">
        <v>889</v>
      </c>
      <c r="L5" s="1007"/>
      <c r="M5" s="1008"/>
    </row>
    <row r="6" spans="1:37" ht="18" customHeight="1">
      <c r="A6" s="1005" t="s">
        <v>398</v>
      </c>
      <c r="B6" s="3347" t="s">
        <v>694</v>
      </c>
      <c r="C6" s="1010">
        <f ca="1">ROUND(F6*F8*F7*(1-F9),0)</f>
        <v>11802156</v>
      </c>
      <c r="D6" s="147" t="s">
        <v>2106</v>
      </c>
      <c r="E6" s="294" t="s">
        <v>696</v>
      </c>
      <c r="F6" s="295">
        <f ca="1">INDIRECT("'数据-取费表'!u"&amp;$G$1)</f>
        <v>15</v>
      </c>
      <c r="G6" s="1290"/>
      <c r="H6" s="1005" t="s">
        <v>398</v>
      </c>
      <c r="I6" s="3347" t="s">
        <v>694</v>
      </c>
      <c r="J6" s="293">
        <f ca="1">ROUND(M6*M8*M7*(1-M9),0)</f>
        <v>0</v>
      </c>
      <c r="K6" s="1282" t="s">
        <v>2107</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2269.1</v>
      </c>
      <c r="G7" s="1290"/>
      <c r="H7" s="296"/>
      <c r="I7" s="3348"/>
      <c r="J7" s="298"/>
      <c r="K7" s="299"/>
      <c r="L7" s="294" t="s">
        <v>697</v>
      </c>
      <c r="M7" s="295">
        <f ca="1">F7</f>
        <v>2269.1</v>
      </c>
    </row>
    <row r="8" spans="1:37" ht="18" customHeight="1">
      <c r="A8" s="296"/>
      <c r="B8" s="3348"/>
      <c r="C8" s="298"/>
      <c r="D8" s="299"/>
      <c r="E8" s="294" t="s">
        <v>698</v>
      </c>
      <c r="F8" s="295">
        <f ca="1">INDIRECT("'数据-取费表'!ai"&amp;$G$1)</f>
        <v>365</v>
      </c>
      <c r="G8" s="1290"/>
      <c r="H8" s="296"/>
      <c r="I8" s="3348"/>
      <c r="J8" s="298"/>
      <c r="K8" s="299"/>
      <c r="L8" s="294" t="s">
        <v>698</v>
      </c>
      <c r="M8" s="295">
        <f ca="1">INDIRECT("'数据-取费表'!ai"&amp;$G$1)</f>
        <v>365</v>
      </c>
    </row>
    <row r="9" spans="1:37" ht="18" customHeight="1">
      <c r="A9" s="296"/>
      <c r="B9" s="3349"/>
      <c r="C9" s="298"/>
      <c r="D9" s="299"/>
      <c r="E9" s="294" t="s">
        <v>699</v>
      </c>
      <c r="F9" s="304">
        <f ca="1">INDIRECT("'数据-取费表'!w"&amp;$G$1)</f>
        <v>0.05</v>
      </c>
      <c r="G9" s="1290"/>
      <c r="H9" s="296"/>
      <c r="I9" s="3349"/>
      <c r="J9" s="298"/>
      <c r="K9" s="299"/>
      <c r="L9" s="305" t="s">
        <v>699</v>
      </c>
      <c r="M9" s="306">
        <f ca="1">INDIRECT("'数据-取费表'!ab"&amp;$G$1)</f>
        <v>0</v>
      </c>
    </row>
    <row r="10" spans="1:37" ht="18" customHeight="1">
      <c r="A10" s="1005" t="s">
        <v>402</v>
      </c>
      <c r="B10" s="1272" t="s">
        <v>700</v>
      </c>
      <c r="C10" s="308">
        <f ca="1">ROUND(IF(F10="押一",C6/12*F11,IF(F10="押二",C6/12*2*F11,IF(F10="押三",C6/12*3*F11,C11*F11))),0)</f>
        <v>14753</v>
      </c>
      <c r="D10" s="150" t="s">
        <v>2116</v>
      </c>
      <c r="E10" s="305" t="s">
        <v>701</v>
      </c>
      <c r="F10" s="1051" t="s">
        <v>3395</v>
      </c>
      <c r="G10" s="1290"/>
      <c r="H10" s="1005" t="s">
        <v>402</v>
      </c>
      <c r="I10" s="1272" t="s">
        <v>700</v>
      </c>
      <c r="J10" s="293">
        <f ca="1">ROUND(IF(M10="押一",J6/12*M11,IF(M10="押二",J6/12*2*M11,IF(M10="押三",J6/12*3*M11,J11*M11))),0)</f>
        <v>0</v>
      </c>
      <c r="K10" s="1283" t="s">
        <v>2118</v>
      </c>
      <c r="L10" s="305" t="s">
        <v>701</v>
      </c>
      <c r="M10" s="1051"/>
    </row>
    <row r="11" spans="1:37" ht="18" customHeight="1">
      <c r="A11" s="300"/>
      <c r="B11" s="1273" t="s">
        <v>890</v>
      </c>
      <c r="C11" s="904"/>
      <c r="D11" s="299"/>
      <c r="E11" s="305" t="s">
        <v>702</v>
      </c>
      <c r="F11" s="306">
        <f ca="1">'数据-取费表'!B39</f>
        <v>1.4999999999999999E-2</v>
      </c>
      <c r="G11" s="1290"/>
      <c r="H11" s="1013"/>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11569375</v>
      </c>
      <c r="D13" s="1016" t="s">
        <v>705</v>
      </c>
      <c r="E13" s="1016" t="s">
        <v>706</v>
      </c>
      <c r="F13" s="1017">
        <f ca="1">INDIRECT("'数据-取费表'!y"&amp;$G$1)</f>
        <v>0.85</v>
      </c>
      <c r="G13" s="1290"/>
      <c r="H13" s="1014">
        <v>2</v>
      </c>
      <c r="I13" s="1015" t="s">
        <v>704</v>
      </c>
      <c r="J13" s="1004">
        <f ca="1">ROUND(J14*J15,0)</f>
        <v>0</v>
      </c>
      <c r="K13" s="1022" t="s">
        <v>705</v>
      </c>
      <c r="L13" s="1297"/>
      <c r="M13" s="1298"/>
    </row>
    <row r="14" spans="1:37" ht="18" customHeight="1">
      <c r="A14" s="927" t="s">
        <v>397</v>
      </c>
      <c r="B14" s="294" t="s">
        <v>707</v>
      </c>
      <c r="C14" s="310">
        <f ca="1">ROUND(INDIRECT("'数据-取费表'!l"&amp;$G$1)*F43+'数据-取费表'!L14*INDIRECT("'数据-取费表'!S"&amp;$G$1),0)</f>
        <v>9076400</v>
      </c>
      <c r="D14" s="1255" t="s">
        <v>708</v>
      </c>
      <c r="E14" s="1253"/>
      <c r="F14" s="311"/>
      <c r="G14" s="1290"/>
      <c r="H14" s="927" t="s">
        <v>398</v>
      </c>
      <c r="I14" s="294" t="s">
        <v>709</v>
      </c>
      <c r="J14" s="21">
        <f ca="1">C29</f>
        <v>13611029</v>
      </c>
      <c r="K14" s="12"/>
      <c r="L14" s="758"/>
      <c r="M14" s="759"/>
    </row>
    <row r="15" spans="1:37" s="1302" customFormat="1" ht="18" customHeight="1" thickBot="1">
      <c r="A15" s="927" t="s">
        <v>399</v>
      </c>
      <c r="B15" s="294" t="s">
        <v>710</v>
      </c>
      <c r="C15" s="21">
        <f ca="1">ROUND(C14*F15,0)</f>
        <v>272292</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136110</v>
      </c>
      <c r="K16" s="1022" t="s">
        <v>715</v>
      </c>
      <c r="L16" s="1023"/>
      <c r="M16" s="1008"/>
    </row>
    <row r="17" spans="1:37" s="1302" customFormat="1" ht="18" customHeight="1">
      <c r="A17" s="927" t="s">
        <v>681</v>
      </c>
      <c r="B17" s="294" t="s">
        <v>716</v>
      </c>
      <c r="C17" s="21">
        <f ca="1">ROUND(F17*(F43+INDIRECT("'数据-取费表'!S"&amp;$G$1)),0)</f>
        <v>453820</v>
      </c>
      <c r="D17" s="294" t="s">
        <v>717</v>
      </c>
      <c r="E17" s="294" t="s">
        <v>718</v>
      </c>
      <c r="F17" s="23">
        <f>'数据-取费表'!B35</f>
        <v>200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181528</v>
      </c>
      <c r="D18" s="294" t="s">
        <v>711</v>
      </c>
      <c r="E18" s="294" t="s">
        <v>712</v>
      </c>
      <c r="F18" s="314">
        <f>'数据-取费表'!B36</f>
        <v>0.02</v>
      </c>
      <c r="G18" s="1301"/>
      <c r="H18" s="927" t="s">
        <v>397</v>
      </c>
      <c r="I18" s="294" t="s">
        <v>723</v>
      </c>
      <c r="J18" s="21">
        <f ca="1">ROUND(J6*M18/(1+'数据-取费表'!C42),0)</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9984040</v>
      </c>
      <c r="D19" s="123" t="s">
        <v>726</v>
      </c>
      <c r="E19" s="1267"/>
      <c r="F19" s="23"/>
      <c r="G19" s="1290"/>
      <c r="H19" s="927" t="s">
        <v>399</v>
      </c>
      <c r="I19" s="294" t="s">
        <v>727</v>
      </c>
      <c r="J19" s="21">
        <f ca="1">IF(K19="按租金收入计税",ROUND(J6*M19/(1+'数据-取费表'!C42),0),ROUND(C29*M19*0.7,0))</f>
        <v>0</v>
      </c>
      <c r="K19" s="1276" t="s">
        <v>3337</v>
      </c>
      <c r="L19" s="294" t="s">
        <v>712</v>
      </c>
      <c r="M19" s="314">
        <f>IF(K19="按租金收入计税",'数据-取费表'!B51,'数据-取费表'!B50)</f>
        <v>0.12</v>
      </c>
    </row>
    <row r="20" spans="1:37" s="1302" customFormat="1" ht="18" customHeight="1">
      <c r="A20" s="927" t="s">
        <v>402</v>
      </c>
      <c r="B20" s="294" t="s">
        <v>728</v>
      </c>
      <c r="C20" s="21">
        <f ca="1">ROUND(C19*F20,0)</f>
        <v>199681</v>
      </c>
      <c r="D20" s="315" t="s">
        <v>729</v>
      </c>
      <c r="E20" s="294" t="s">
        <v>712</v>
      </c>
      <c r="F20" s="314">
        <f>'数据-取费表'!B37</f>
        <v>0.02</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7"/>
      <c r="F22" s="23"/>
      <c r="G22" s="1290"/>
      <c r="H22" s="927" t="s">
        <v>402</v>
      </c>
      <c r="I22" s="294" t="s">
        <v>738</v>
      </c>
      <c r="J22" s="21">
        <f ca="1">ROUND(J14*M22,0)</f>
        <v>136110</v>
      </c>
      <c r="K22" s="1254" t="s">
        <v>739</v>
      </c>
      <c r="L22" s="294" t="s">
        <v>712</v>
      </c>
      <c r="M22" s="320">
        <f ca="1">INDIRECT("'数据-取费表'!Ak"&amp;$G$1)</f>
        <v>0.01</v>
      </c>
    </row>
    <row r="23" spans="1:37" s="1302" customFormat="1" ht="18" customHeight="1">
      <c r="A23" s="927" t="s">
        <v>397</v>
      </c>
      <c r="B23" s="294" t="s">
        <v>740</v>
      </c>
      <c r="C23" s="21">
        <f ca="1">IF('数据-取费表'!B22&lt;=1,ROUND(C19*F24*F23/2,0)+ROUND(C20*F24*F23/2,0),ROUND(C19*(POWER((1+F24),F23/2)-1),0)+ROUND(C20*(POWER((1+F24),F23/2)-1),0))</f>
        <v>341154</v>
      </c>
      <c r="D23" s="138" t="str">
        <f>IF(F23&lt;=1,"(建造成本+管理费用)×利率×(建设周期÷2)","(建造成本+管理费用)×((1+利率)^(建设周期÷2)-1)")</f>
        <v>(建造成本+管理费用)×((1+利率)^(建设周期÷2)-1)</v>
      </c>
      <c r="E23" s="294" t="s">
        <v>741</v>
      </c>
      <c r="F23" s="317">
        <f>'数据-取费表'!B20</f>
        <v>2</v>
      </c>
      <c r="G23" s="1301"/>
      <c r="H23" s="927" t="s">
        <v>437</v>
      </c>
      <c r="I23" s="294" t="s">
        <v>742</v>
      </c>
      <c r="J23" s="21">
        <f ca="1">ROUND(J13*M23,0)</f>
        <v>0</v>
      </c>
      <c r="K23" s="1254" t="s">
        <v>743</v>
      </c>
      <c r="L23" s="294" t="s">
        <v>744</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f>ROUND(IF('数据-取费表'!B22&lt;=1,F21*F24*F23/2,F21*(POWER((1+F24),F23/2)-1)),4)</f>
        <v>6.9999999999999999E-4</v>
      </c>
      <c r="D24" s="138" t="str">
        <f>IF(F23&lt;=1,"销售费用×利率×(建设周期÷2)","销售费用×((1+利率)^(建设周期÷2)-1)")</f>
        <v>销售费用×((1+利率)^(建设周期÷2)-1)</v>
      </c>
      <c r="E24" s="294" t="s">
        <v>747</v>
      </c>
      <c r="F24" s="322">
        <f>'数据-取费表'!B40</f>
        <v>3.3500000000000002E-2</v>
      </c>
      <c r="G24" s="1301"/>
      <c r="H24" s="1024" t="s">
        <v>684</v>
      </c>
      <c r="I24" s="1025" t="s">
        <v>728</v>
      </c>
      <c r="J24" s="1026">
        <f ca="1">ROUND(J5*M24,0)</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f ca="1">J5-J16</f>
        <v>-136110</v>
      </c>
      <c r="K25" s="1030" t="s">
        <v>753</v>
      </c>
      <c r="L25" s="1031"/>
      <c r="M25" s="1032"/>
    </row>
    <row r="26" spans="1:37" ht="18" customHeight="1">
      <c r="A26" s="927" t="s">
        <v>397</v>
      </c>
      <c r="B26" s="294" t="s">
        <v>754</v>
      </c>
      <c r="C26" s="21">
        <f ca="1">ROUND((C19+C20)*F26,0)</f>
        <v>2036744</v>
      </c>
      <c r="D26" s="315" t="s">
        <v>755</v>
      </c>
      <c r="E26" s="305" t="s">
        <v>756</v>
      </c>
      <c r="F26" s="304">
        <f ca="1">INDIRECT("'数据-取费表'!q"&amp;$G$1)</f>
        <v>0.2</v>
      </c>
      <c r="G26" s="1290"/>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13611029</v>
      </c>
      <c r="D29" s="1027"/>
      <c r="E29" s="1025"/>
      <c r="F29" s="1028"/>
      <c r="G29" s="1301"/>
      <c r="H29" s="325" t="s">
        <v>396</v>
      </c>
      <c r="I29" s="326" t="s">
        <v>768</v>
      </c>
      <c r="J29" s="327">
        <f ca="1">ROUND(J26/(1+F40)^F41,0)</f>
        <v>0</v>
      </c>
      <c r="K29" s="328" t="s">
        <v>769</v>
      </c>
      <c r="L29" s="329"/>
      <c r="M29" s="330">
        <f ca="1">INDIRECT("'数据-取费表'!k"&amp;$G$1)</f>
        <v>2269.1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2238659</v>
      </c>
      <c r="D30" s="1022" t="s">
        <v>715</v>
      </c>
      <c r="E30" s="1023"/>
      <c r="F30" s="1008"/>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1967026</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618208</v>
      </c>
      <c r="D32" s="1254" t="s">
        <v>724</v>
      </c>
      <c r="E32" s="294" t="s">
        <v>712</v>
      </c>
      <c r="F32" s="322">
        <f>'数据-取费表'!B41</f>
        <v>5.5000000000000007E-2</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1348818</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f ca="1">ROUND(C29*F36,0)</f>
        <v>136110</v>
      </c>
      <c r="D36" s="1254" t="s">
        <v>771</v>
      </c>
      <c r="E36" s="294" t="s">
        <v>712</v>
      </c>
      <c r="F36" s="320">
        <f ca="1">INDIRECT("'数据-取费表'!Ak"&amp;$G$1)</f>
        <v>0.01</v>
      </c>
      <c r="G36" s="1290"/>
      <c r="H36" s="2472"/>
      <c r="I36" s="1303"/>
      <c r="J36" s="1304"/>
      <c r="K36" s="2329"/>
      <c r="L36" s="2472"/>
      <c r="M36" s="2472"/>
    </row>
    <row r="37" spans="1:18" ht="18" customHeight="1">
      <c r="A37" s="927" t="s">
        <v>437</v>
      </c>
      <c r="B37" s="294" t="s">
        <v>742</v>
      </c>
      <c r="C37" s="21">
        <f ca="1">ROUND(C13*F37,0)</f>
        <v>17354</v>
      </c>
      <c r="D37" s="1254" t="s">
        <v>743</v>
      </c>
      <c r="E37" s="294" t="s">
        <v>744</v>
      </c>
      <c r="F37" s="321">
        <f ca="1">INDIRECT("'数据-取费表'!Al"&amp;$G$1)</f>
        <v>1.5E-3</v>
      </c>
      <c r="G37" s="1290"/>
      <c r="H37" s="2472"/>
      <c r="I37" s="1303"/>
      <c r="J37" s="1304"/>
      <c r="K37" s="2329"/>
      <c r="L37" s="2472"/>
      <c r="M37" s="2472"/>
    </row>
    <row r="38" spans="1:18" ht="18" customHeight="1" thickBot="1">
      <c r="A38" s="1024" t="s">
        <v>684</v>
      </c>
      <c r="B38" s="1025" t="s">
        <v>728</v>
      </c>
      <c r="C38" s="1026">
        <f ca="1">ROUND(C5*F38,0)</f>
        <v>118169</v>
      </c>
      <c r="D38" s="1027" t="s">
        <v>748</v>
      </c>
      <c r="E38" s="1025" t="s">
        <v>744</v>
      </c>
      <c r="F38" s="1021">
        <f ca="1">INDIRECT("'数据-取费表'!Am"&amp;$G$1)</f>
        <v>0.01</v>
      </c>
      <c r="G38" s="1290"/>
      <c r="H38" s="2472"/>
      <c r="I38" s="1303"/>
      <c r="J38" s="1304"/>
      <c r="K38" s="2470"/>
      <c r="L38" s="2472"/>
      <c r="M38" s="2472"/>
    </row>
    <row r="39" spans="1:18" ht="24.6" customHeight="1" thickTop="1">
      <c r="A39" s="1014" t="s">
        <v>394</v>
      </c>
      <c r="B39" s="1029" t="s">
        <v>772</v>
      </c>
      <c r="C39" s="302">
        <f ca="1">C5-C30</f>
        <v>9578250</v>
      </c>
      <c r="D39" s="1030" t="s">
        <v>773</v>
      </c>
      <c r="E39" s="1031"/>
      <c r="F39" s="1032"/>
      <c r="G39" s="1290"/>
      <c r="H39" s="2472"/>
      <c r="I39" s="1303"/>
      <c r="J39" s="1304"/>
      <c r="K39" s="2470"/>
      <c r="L39" s="2472"/>
      <c r="M39" s="2472"/>
    </row>
    <row r="40" spans="1:18" ht="18" customHeight="1">
      <c r="A40" s="291" t="s">
        <v>395</v>
      </c>
      <c r="B40" s="292" t="s">
        <v>774</v>
      </c>
      <c r="C40" s="293">
        <f ca="1">ROUND(C39*(1-((1+F42)/(1+F40))^F41)/(F40-F42),0)</f>
        <v>133397030</v>
      </c>
      <c r="D40" s="316" t="s">
        <v>758</v>
      </c>
      <c r="E40" s="294" t="s">
        <v>759</v>
      </c>
      <c r="F40" s="304">
        <f ca="1">INDIRECT("'数据-取费表'!I"&amp;$G$1)</f>
        <v>5.5E-2</v>
      </c>
      <c r="G40" s="1290"/>
      <c r="H40" s="1364">
        <f ca="1">C39/C5</f>
        <v>0.81055460442320404</v>
      </c>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19.809999999999999</v>
      </c>
      <c r="G41" s="1290"/>
      <c r="H41" s="121"/>
      <c r="I41" s="1303"/>
      <c r="J41" s="1304"/>
      <c r="K41" s="2329"/>
      <c r="L41" s="121"/>
      <c r="M41" s="121"/>
    </row>
    <row r="42" spans="1:18" ht="18" customHeight="1">
      <c r="A42" s="300"/>
      <c r="B42" s="301"/>
      <c r="C42" s="302"/>
      <c r="D42" s="319"/>
      <c r="E42" s="294" t="s">
        <v>766</v>
      </c>
      <c r="F42" s="304">
        <f ca="1">INDIRECT("'数据-取费表'!v"&amp;$G$1)</f>
        <v>0.02</v>
      </c>
      <c r="G42" s="1290"/>
      <c r="H42" s="121">
        <f ca="1">C6*F40</f>
        <v>649118.57999999996</v>
      </c>
      <c r="I42" s="1303"/>
      <c r="J42" s="1304"/>
      <c r="K42" s="2329"/>
      <c r="L42" s="121"/>
      <c r="M42" s="121"/>
    </row>
    <row r="43" spans="1:18" ht="18" customHeight="1" thickBot="1">
      <c r="A43" s="325" t="s">
        <v>396</v>
      </c>
      <c r="B43" s="326" t="s">
        <v>776</v>
      </c>
      <c r="C43" s="327">
        <f ca="1">ROUND(C40/F43,0)</f>
        <v>58789</v>
      </c>
      <c r="D43" s="328" t="s">
        <v>777</v>
      </c>
      <c r="E43" s="329" t="s">
        <v>778</v>
      </c>
      <c r="F43" s="330">
        <f ca="1">INDIRECT("'数据-取费表'!k"&amp;$G$1)</f>
        <v>2269.1</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3353</v>
      </c>
      <c r="B45" s="1305"/>
      <c r="C45" s="1374">
        <f ca="1">ROUND((C68-C40)/10000,4)</f>
        <v>-13522.1206</v>
      </c>
      <c r="D45" s="3129" t="s">
        <v>3354</v>
      </c>
      <c r="E45" s="1305"/>
      <c r="F45" s="1305"/>
      <c r="O45" s="1308" t="s">
        <v>808</v>
      </c>
      <c r="P45" s="1364"/>
      <c r="Q45" s="1364"/>
      <c r="R45" s="1364"/>
    </row>
    <row r="46" spans="1:18" s="1290" customFormat="1" ht="13.5" thickBot="1">
      <c r="A46" s="1309" t="s">
        <v>809</v>
      </c>
      <c r="C46" s="1310">
        <f ca="1">ROUND(C45,0)</f>
        <v>-13522</v>
      </c>
      <c r="D46" s="1311" t="str">
        <f>C2</f>
        <v>万元</v>
      </c>
      <c r="I46" s="1312" t="s">
        <v>810</v>
      </c>
      <c r="J46" s="1313"/>
      <c r="K46" s="1314"/>
      <c r="L46" s="1315">
        <f ca="1">IF(M47="住宅",0,IF(L48&gt;J51,L60,J60))</f>
        <v>1689245</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40</v>
      </c>
      <c r="M47" s="1286" t="str">
        <f>IF(ISNUMBER(FIND("住宅",C1)),"住宅","非住宅")</f>
        <v>非住宅</v>
      </c>
      <c r="O47" s="1323" t="s">
        <v>403</v>
      </c>
      <c r="P47" s="1324" t="s">
        <v>817</v>
      </c>
      <c r="Q47" s="1325">
        <f ca="1">C40+J29</f>
        <v>133397030</v>
      </c>
      <c r="R47" s="1325" t="s">
        <v>818</v>
      </c>
    </row>
    <row r="48" spans="1:18" s="1290" customFormat="1" ht="28.5" thickBot="1">
      <c r="A48" s="1045" t="s">
        <v>438</v>
      </c>
      <c r="B48" s="292" t="s">
        <v>692</v>
      </c>
      <c r="C48" s="1266">
        <f ca="1">C49+C53+C55</f>
        <v>0</v>
      </c>
      <c r="D48" s="1047"/>
      <c r="E48" s="1048"/>
      <c r="F48" s="907"/>
      <c r="G48" s="680"/>
      <c r="H48" s="681"/>
      <c r="I48" s="1326" t="s">
        <v>819</v>
      </c>
      <c r="J48" s="1327" t="s">
        <v>3397</v>
      </c>
      <c r="K48" s="1328" t="s">
        <v>820</v>
      </c>
      <c r="L48" s="1329">
        <f ca="1">INDIRECT("'数据-取费表'!f"&amp;$G$1)</f>
        <v>19.809999999999999</v>
      </c>
      <c r="O48" s="1323" t="s">
        <v>404</v>
      </c>
      <c r="P48" s="1324" t="s">
        <v>821</v>
      </c>
      <c r="Q48" s="1325">
        <f ca="1">J60</f>
        <v>1689245</v>
      </c>
      <c r="R48" s="1325" t="s">
        <v>822</v>
      </c>
    </row>
    <row r="49" spans="1:18" s="1290" customFormat="1" ht="13.5" thickBot="1">
      <c r="A49" s="920" t="s">
        <v>439</v>
      </c>
      <c r="B49" s="1277" t="s">
        <v>779</v>
      </c>
      <c r="C49" s="1049">
        <f ca="1">ROUND(F49*F51*F50*(1-F52),0)</f>
        <v>0</v>
      </c>
      <c r="D49" s="991" t="s">
        <v>695</v>
      </c>
      <c r="E49" s="1278" t="s">
        <v>780</v>
      </c>
      <c r="F49" s="996"/>
      <c r="H49" s="681"/>
      <c r="I49" s="1326" t="s">
        <v>823</v>
      </c>
      <c r="J49" s="1330">
        <f>'数据-取费表'!N19</f>
        <v>2015</v>
      </c>
      <c r="K49" s="1328" t="s">
        <v>824</v>
      </c>
      <c r="L49" s="1331"/>
      <c r="O49" s="1332" t="s">
        <v>405</v>
      </c>
      <c r="P49" s="1324" t="s">
        <v>825</v>
      </c>
      <c r="Q49" s="1325">
        <f ca="1">C29</f>
        <v>13611029</v>
      </c>
      <c r="R49" s="1325" t="s">
        <v>818</v>
      </c>
    </row>
    <row r="50" spans="1:18" s="1290" customFormat="1" ht="13.5" thickBot="1">
      <c r="A50" s="921"/>
      <c r="B50" s="924"/>
      <c r="C50" s="925"/>
      <c r="D50" s="898"/>
      <c r="E50" s="992" t="s">
        <v>697</v>
      </c>
      <c r="F50" s="993">
        <f ca="1">F7</f>
        <v>2269.1</v>
      </c>
      <c r="H50" s="681"/>
      <c r="I50" s="1326" t="s">
        <v>826</v>
      </c>
      <c r="J50" s="1333">
        <f>SUMPRODUCT((I63:I65=J47)*(J62:L62=J48)*(J63:L65))</f>
        <v>60</v>
      </c>
      <c r="K50" s="1328" t="s">
        <v>827</v>
      </c>
      <c r="L50" s="1331"/>
      <c r="M50" s="1334"/>
      <c r="O50" s="1332" t="s">
        <v>406</v>
      </c>
      <c r="P50" s="1324" t="s">
        <v>828</v>
      </c>
      <c r="Q50" s="1335">
        <f ca="1">J58</f>
        <v>0.52</v>
      </c>
      <c r="R50" s="1325"/>
    </row>
    <row r="51" spans="1:18" s="1290" customFormat="1" ht="13.5" thickBot="1">
      <c r="A51" s="922"/>
      <c r="B51" s="924"/>
      <c r="C51" s="925"/>
      <c r="D51" s="898"/>
      <c r="E51" s="926" t="s">
        <v>698</v>
      </c>
      <c r="F51" s="295">
        <f ca="1">F8</f>
        <v>365</v>
      </c>
      <c r="I51" s="1336" t="s">
        <v>829</v>
      </c>
      <c r="J51" s="1329">
        <f>IF(J49="",J50,J49+J50-YEAR('数据-取费表'!B2))</f>
        <v>51</v>
      </c>
      <c r="K51" s="1337" t="s">
        <v>830</v>
      </c>
      <c r="L51" s="1338">
        <f ca="1">ROUND(-PV(INDIRECT("'数据-取费表'!h"&amp;$G$1),J51,(C39-C13*C76),0),0)</f>
        <v>160803368</v>
      </c>
      <c r="M51" s="1339"/>
      <c r="O51" s="1332" t="s">
        <v>407</v>
      </c>
      <c r="P51" s="1324" t="s">
        <v>831</v>
      </c>
      <c r="Q51" s="1335">
        <f>J52</f>
        <v>7.4999999999999997E-2</v>
      </c>
      <c r="R51" s="1325"/>
    </row>
    <row r="52" spans="1:18" s="1290" customFormat="1" ht="13.5" thickBot="1">
      <c r="A52" s="922"/>
      <c r="B52" s="924"/>
      <c r="C52" s="925"/>
      <c r="D52" s="898"/>
      <c r="E52" s="926" t="s">
        <v>699</v>
      </c>
      <c r="F52" s="990"/>
      <c r="I52" s="1340" t="s">
        <v>832</v>
      </c>
      <c r="J52" s="1341">
        <v>7.4999999999999997E-2</v>
      </c>
      <c r="K52" s="1340" t="s">
        <v>833</v>
      </c>
      <c r="L52" s="1341"/>
      <c r="O52" s="1332" t="s">
        <v>408</v>
      </c>
      <c r="P52" s="1324" t="s">
        <v>834</v>
      </c>
      <c r="Q52" s="1325">
        <f ca="1">J53</f>
        <v>19.809999999999999</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19.809999999999999</v>
      </c>
      <c r="K53" s="3345" t="s">
        <v>837</v>
      </c>
      <c r="L53" s="3346"/>
      <c r="O53" s="1323" t="s">
        <v>409</v>
      </c>
      <c r="P53" s="1324" t="s">
        <v>838</v>
      </c>
      <c r="Q53" s="1325">
        <f ca="1">Q47+Q48</f>
        <v>135086275</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0.52</v>
      </c>
      <c r="K55" s="1348" t="s">
        <v>841</v>
      </c>
      <c r="L55" s="1349"/>
      <c r="O55" s="1316" t="s">
        <v>811</v>
      </c>
      <c r="P55" s="1317" t="s">
        <v>812</v>
      </c>
      <c r="Q55" s="1318" t="s">
        <v>813</v>
      </c>
      <c r="R55" s="1318" t="s">
        <v>814</v>
      </c>
    </row>
    <row r="56" spans="1:18" s="1290" customFormat="1" ht="36" customHeight="1" thickTop="1" thickBot="1">
      <c r="A56" s="902">
        <v>2</v>
      </c>
      <c r="B56" s="903" t="s">
        <v>704</v>
      </c>
      <c r="C56" s="224">
        <f ca="1">C13</f>
        <v>11569375</v>
      </c>
      <c r="D56" s="1350"/>
      <c r="E56" s="1351"/>
      <c r="F56" s="1343"/>
      <c r="I56" s="1352" t="s">
        <v>842</v>
      </c>
      <c r="J56" s="1353" t="s">
        <v>3448</v>
      </c>
      <c r="K56" s="1326" t="s">
        <v>843</v>
      </c>
      <c r="L56" s="1329" t="str">
        <f ca="1">IF(L48&lt;J51,"——",L48-J51)</f>
        <v>——</v>
      </c>
      <c r="O56" s="1323" t="s">
        <v>403</v>
      </c>
      <c r="P56" s="1324" t="s">
        <v>817</v>
      </c>
      <c r="Q56" s="1325">
        <f ca="1">C40+J29</f>
        <v>133397030</v>
      </c>
      <c r="R56" s="1325" t="s">
        <v>818</v>
      </c>
    </row>
    <row r="57" spans="1:18" s="1290" customFormat="1" ht="24.75" thickBot="1">
      <c r="A57" s="1354"/>
      <c r="B57" s="895" t="s">
        <v>767</v>
      </c>
      <c r="C57" s="230">
        <f ca="1">C29</f>
        <v>13611029</v>
      </c>
      <c r="D57" s="1355"/>
      <c r="E57" s="1356"/>
      <c r="F57" s="1357"/>
      <c r="I57" s="1358" t="s">
        <v>844</v>
      </c>
      <c r="J57" s="1359">
        <f ca="1">IF(OR(M47="住宅",J51&lt;L48,J56="是"),"——",J51-L48)</f>
        <v>31.19</v>
      </c>
      <c r="K57" s="1326" t="s">
        <v>892</v>
      </c>
      <c r="L57" s="1329" t="str">
        <f ca="1">IF(L48&lt;J51,"——",IF(L55="比较法",L49,IF(L55="基准地价",L50,L51)))</f>
        <v>——</v>
      </c>
      <c r="O57" s="1323" t="s">
        <v>404</v>
      </c>
      <c r="P57" s="1324" t="s">
        <v>893</v>
      </c>
      <c r="Q57" s="1325">
        <f ca="1">L60</f>
        <v>0</v>
      </c>
      <c r="R57" s="1325" t="s">
        <v>894</v>
      </c>
    </row>
    <row r="58" spans="1:18" s="1290" customFormat="1" ht="24.75" thickBot="1">
      <c r="A58" s="307" t="s">
        <v>393</v>
      </c>
      <c r="B58" s="903" t="s">
        <v>714</v>
      </c>
      <c r="C58" s="308">
        <f ca="1">ROUND(C59+C64+C65+C66,0)</f>
        <v>153464</v>
      </c>
      <c r="D58" s="905" t="s">
        <v>715</v>
      </c>
      <c r="E58" s="906"/>
      <c r="F58" s="907"/>
      <c r="I58" s="1358" t="s">
        <v>848</v>
      </c>
      <c r="J58" s="1360">
        <f ca="1">IF(J55&lt;0.4,0.4,J55)</f>
        <v>0.52</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7077735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1" t="s">
        <v>853</v>
      </c>
      <c r="J60" s="1362">
        <f ca="1">IF(OR(M47="住宅",J51&lt;L48,J56="是"),"0",ROUND(J59/(1+J52)^J53,0))</f>
        <v>1689245</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09" t="s">
        <v>859</v>
      </c>
      <c r="K62" s="609" t="s">
        <v>860</v>
      </c>
      <c r="L62" s="609" t="s">
        <v>861</v>
      </c>
      <c r="M62" s="1366" t="s">
        <v>862</v>
      </c>
      <c r="O62" s="1323" t="s">
        <v>409</v>
      </c>
      <c r="P62" s="1324" t="s">
        <v>863</v>
      </c>
      <c r="Q62" s="1325">
        <f ca="1">Q56+Q57</f>
        <v>133397030</v>
      </c>
      <c r="R62" s="1325" t="s">
        <v>410</v>
      </c>
    </row>
    <row r="63" spans="1:18" s="1290" customFormat="1" ht="13.5" thickBot="1">
      <c r="A63" s="318"/>
      <c r="B63" s="901"/>
      <c r="C63" s="26"/>
      <c r="D63" s="911"/>
      <c r="E63" s="895" t="s">
        <v>788</v>
      </c>
      <c r="F63" s="295">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136110</v>
      </c>
      <c r="D64" s="909" t="s">
        <v>791</v>
      </c>
      <c r="E64" s="895" t="s">
        <v>783</v>
      </c>
      <c r="F64" s="320">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17354</v>
      </c>
      <c r="D65" s="909" t="s">
        <v>743</v>
      </c>
      <c r="E65" s="895" t="s">
        <v>744</v>
      </c>
      <c r="F65" s="321">
        <f t="shared" ca="1" si="0"/>
        <v>1.5E-3</v>
      </c>
      <c r="I65" s="1365" t="s">
        <v>867</v>
      </c>
      <c r="J65" s="609">
        <v>40</v>
      </c>
      <c r="K65" s="609">
        <v>30</v>
      </c>
      <c r="L65" s="609">
        <v>50</v>
      </c>
      <c r="M65" s="1367">
        <v>0.02</v>
      </c>
      <c r="O65" s="1323" t="s">
        <v>403</v>
      </c>
      <c r="P65" s="1324" t="s">
        <v>868</v>
      </c>
      <c r="Q65" s="1325">
        <f ca="1">C40+J29</f>
        <v>133397030</v>
      </c>
      <c r="R65" s="1325" t="s">
        <v>818</v>
      </c>
    </row>
    <row r="66" spans="1:18" s="1290" customFormat="1" ht="16.5" thickBot="1">
      <c r="A66" s="927" t="s">
        <v>793</v>
      </c>
      <c r="B66" s="895" t="s">
        <v>728</v>
      </c>
      <c r="C66" s="21">
        <f ca="1">ROUND(C48*F66,0)</f>
        <v>0</v>
      </c>
      <c r="D66" s="909" t="s">
        <v>794</v>
      </c>
      <c r="E66" s="895" t="s">
        <v>712</v>
      </c>
      <c r="F66" s="304">
        <f t="shared" ca="1" si="0"/>
        <v>0.01</v>
      </c>
      <c r="O66" s="1323" t="s">
        <v>404</v>
      </c>
      <c r="P66" s="1324" t="s">
        <v>846</v>
      </c>
      <c r="Q66" s="1325">
        <f ca="1">L60</f>
        <v>0</v>
      </c>
      <c r="R66" s="1325" t="s">
        <v>869</v>
      </c>
    </row>
    <row r="67" spans="1:18" s="1290" customFormat="1" ht="16.5" thickBot="1">
      <c r="A67" s="902" t="s">
        <v>394</v>
      </c>
      <c r="B67" s="912" t="s">
        <v>752</v>
      </c>
      <c r="C67" s="308">
        <f ca="1">C48-C58</f>
        <v>-153464</v>
      </c>
      <c r="D67" s="908" t="s">
        <v>753</v>
      </c>
      <c r="E67" s="913"/>
      <c r="F67" s="914"/>
      <c r="O67" s="1332" t="s">
        <v>405</v>
      </c>
      <c r="P67" s="1324" t="s">
        <v>850</v>
      </c>
      <c r="Q67" s="1368">
        <f ca="1">L51</f>
        <v>160803368</v>
      </c>
      <c r="R67" s="1325" t="s">
        <v>870</v>
      </c>
    </row>
    <row r="68" spans="1:18" s="1290" customFormat="1" ht="16.5" thickBot="1">
      <c r="A68" s="892" t="s">
        <v>395</v>
      </c>
      <c r="B68" s="893" t="s">
        <v>774</v>
      </c>
      <c r="C68" s="293">
        <f ca="1">ROUND(C67*(1-((1+F70)/(1+F68))^F69)/(F68-F70),0)</f>
        <v>-1824176</v>
      </c>
      <c r="D68" s="910" t="s">
        <v>758</v>
      </c>
      <c r="E68" s="895" t="s">
        <v>759</v>
      </c>
      <c r="F68" s="304">
        <f ca="1">F40</f>
        <v>5.5E-2</v>
      </c>
      <c r="O68" s="1332" t="s">
        <v>406</v>
      </c>
      <c r="P68" s="1369" t="s">
        <v>871</v>
      </c>
      <c r="Q68" s="1325">
        <f ca="1">ROUND(Q69-Q70*Q71,0)</f>
        <v>8768394</v>
      </c>
      <c r="R68" s="1325" t="s">
        <v>414</v>
      </c>
    </row>
    <row r="69" spans="1:18" s="1290" customFormat="1" ht="13.5" thickBot="1">
      <c r="A69" s="896"/>
      <c r="B69" s="897"/>
      <c r="C69" s="298"/>
      <c r="D69" s="915" t="s">
        <v>762</v>
      </c>
      <c r="E69" s="895" t="s">
        <v>763</v>
      </c>
      <c r="F69" s="324">
        <f ca="1">F41</f>
        <v>19.809999999999999</v>
      </c>
      <c r="O69" s="1332" t="s">
        <v>411</v>
      </c>
      <c r="P69" s="1369" t="s">
        <v>872</v>
      </c>
      <c r="Q69" s="1325">
        <f ca="1">C39</f>
        <v>9578250</v>
      </c>
      <c r="R69" s="1325" t="s">
        <v>818</v>
      </c>
    </row>
    <row r="70" spans="1:18" s="1290" customFormat="1" ht="13.5" thickBot="1">
      <c r="A70" s="899"/>
      <c r="B70" s="900"/>
      <c r="C70" s="302"/>
      <c r="D70" s="911"/>
      <c r="E70" s="895" t="s">
        <v>766</v>
      </c>
      <c r="F70" s="990"/>
      <c r="O70" s="1332" t="s">
        <v>412</v>
      </c>
      <c r="P70" s="1369" t="s">
        <v>873</v>
      </c>
      <c r="Q70" s="1325">
        <f ca="1">C13</f>
        <v>11569375</v>
      </c>
      <c r="R70" s="1325" t="s">
        <v>818</v>
      </c>
    </row>
    <row r="71" spans="1:18" s="1290" customFormat="1" ht="13.5" thickBot="1">
      <c r="A71" s="916" t="s">
        <v>396</v>
      </c>
      <c r="B71" s="917" t="s">
        <v>776</v>
      </c>
      <c r="C71" s="327">
        <f ca="1">ROUND(C68/F71,0)</f>
        <v>-804</v>
      </c>
      <c r="D71" s="918" t="s">
        <v>777</v>
      </c>
      <c r="E71" s="919" t="s">
        <v>778</v>
      </c>
      <c r="F71" s="330">
        <f ca="1">F43</f>
        <v>2269.1</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809856</v>
      </c>
      <c r="D75" s="1290"/>
      <c r="E75" s="1290"/>
      <c r="F75" s="1290"/>
      <c r="K75" s="1307"/>
      <c r="L75" s="1290"/>
      <c r="O75" s="1323" t="s">
        <v>409</v>
      </c>
      <c r="P75" s="1324" t="s">
        <v>838</v>
      </c>
      <c r="Q75" s="1325">
        <f ca="1">Q65+Q66</f>
        <v>133397030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0.91500000000000004</v>
      </c>
    </row>
    <row r="80" spans="1:18">
      <c r="B80" s="331" t="s">
        <v>800</v>
      </c>
      <c r="C80" s="266">
        <f ca="1">ROUND(C75/C39,3)</f>
        <v>8.5000000000000006E-2</v>
      </c>
    </row>
    <row r="81" spans="2:3">
      <c r="B81" s="262" t="s">
        <v>801</v>
      </c>
      <c r="C81" s="230"/>
    </row>
    <row r="82" spans="2:3">
      <c r="B82" s="265" t="s">
        <v>802</v>
      </c>
      <c r="C82" s="267">
        <f ca="1">1-C83</f>
        <v>0.91300000000000003</v>
      </c>
    </row>
    <row r="83" spans="2:3">
      <c r="B83" s="265" t="s">
        <v>803</v>
      </c>
      <c r="C83" s="266">
        <f ca="1">ROUND(C13/C40,3)</f>
        <v>8.6999999999999994E-2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7" t="s">
        <v>3360</v>
      </c>
      <c r="E2" s="3138"/>
      <c r="F2" s="2596"/>
      <c r="G2" s="2597"/>
      <c r="H2" s="2598"/>
      <c r="I2" s="2599"/>
      <c r="J2" s="3402" t="s">
        <v>2318</v>
      </c>
      <c r="K2" s="3403"/>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404" t="s">
        <v>2328</v>
      </c>
      <c r="K3" s="3405"/>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404" t="s">
        <v>2330</v>
      </c>
      <c r="K4" s="3405"/>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410" t="s">
        <v>2334</v>
      </c>
      <c r="B6" s="3411"/>
      <c r="C6" s="3412"/>
      <c r="D6" s="2620"/>
      <c r="E6" s="2621"/>
      <c r="F6" s="2622"/>
      <c r="G6" s="2623"/>
      <c r="H6" s="2598"/>
      <c r="I6" s="2599"/>
      <c r="J6" s="3396">
        <v>1</v>
      </c>
      <c r="K6" s="3397"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96"/>
      <c r="K7" s="3398"/>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413" t="s">
        <v>2348</v>
      </c>
      <c r="C8" s="3414"/>
      <c r="D8" s="2639" t="s">
        <v>2349</v>
      </c>
      <c r="E8" s="2640" t="s">
        <v>2350</v>
      </c>
      <c r="F8" s="2641" t="s">
        <v>2351</v>
      </c>
      <c r="G8" s="2642"/>
      <c r="H8" s="2598"/>
      <c r="I8" s="2599"/>
      <c r="J8" s="3396"/>
      <c r="K8" s="3398"/>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413" t="s">
        <v>2354</v>
      </c>
      <c r="C9" s="3414"/>
      <c r="D9" s="2639">
        <f>ROUND(D6*E9,0)</f>
        <v>0</v>
      </c>
      <c r="E9" s="2643"/>
      <c r="F9" s="2644" t="s">
        <v>2355</v>
      </c>
      <c r="G9" s="2623"/>
      <c r="H9" s="2598"/>
      <c r="I9" s="2599"/>
      <c r="J9" s="3396"/>
      <c r="K9" s="3398"/>
      <c r="L9" s="2633" t="s">
        <v>2356</v>
      </c>
      <c r="M9" s="2634"/>
      <c r="N9" s="2610"/>
      <c r="O9" s="2635"/>
      <c r="P9" s="2635"/>
      <c r="Q9" s="2636">
        <v>365</v>
      </c>
      <c r="R9" s="2637">
        <f t="shared" si="0"/>
        <v>0</v>
      </c>
      <c r="S9" s="2591"/>
      <c r="T9" s="2591"/>
      <c r="U9" s="2591"/>
      <c r="V9" s="2599"/>
    </row>
    <row r="10" spans="1:22" s="2603" customFormat="1" ht="13.15" customHeight="1">
      <c r="A10" s="2638">
        <v>2</v>
      </c>
      <c r="B10" s="3413" t="s">
        <v>2357</v>
      </c>
      <c r="C10" s="3414"/>
      <c r="D10" s="2639">
        <f>ROUND(D6*E10,0)</f>
        <v>0</v>
      </c>
      <c r="E10" s="2643"/>
      <c r="F10" s="2644" t="s">
        <v>2358</v>
      </c>
      <c r="G10" s="2623"/>
      <c r="H10" s="2598"/>
      <c r="I10" s="2599"/>
      <c r="J10" s="3396"/>
      <c r="K10" s="3398"/>
      <c r="L10" s="2633" t="s">
        <v>2359</v>
      </c>
      <c r="M10" s="2634"/>
      <c r="N10" s="2610"/>
      <c r="O10" s="2635"/>
      <c r="P10" s="2635"/>
      <c r="Q10" s="2636">
        <v>365</v>
      </c>
      <c r="R10" s="2637">
        <f t="shared" si="0"/>
        <v>0</v>
      </c>
      <c r="S10" s="2591"/>
      <c r="T10" s="2591"/>
      <c r="U10" s="2591"/>
      <c r="V10" s="2599"/>
    </row>
    <row r="11" spans="1:22" s="2603" customFormat="1" ht="13.15" customHeight="1">
      <c r="A11" s="2638">
        <v>3</v>
      </c>
      <c r="B11" s="3413" t="s">
        <v>2360</v>
      </c>
      <c r="C11" s="3414"/>
      <c r="D11" s="2639">
        <f>D12+D14+D15+D16</f>
        <v>0</v>
      </c>
      <c r="E11" s="2645" t="e">
        <f>D11/D6</f>
        <v>#DIV/0!</v>
      </c>
      <c r="F11" s="2641"/>
      <c r="G11" s="2642"/>
      <c r="H11" s="2598"/>
      <c r="I11" s="2599"/>
      <c r="J11" s="3396"/>
      <c r="K11" s="3398"/>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406" t="s">
        <v>2363</v>
      </c>
      <c r="C12" s="3407"/>
      <c r="D12" s="2647">
        <f>ROUND(D13*1.2%*(1-30%),0)</f>
        <v>0</v>
      </c>
      <c r="E12" s="2648">
        <v>1.2E-2</v>
      </c>
      <c r="F12" s="2641" t="s">
        <v>2364</v>
      </c>
      <c r="G12" s="2642"/>
      <c r="H12" s="2598"/>
      <c r="I12" s="2599"/>
      <c r="J12" s="3396"/>
      <c r="K12" s="3398"/>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96"/>
      <c r="K13" s="3398"/>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406" t="s">
        <v>2369</v>
      </c>
      <c r="C14" s="3407"/>
      <c r="D14" s="2647">
        <f>ROUND(E14*B5/10000,0)</f>
        <v>0</v>
      </c>
      <c r="E14" s="2636"/>
      <c r="F14" s="2641" t="s">
        <v>2370</v>
      </c>
      <c r="G14" s="2642"/>
      <c r="H14" s="2598"/>
      <c r="I14" s="2599"/>
      <c r="J14" s="3396"/>
      <c r="K14" s="3399"/>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406" t="s">
        <v>2373</v>
      </c>
      <c r="C15" s="3407"/>
      <c r="D15" s="2647">
        <f>ROUND(D6*E15,0)</f>
        <v>0</v>
      </c>
      <c r="E15" s="2648">
        <v>5.5E-2</v>
      </c>
      <c r="F15" s="2641" t="s">
        <v>2374</v>
      </c>
      <c r="G15" s="2623"/>
      <c r="H15" s="2598"/>
      <c r="I15" s="2599"/>
      <c r="J15" s="3396">
        <v>2</v>
      </c>
      <c r="K15" s="3397"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406" t="s">
        <v>2382</v>
      </c>
      <c r="C16" s="3407"/>
      <c r="D16" s="2658">
        <f>D6*E16</f>
        <v>0</v>
      </c>
      <c r="E16" s="2659"/>
      <c r="F16" s="2644" t="s">
        <v>2383</v>
      </c>
      <c r="G16" s="2623"/>
      <c r="H16" s="2598"/>
      <c r="I16" s="2599"/>
      <c r="J16" s="3396"/>
      <c r="K16" s="3398"/>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408" t="s">
        <v>2385</v>
      </c>
      <c r="C17" s="3409"/>
      <c r="D17" s="2661">
        <f>ROUND(D6*E17,0)</f>
        <v>0</v>
      </c>
      <c r="E17" s="2662"/>
      <c r="F17" s="2663" t="s">
        <v>2386</v>
      </c>
      <c r="G17" s="2623"/>
      <c r="H17" s="2598"/>
      <c r="I17" s="2599"/>
      <c r="J17" s="3396"/>
      <c r="K17" s="3398"/>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96"/>
      <c r="K18" s="3398"/>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96"/>
      <c r="K19" s="3399"/>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6">
        <v>3</v>
      </c>
      <c r="K20" s="3397"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96"/>
      <c r="K21" s="3398"/>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96"/>
      <c r="K22" s="3398"/>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96"/>
      <c r="K23" s="3398"/>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96"/>
      <c r="K24" s="3399"/>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400">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40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402" t="s">
        <v>2318</v>
      </c>
      <c r="K32" s="3403"/>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404" t="s">
        <v>2328</v>
      </c>
      <c r="K33" s="3405"/>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404" t="s">
        <v>2330</v>
      </c>
      <c r="K34" s="340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96">
        <v>1</v>
      </c>
      <c r="K36" s="3397"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96"/>
      <c r="K37" s="3398"/>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6"/>
      <c r="K38" s="3398"/>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96"/>
      <c r="K39" s="3398"/>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96"/>
      <c r="K40" s="3399"/>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0">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40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13508.627500000001</v>
      </c>
      <c r="C2" s="1727" t="s">
        <v>1651</v>
      </c>
      <c r="D2" s="1728" t="s">
        <v>1652</v>
      </c>
      <c r="E2" s="2391">
        <f>SUM(E6:E13)</f>
        <v>2269.1</v>
      </c>
      <c r="F2" s="2478"/>
      <c r="G2" s="459"/>
      <c r="H2" s="459"/>
      <c r="I2" s="459"/>
      <c r="J2" s="459"/>
      <c r="K2" s="459"/>
      <c r="L2" s="459"/>
      <c r="M2" s="459"/>
      <c r="N2" s="459"/>
      <c r="O2" s="459"/>
      <c r="P2" s="459"/>
      <c r="Q2" s="459"/>
      <c r="R2" s="459"/>
      <c r="S2" s="459"/>
    </row>
    <row r="3" spans="1:22" ht="15.75">
      <c r="A3" s="1726" t="s">
        <v>686</v>
      </c>
      <c r="B3" s="2385">
        <f ca="1">ROUND(B2*10000/E2,0)</f>
        <v>59533</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15" t="s">
        <v>1654</v>
      </c>
      <c r="C5" s="3416"/>
      <c r="D5" s="2479"/>
      <c r="E5" s="1729"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13508.627500000001</v>
      </c>
      <c r="C6" s="1727" t="s">
        <v>1651</v>
      </c>
      <c r="D6" s="2478"/>
      <c r="E6" s="2390">
        <f>IF(OR(A6=0,F6="否"),0,'数据-取费表'!K6+'数据-取费表'!S6)</f>
        <v>2269.1</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2269.1</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5">
      <c r="A4" s="345" t="s">
        <v>1666</v>
      </c>
      <c r="B4" s="346"/>
      <c r="C4" s="3368" t="s">
        <v>1667</v>
      </c>
      <c r="D4" s="3369"/>
      <c r="E4" s="3370" t="s">
        <v>1668</v>
      </c>
      <c r="F4" s="3371"/>
      <c r="G4" s="3368" t="s">
        <v>1669</v>
      </c>
      <c r="H4" s="3369"/>
      <c r="I4" s="3368" t="s">
        <v>1670</v>
      </c>
      <c r="J4" s="3369"/>
      <c r="K4" s="1742" t="s">
        <v>1671</v>
      </c>
      <c r="L4" s="2485"/>
      <c r="M4" s="2486"/>
      <c r="N4" s="2486"/>
      <c r="O4" s="2486"/>
      <c r="P4" s="3372" t="s">
        <v>1672</v>
      </c>
      <c r="Q4" s="3373"/>
      <c r="R4" s="3378" t="s">
        <v>1668</v>
      </c>
      <c r="S4" s="3379"/>
      <c r="T4" s="3378" t="s">
        <v>1669</v>
      </c>
      <c r="U4" s="3379"/>
      <c r="V4" s="3351" t="s">
        <v>1670</v>
      </c>
      <c r="W4" s="3351"/>
      <c r="X4" s="1263"/>
      <c r="Y4" s="3378" t="s">
        <v>1672</v>
      </c>
      <c r="Z4" s="3379"/>
      <c r="AA4" s="3365" t="s">
        <v>1668</v>
      </c>
      <c r="AB4" s="3365" t="s">
        <v>1669</v>
      </c>
      <c r="AC4" s="3365" t="s">
        <v>1670</v>
      </c>
    </row>
    <row r="5" spans="1:29" ht="15">
      <c r="A5" s="348"/>
      <c r="B5" s="349"/>
      <c r="C5" s="3391" t="s">
        <v>1673</v>
      </c>
      <c r="D5" s="3387"/>
      <c r="E5" s="3417" t="s">
        <v>1674</v>
      </c>
      <c r="F5" s="3395"/>
      <c r="G5" s="3391" t="s">
        <v>1675</v>
      </c>
      <c r="H5" s="3387"/>
      <c r="I5" s="3391" t="s">
        <v>1676</v>
      </c>
      <c r="J5" s="3387"/>
      <c r="K5" s="1743"/>
      <c r="L5" s="2485"/>
      <c r="M5" s="2486"/>
      <c r="N5" s="2486"/>
      <c r="O5" s="2486"/>
      <c r="P5" s="3374"/>
      <c r="Q5" s="3375"/>
      <c r="R5" s="3380"/>
      <c r="S5" s="3381"/>
      <c r="T5" s="3380"/>
      <c r="U5" s="3381"/>
      <c r="V5" s="3351"/>
      <c r="W5" s="3351"/>
      <c r="X5" s="1263"/>
      <c r="Y5" s="3380"/>
      <c r="Z5" s="3381"/>
      <c r="AA5" s="3366"/>
      <c r="AB5" s="3366"/>
      <c r="AC5" s="3366"/>
    </row>
    <row r="6" spans="1:29" ht="15.75" thickBot="1">
      <c r="A6" s="350"/>
      <c r="B6" s="351"/>
      <c r="C6" s="3384" t="s">
        <v>1677</v>
      </c>
      <c r="D6" s="3385"/>
      <c r="E6" s="3392" t="s">
        <v>1677</v>
      </c>
      <c r="F6" s="3393"/>
      <c r="G6" s="3384" t="s">
        <v>1677</v>
      </c>
      <c r="H6" s="3385"/>
      <c r="I6" s="3384" t="s">
        <v>1677</v>
      </c>
      <c r="J6" s="3385"/>
      <c r="K6" s="1743" t="s">
        <v>1678</v>
      </c>
      <c r="L6" s="2485"/>
      <c r="M6" s="2486"/>
      <c r="N6" s="2486"/>
      <c r="O6" s="2486"/>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88" t="s">
        <v>1680</v>
      </c>
      <c r="Q7" s="3390"/>
      <c r="R7" s="663" t="s">
        <v>20</v>
      </c>
      <c r="S7" s="664">
        <f t="shared" ref="S7:S15" si="0">F7</f>
        <v>0</v>
      </c>
      <c r="T7" s="663" t="s">
        <v>20</v>
      </c>
      <c r="U7" s="664">
        <f t="shared" ref="U7:U15" si="1">H7</f>
        <v>0</v>
      </c>
      <c r="V7" s="663" t="s">
        <v>20</v>
      </c>
      <c r="W7" s="664">
        <f t="shared" ref="W7:W15" si="2">J7</f>
        <v>0</v>
      </c>
      <c r="X7" s="665"/>
      <c r="Y7" s="3388" t="s">
        <v>1680</v>
      </c>
      <c r="Z7" s="3389"/>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88" t="s">
        <v>1683</v>
      </c>
      <c r="Q8" s="3389"/>
      <c r="R8" s="663" t="s">
        <v>20</v>
      </c>
      <c r="S8" s="664">
        <f t="shared" si="0"/>
        <v>100</v>
      </c>
      <c r="T8" s="663" t="s">
        <v>20</v>
      </c>
      <c r="U8" s="664">
        <f t="shared" si="1"/>
        <v>100</v>
      </c>
      <c r="V8" s="663" t="s">
        <v>20</v>
      </c>
      <c r="W8" s="664">
        <f t="shared" si="2"/>
        <v>100</v>
      </c>
      <c r="X8" s="665"/>
      <c r="Y8" s="3388" t="s">
        <v>1683</v>
      </c>
      <c r="Z8" s="338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6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6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4"/>
      <c r="Q11" s="530" t="str">
        <f t="shared" si="6"/>
        <v>容积率</v>
      </c>
      <c r="R11" s="663" t="s">
        <v>18</v>
      </c>
      <c r="S11" s="664" t="e">
        <f t="shared" si="0"/>
        <v>#N/A</v>
      </c>
      <c r="T11" s="663" t="s">
        <v>18</v>
      </c>
      <c r="U11" s="664" t="e">
        <f t="shared" si="1"/>
        <v>#N/A</v>
      </c>
      <c r="V11" s="663" t="s">
        <v>18</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64"/>
      <c r="Q12" s="530">
        <f t="shared" si="6"/>
        <v>111</v>
      </c>
      <c r="R12" s="663" t="s">
        <v>18</v>
      </c>
      <c r="S12" s="664">
        <f t="shared" si="0"/>
        <v>100</v>
      </c>
      <c r="T12" s="663" t="s">
        <v>18</v>
      </c>
      <c r="U12" s="664">
        <f t="shared" si="1"/>
        <v>100</v>
      </c>
      <c r="V12" s="663" t="s">
        <v>18</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64"/>
      <c r="Q13" s="530">
        <f t="shared" si="6"/>
        <v>111</v>
      </c>
      <c r="R13" s="663" t="s">
        <v>18</v>
      </c>
      <c r="S13" s="664">
        <f t="shared" si="0"/>
        <v>100</v>
      </c>
      <c r="T13" s="663" t="s">
        <v>18</v>
      </c>
      <c r="U13" s="664">
        <f t="shared" si="1"/>
        <v>100</v>
      </c>
      <c r="V13" s="663" t="s">
        <v>18</v>
      </c>
      <c r="W13" s="664">
        <f t="shared" si="2"/>
        <v>100</v>
      </c>
      <c r="X13" s="665"/>
      <c r="Y13" s="3249"/>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64"/>
      <c r="Q14" s="530">
        <f t="shared" si="6"/>
        <v>111</v>
      </c>
      <c r="R14" s="663" t="s">
        <v>18</v>
      </c>
      <c r="S14" s="664">
        <f t="shared" si="0"/>
        <v>100</v>
      </c>
      <c r="T14" s="663" t="s">
        <v>18</v>
      </c>
      <c r="U14" s="664">
        <f t="shared" si="1"/>
        <v>100</v>
      </c>
      <c r="V14" s="663" t="s">
        <v>18</v>
      </c>
      <c r="W14" s="664">
        <f t="shared" si="2"/>
        <v>100</v>
      </c>
      <c r="X14" s="665"/>
      <c r="Y14" s="3249"/>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55" t="s">
        <v>1691</v>
      </c>
      <c r="Q15" s="1261" t="str">
        <f t="shared" si="6"/>
        <v>居住社区成熟度</v>
      </c>
      <c r="R15" s="666" t="s">
        <v>18</v>
      </c>
      <c r="S15" s="667">
        <f t="shared" si="0"/>
        <v>100</v>
      </c>
      <c r="T15" s="666" t="s">
        <v>18</v>
      </c>
      <c r="U15" s="667">
        <f t="shared" si="1"/>
        <v>100</v>
      </c>
      <c r="V15" s="666" t="s">
        <v>18</v>
      </c>
      <c r="W15" s="667">
        <f t="shared" si="2"/>
        <v>100</v>
      </c>
      <c r="X15" s="1263"/>
      <c r="Y15" s="3357"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56"/>
      <c r="Q16" s="1261"/>
      <c r="R16" s="666"/>
      <c r="S16" s="667"/>
      <c r="T16" s="666"/>
      <c r="U16" s="667"/>
      <c r="V16" s="666"/>
      <c r="W16" s="667"/>
      <c r="X16" s="1263"/>
      <c r="Y16" s="3358"/>
      <c r="Z16" s="1262"/>
      <c r="AA16" s="1262">
        <v>1</v>
      </c>
      <c r="AB16" s="1262">
        <v>1</v>
      </c>
      <c r="AC16" s="1262">
        <v>1</v>
      </c>
    </row>
    <row r="17" spans="1:29" ht="85.5">
      <c r="A17" s="367"/>
      <c r="B17" s="390" t="s">
        <v>1259</v>
      </c>
      <c r="C17" s="1752" t="str">
        <f>估价对象房地状况!C6</f>
        <v>估价对象周边道路状况、公共交通通达情况915、918、955等、停车便捷程度，综合评价交通便捷度一般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56"/>
      <c r="Q17" s="1261" t="str">
        <f>B17</f>
        <v>交通便捷度</v>
      </c>
      <c r="R17" s="666" t="s">
        <v>18</v>
      </c>
      <c r="S17" s="667">
        <f>F17</f>
        <v>100</v>
      </c>
      <c r="T17" s="666" t="s">
        <v>18</v>
      </c>
      <c r="U17" s="667">
        <f>H17</f>
        <v>100</v>
      </c>
      <c r="V17" s="666" t="s">
        <v>18</v>
      </c>
      <c r="W17" s="667">
        <f>J17</f>
        <v>100</v>
      </c>
      <c r="X17" s="1263"/>
      <c r="Y17" s="3358"/>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56"/>
      <c r="Q18" s="1261"/>
      <c r="R18" s="666"/>
      <c r="S18" s="667"/>
      <c r="T18" s="666"/>
      <c r="U18" s="667"/>
      <c r="V18" s="666"/>
      <c r="W18" s="667"/>
      <c r="X18" s="1263"/>
      <c r="Y18" s="3358"/>
      <c r="Z18" s="1262"/>
      <c r="AA18" s="1262">
        <v>1</v>
      </c>
      <c r="AB18" s="1262">
        <v>1</v>
      </c>
      <c r="AC18" s="1262">
        <v>1</v>
      </c>
    </row>
    <row r="19" spans="1:29" ht="42.75">
      <c r="A19" s="367"/>
      <c r="B19" s="390" t="s">
        <v>1258</v>
      </c>
      <c r="C19" s="1752" t="str">
        <f>估价对象房地状况!C7</f>
        <v>估价对象所在区域公共配套设施齐备情况一般</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56"/>
      <c r="Q19" s="1261" t="str">
        <f>B19</f>
        <v>公共配套设施</v>
      </c>
      <c r="R19" s="666" t="s">
        <v>18</v>
      </c>
      <c r="S19" s="667">
        <f>F19</f>
        <v>100</v>
      </c>
      <c r="T19" s="666" t="s">
        <v>18</v>
      </c>
      <c r="U19" s="667">
        <f>H19</f>
        <v>100</v>
      </c>
      <c r="V19" s="666" t="s">
        <v>18</v>
      </c>
      <c r="W19" s="667">
        <f>J19</f>
        <v>100</v>
      </c>
      <c r="X19" s="1263"/>
      <c r="Y19" s="3358"/>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56"/>
      <c r="Q20" s="1261"/>
      <c r="R20" s="666"/>
      <c r="S20" s="667"/>
      <c r="T20" s="666"/>
      <c r="U20" s="667"/>
      <c r="V20" s="666"/>
      <c r="W20" s="667"/>
      <c r="X20" s="1263"/>
      <c r="Y20" s="3358"/>
      <c r="Z20" s="1262"/>
      <c r="AA20" s="1262">
        <v>1</v>
      </c>
      <c r="AB20" s="1262">
        <v>1</v>
      </c>
      <c r="AC20" s="1262">
        <v>1</v>
      </c>
    </row>
    <row r="21" spans="1:29" ht="15">
      <c r="A21" s="367"/>
      <c r="B21" s="585" t="s">
        <v>1260</v>
      </c>
      <c r="C21" s="1752"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56"/>
      <c r="Q21" s="1261" t="str">
        <f>B21</f>
        <v>基础设施水平</v>
      </c>
      <c r="R21" s="666" t="s">
        <v>14</v>
      </c>
      <c r="S21" s="667">
        <f>F21</f>
        <v>100</v>
      </c>
      <c r="T21" s="666" t="s">
        <v>14</v>
      </c>
      <c r="U21" s="667">
        <f>H21</f>
        <v>100</v>
      </c>
      <c r="V21" s="666" t="s">
        <v>14</v>
      </c>
      <c r="W21" s="667">
        <f>J21</f>
        <v>100</v>
      </c>
      <c r="X21" s="1263"/>
      <c r="Y21" s="3358"/>
      <c r="Z21" s="1262" t="str">
        <f>Q21</f>
        <v>基础设施水平</v>
      </c>
      <c r="AA21" s="1262">
        <f t="shared" ref="AA21" si="8">D21/F21</f>
        <v>1</v>
      </c>
      <c r="AB21" s="1262">
        <f t="shared" ref="AB21" si="9">D21/H21</f>
        <v>1</v>
      </c>
      <c r="AC21" s="1262">
        <f t="shared" ref="AC21" si="10">D21/J21</f>
        <v>1</v>
      </c>
    </row>
    <row r="22" spans="1:29" ht="15">
      <c r="A22" s="367"/>
      <c r="B22" s="585"/>
      <c r="C22" s="1753"/>
      <c r="D22" s="387"/>
      <c r="E22" s="386"/>
      <c r="F22" s="387"/>
      <c r="G22" s="1756"/>
      <c r="H22" s="387"/>
      <c r="I22" s="386"/>
      <c r="J22" s="387"/>
      <c r="K22" s="1757"/>
      <c r="L22" s="2491"/>
      <c r="M22" s="2486"/>
      <c r="N22" s="2486"/>
      <c r="O22" s="2486"/>
      <c r="P22" s="3356"/>
      <c r="Q22" s="1261"/>
      <c r="R22" s="666"/>
      <c r="S22" s="667"/>
      <c r="T22" s="666"/>
      <c r="U22" s="667"/>
      <c r="V22" s="666"/>
      <c r="W22" s="667"/>
      <c r="X22" s="1263"/>
      <c r="Y22" s="3358"/>
      <c r="Z22" s="1262"/>
      <c r="AA22" s="1262">
        <v>1</v>
      </c>
      <c r="AB22" s="1262">
        <v>1</v>
      </c>
      <c r="AC22" s="1262">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56"/>
      <c r="Q23" s="1261" t="str">
        <f>B23</f>
        <v>自然及人文环境</v>
      </c>
      <c r="R23" s="666" t="s">
        <v>18</v>
      </c>
      <c r="S23" s="667">
        <f>F23</f>
        <v>100</v>
      </c>
      <c r="T23" s="666" t="s">
        <v>18</v>
      </c>
      <c r="U23" s="667">
        <f>H23</f>
        <v>100</v>
      </c>
      <c r="V23" s="666" t="s">
        <v>18</v>
      </c>
      <c r="W23" s="667">
        <f>J23</f>
        <v>100</v>
      </c>
      <c r="X23" s="1263"/>
      <c r="Y23" s="3358"/>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56"/>
      <c r="Q24" s="1261"/>
      <c r="R24" s="666"/>
      <c r="S24" s="667"/>
      <c r="T24" s="666"/>
      <c r="U24" s="667"/>
      <c r="V24" s="666"/>
      <c r="W24" s="667"/>
      <c r="X24" s="1263"/>
      <c r="Y24" s="3358"/>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56"/>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58"/>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56"/>
      <c r="Q26" s="1261" t="str">
        <f t="shared" si="11"/>
        <v>朝向</v>
      </c>
      <c r="R26" s="666" t="s">
        <v>18</v>
      </c>
      <c r="S26" s="667">
        <f t="shared" si="12"/>
        <v>100</v>
      </c>
      <c r="T26" s="666" t="s">
        <v>18</v>
      </c>
      <c r="U26" s="667">
        <f t="shared" si="13"/>
        <v>100</v>
      </c>
      <c r="V26" s="666" t="s">
        <v>18</v>
      </c>
      <c r="W26" s="667">
        <f t="shared" si="14"/>
        <v>100</v>
      </c>
      <c r="X26" s="1263"/>
      <c r="Y26" s="3358"/>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56"/>
      <c r="Q27" s="530">
        <f t="shared" si="11"/>
        <v>111</v>
      </c>
      <c r="R27" s="663" t="s">
        <v>18</v>
      </c>
      <c r="S27" s="664">
        <f t="shared" si="12"/>
        <v>100</v>
      </c>
      <c r="T27" s="663" t="s">
        <v>18</v>
      </c>
      <c r="U27" s="664">
        <f t="shared" si="13"/>
        <v>100</v>
      </c>
      <c r="V27" s="663" t="s">
        <v>18</v>
      </c>
      <c r="W27" s="664">
        <f t="shared" si="14"/>
        <v>100</v>
      </c>
      <c r="X27" s="665"/>
      <c r="Y27" s="3358"/>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56"/>
      <c r="Q28" s="1261">
        <f t="shared" si="11"/>
        <v>111</v>
      </c>
      <c r="R28" s="666" t="s">
        <v>18</v>
      </c>
      <c r="S28" s="667">
        <f t="shared" si="12"/>
        <v>100</v>
      </c>
      <c r="T28" s="666" t="s">
        <v>18</v>
      </c>
      <c r="U28" s="667">
        <f t="shared" si="13"/>
        <v>100</v>
      </c>
      <c r="V28" s="666" t="s">
        <v>18</v>
      </c>
      <c r="W28" s="667">
        <f t="shared" si="14"/>
        <v>100</v>
      </c>
      <c r="X28" s="1263"/>
      <c r="Y28" s="3358"/>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56"/>
      <c r="Q29" s="1261">
        <f t="shared" si="11"/>
        <v>111</v>
      </c>
      <c r="R29" s="666" t="s">
        <v>18</v>
      </c>
      <c r="S29" s="667">
        <f t="shared" si="12"/>
        <v>100</v>
      </c>
      <c r="T29" s="666" t="s">
        <v>18</v>
      </c>
      <c r="U29" s="667">
        <f t="shared" si="13"/>
        <v>100</v>
      </c>
      <c r="V29" s="666" t="s">
        <v>18</v>
      </c>
      <c r="W29" s="667">
        <f t="shared" si="14"/>
        <v>100</v>
      </c>
      <c r="X29" s="1263"/>
      <c r="Y29" s="3358"/>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56"/>
      <c r="Q30" s="1261">
        <f t="shared" si="11"/>
        <v>111</v>
      </c>
      <c r="R30" s="666" t="s">
        <v>18</v>
      </c>
      <c r="S30" s="667">
        <f t="shared" si="12"/>
        <v>100</v>
      </c>
      <c r="T30" s="666" t="s">
        <v>18</v>
      </c>
      <c r="U30" s="667">
        <f t="shared" si="13"/>
        <v>100</v>
      </c>
      <c r="V30" s="666" t="s">
        <v>18</v>
      </c>
      <c r="W30" s="667">
        <f t="shared" si="14"/>
        <v>100</v>
      </c>
      <c r="X30" s="1263"/>
      <c r="Y30" s="3358"/>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56"/>
      <c r="Q31" s="1261">
        <f t="shared" si="11"/>
        <v>111</v>
      </c>
      <c r="R31" s="666" t="s">
        <v>18</v>
      </c>
      <c r="S31" s="667">
        <f t="shared" si="12"/>
        <v>100</v>
      </c>
      <c r="T31" s="666" t="s">
        <v>18</v>
      </c>
      <c r="U31" s="667">
        <f t="shared" si="13"/>
        <v>100</v>
      </c>
      <c r="V31" s="666" t="s">
        <v>18</v>
      </c>
      <c r="W31" s="667">
        <f t="shared" si="14"/>
        <v>100</v>
      </c>
      <c r="X31" s="1263"/>
      <c r="Y31" s="3358"/>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59" t="s">
        <v>1696</v>
      </c>
      <c r="Q32" s="1261" t="str">
        <f t="shared" si="11"/>
        <v>建筑类型</v>
      </c>
      <c r="R32" s="666" t="s">
        <v>18</v>
      </c>
      <c r="S32" s="667">
        <f t="shared" si="12"/>
        <v>100</v>
      </c>
      <c r="T32" s="666" t="s">
        <v>18</v>
      </c>
      <c r="U32" s="667">
        <f t="shared" si="13"/>
        <v>100</v>
      </c>
      <c r="V32" s="666" t="s">
        <v>18</v>
      </c>
      <c r="W32" s="667">
        <f t="shared" si="14"/>
        <v>100</v>
      </c>
      <c r="X32" s="1263"/>
      <c r="Y32" s="336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60"/>
      <c r="Q33" s="531" t="str">
        <f t="shared" si="11"/>
        <v>项目建筑规模</v>
      </c>
      <c r="R33" s="668" t="s">
        <v>18</v>
      </c>
      <c r="S33" s="669" t="e">
        <f t="shared" si="12"/>
        <v>#N/A</v>
      </c>
      <c r="T33" s="668" t="s">
        <v>18</v>
      </c>
      <c r="U33" s="669" t="e">
        <f t="shared" si="13"/>
        <v>#N/A</v>
      </c>
      <c r="V33" s="668" t="s">
        <v>18</v>
      </c>
      <c r="W33" s="669" t="e">
        <f t="shared" si="14"/>
        <v>#N/A</v>
      </c>
      <c r="X33" s="670"/>
      <c r="Y33" s="3362"/>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60"/>
      <c r="Q34" s="1261" t="str">
        <f t="shared" si="11"/>
        <v>建筑结构</v>
      </c>
      <c r="R34" s="666" t="s">
        <v>18</v>
      </c>
      <c r="S34" s="667">
        <f t="shared" si="12"/>
        <v>100</v>
      </c>
      <c r="T34" s="666" t="s">
        <v>18</v>
      </c>
      <c r="U34" s="667">
        <f t="shared" si="13"/>
        <v>100</v>
      </c>
      <c r="V34" s="666" t="s">
        <v>18</v>
      </c>
      <c r="W34" s="667">
        <f t="shared" si="14"/>
        <v>100</v>
      </c>
      <c r="X34" s="1263"/>
      <c r="Y34" s="336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60"/>
      <c r="Q35" s="1261" t="str">
        <f t="shared" si="11"/>
        <v>建筑品质</v>
      </c>
      <c r="R35" s="666" t="s">
        <v>18</v>
      </c>
      <c r="S35" s="667">
        <f t="shared" si="12"/>
        <v>100</v>
      </c>
      <c r="T35" s="666" t="s">
        <v>18</v>
      </c>
      <c r="U35" s="667">
        <f t="shared" si="13"/>
        <v>100</v>
      </c>
      <c r="V35" s="666" t="s">
        <v>18</v>
      </c>
      <c r="W35" s="667">
        <f t="shared" si="14"/>
        <v>100</v>
      </c>
      <c r="X35" s="1263"/>
      <c r="Y35" s="336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60"/>
      <c r="Q36" s="1261" t="str">
        <f t="shared" si="11"/>
        <v>公共部分装修</v>
      </c>
      <c r="R36" s="666" t="s">
        <v>18</v>
      </c>
      <c r="S36" s="667">
        <f t="shared" si="12"/>
        <v>100</v>
      </c>
      <c r="T36" s="666" t="s">
        <v>18</v>
      </c>
      <c r="U36" s="667">
        <f t="shared" si="13"/>
        <v>100</v>
      </c>
      <c r="V36" s="666" t="s">
        <v>18</v>
      </c>
      <c r="W36" s="667">
        <f t="shared" si="14"/>
        <v>100</v>
      </c>
      <c r="X36" s="1263"/>
      <c r="Y36" s="336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60"/>
      <c r="Q37" s="530" t="str">
        <f t="shared" si="11"/>
        <v>成新度</v>
      </c>
      <c r="R37" s="663" t="s">
        <v>18</v>
      </c>
      <c r="S37" s="664" t="e">
        <f t="shared" si="12"/>
        <v>#N/A</v>
      </c>
      <c r="T37" s="663" t="s">
        <v>18</v>
      </c>
      <c r="U37" s="664" t="e">
        <f t="shared" si="13"/>
        <v>#N/A</v>
      </c>
      <c r="V37" s="663" t="s">
        <v>18</v>
      </c>
      <c r="W37" s="664" t="e">
        <f t="shared" si="14"/>
        <v>#N/A</v>
      </c>
      <c r="X37" s="665"/>
      <c r="Y37" s="336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60" t="s">
        <v>1696</v>
      </c>
      <c r="Q38" s="1261" t="str">
        <f t="shared" si="11"/>
        <v>物业管理</v>
      </c>
      <c r="R38" s="666" t="s">
        <v>18</v>
      </c>
      <c r="S38" s="667">
        <f t="shared" si="12"/>
        <v>100</v>
      </c>
      <c r="T38" s="666" t="s">
        <v>18</v>
      </c>
      <c r="U38" s="667">
        <f t="shared" si="13"/>
        <v>100</v>
      </c>
      <c r="V38" s="666" t="s">
        <v>18</v>
      </c>
      <c r="W38" s="667">
        <f t="shared" si="14"/>
        <v>100</v>
      </c>
      <c r="X38" s="1263"/>
      <c r="Y38" s="336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60"/>
      <c r="Q39" s="1261" t="str">
        <f t="shared" si="11"/>
        <v>市政基础设施</v>
      </c>
      <c r="R39" s="666" t="s">
        <v>18</v>
      </c>
      <c r="S39" s="667">
        <f t="shared" si="12"/>
        <v>100</v>
      </c>
      <c r="T39" s="666" t="s">
        <v>18</v>
      </c>
      <c r="U39" s="667">
        <f t="shared" si="13"/>
        <v>100</v>
      </c>
      <c r="V39" s="666" t="s">
        <v>18</v>
      </c>
      <c r="W39" s="667">
        <f t="shared" si="14"/>
        <v>100</v>
      </c>
      <c r="X39" s="1263"/>
      <c r="Y39" s="336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60"/>
      <c r="Q40" s="1261" t="str">
        <f t="shared" si="11"/>
        <v>房型</v>
      </c>
      <c r="R40" s="666" t="s">
        <v>18</v>
      </c>
      <c r="S40" s="667">
        <f t="shared" si="12"/>
        <v>100</v>
      </c>
      <c r="T40" s="666" t="s">
        <v>18</v>
      </c>
      <c r="U40" s="667">
        <f t="shared" si="13"/>
        <v>100</v>
      </c>
      <c r="V40" s="666" t="s">
        <v>18</v>
      </c>
      <c r="W40" s="667">
        <f t="shared" si="14"/>
        <v>100</v>
      </c>
      <c r="X40" s="1263"/>
      <c r="Y40" s="3362"/>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60"/>
      <c r="Q41" s="531" t="str">
        <f t="shared" si="11"/>
        <v>单套/主力户型建筑面积</v>
      </c>
      <c r="R41" s="668" t="s">
        <v>18</v>
      </c>
      <c r="S41" s="669">
        <f t="shared" si="12"/>
        <v>100</v>
      </c>
      <c r="T41" s="668" t="s">
        <v>18</v>
      </c>
      <c r="U41" s="669">
        <f t="shared" si="13"/>
        <v>100</v>
      </c>
      <c r="V41" s="668" t="s">
        <v>18</v>
      </c>
      <c r="W41" s="669">
        <f t="shared" si="14"/>
        <v>100</v>
      </c>
      <c r="X41" s="670"/>
      <c r="Y41" s="3362"/>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60"/>
      <c r="Q42" s="1261" t="str">
        <f t="shared" si="11"/>
        <v>内部装修</v>
      </c>
      <c r="R42" s="666" t="s">
        <v>18</v>
      </c>
      <c r="S42" s="667">
        <f t="shared" si="12"/>
        <v>100</v>
      </c>
      <c r="T42" s="666" t="s">
        <v>18</v>
      </c>
      <c r="U42" s="667">
        <f t="shared" si="13"/>
        <v>100</v>
      </c>
      <c r="V42" s="666" t="s">
        <v>18</v>
      </c>
      <c r="W42" s="667">
        <f t="shared" si="14"/>
        <v>100</v>
      </c>
      <c r="X42" s="1263"/>
      <c r="Y42" s="3362"/>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60"/>
      <c r="Q43" s="1261" t="str">
        <f t="shared" si="11"/>
        <v>内部装修维护情况</v>
      </c>
      <c r="R43" s="666" t="s">
        <v>18</v>
      </c>
      <c r="S43" s="667">
        <f t="shared" si="12"/>
        <v>100</v>
      </c>
      <c r="T43" s="666" t="s">
        <v>18</v>
      </c>
      <c r="U43" s="667">
        <f t="shared" si="13"/>
        <v>100</v>
      </c>
      <c r="V43" s="666" t="s">
        <v>18</v>
      </c>
      <c r="W43" s="667">
        <f t="shared" si="14"/>
        <v>100</v>
      </c>
      <c r="X43" s="1263"/>
      <c r="Y43" s="336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60"/>
      <c r="Q44" s="530">
        <f t="shared" si="11"/>
        <v>111</v>
      </c>
      <c r="R44" s="663" t="s">
        <v>18</v>
      </c>
      <c r="S44" s="664">
        <f t="shared" si="12"/>
        <v>100</v>
      </c>
      <c r="T44" s="663" t="s">
        <v>18</v>
      </c>
      <c r="U44" s="664">
        <f t="shared" si="13"/>
        <v>100</v>
      </c>
      <c r="V44" s="663" t="s">
        <v>18</v>
      </c>
      <c r="W44" s="664">
        <f t="shared" si="14"/>
        <v>100</v>
      </c>
      <c r="X44" s="665"/>
      <c r="Y44" s="336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60"/>
      <c r="Q45" s="1261">
        <f t="shared" si="11"/>
        <v>111</v>
      </c>
      <c r="R45" s="666" t="s">
        <v>18</v>
      </c>
      <c r="S45" s="667">
        <f t="shared" si="12"/>
        <v>100</v>
      </c>
      <c r="T45" s="666" t="s">
        <v>18</v>
      </c>
      <c r="U45" s="667">
        <f t="shared" si="13"/>
        <v>100</v>
      </c>
      <c r="V45" s="666" t="s">
        <v>18</v>
      </c>
      <c r="W45" s="667">
        <f t="shared" si="14"/>
        <v>100</v>
      </c>
      <c r="X45" s="1263"/>
      <c r="Y45" s="3362"/>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61"/>
      <c r="Q46" s="1261">
        <f t="shared" si="11"/>
        <v>111</v>
      </c>
      <c r="R46" s="666" t="s">
        <v>17</v>
      </c>
      <c r="S46" s="667">
        <f t="shared" si="12"/>
        <v>100</v>
      </c>
      <c r="T46" s="666" t="s">
        <v>17</v>
      </c>
      <c r="U46" s="667">
        <f t="shared" si="13"/>
        <v>100</v>
      </c>
      <c r="V46" s="666" t="s">
        <v>17</v>
      </c>
      <c r="W46" s="667">
        <f t="shared" si="14"/>
        <v>100</v>
      </c>
      <c r="X46" s="1263"/>
      <c r="Y46" s="3363"/>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350" t="str">
        <f>A47</f>
        <v>成交单价（元/平方米）</v>
      </c>
      <c r="Q47" s="3350"/>
      <c r="R47" s="3351">
        <f>E47</f>
        <v>0</v>
      </c>
      <c r="S47" s="3351"/>
      <c r="T47" s="3351">
        <f>G47</f>
        <v>0</v>
      </c>
      <c r="U47" s="3351"/>
      <c r="V47" s="3351">
        <f>I47</f>
        <v>0</v>
      </c>
      <c r="W47" s="3351"/>
      <c r="X47" s="385"/>
      <c r="Y47" s="672"/>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3"/>
      <c r="M48" s="2486"/>
      <c r="N48" s="2486"/>
      <c r="O48" s="2486"/>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2024-7</v>
      </c>
      <c r="D58" s="1102">
        <f>EDATE(C58,-1)</f>
        <v>45444</v>
      </c>
      <c r="E58" s="1102">
        <f>EDATE(D58,-1)</f>
        <v>45413</v>
      </c>
      <c r="F58" s="1102">
        <f t="shared" ref="F58:O58" si="19">EDATE(E58,-1)</f>
        <v>45383</v>
      </c>
      <c r="G58" s="1102">
        <f t="shared" si="19"/>
        <v>45352</v>
      </c>
      <c r="H58" s="1102">
        <f t="shared" si="19"/>
        <v>45323</v>
      </c>
      <c r="I58" s="1102">
        <f t="shared" si="19"/>
        <v>45292</v>
      </c>
      <c r="J58" s="1102">
        <f t="shared" si="19"/>
        <v>45261</v>
      </c>
      <c r="K58" s="1102">
        <f t="shared" si="19"/>
        <v>45231</v>
      </c>
      <c r="L58" s="1102">
        <f t="shared" si="19"/>
        <v>45200</v>
      </c>
      <c r="M58" s="1102">
        <f t="shared" si="19"/>
        <v>45170</v>
      </c>
      <c r="N58" s="1102">
        <f t="shared" si="19"/>
        <v>45139</v>
      </c>
      <c r="O58" s="1102">
        <f t="shared" si="19"/>
        <v>45108</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2269.1</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424" t="s">
        <v>1775</v>
      </c>
      <c r="Q4" s="3425"/>
      <c r="R4" s="3428" t="s">
        <v>1771</v>
      </c>
      <c r="S4" s="3429"/>
      <c r="T4" s="3428" t="s">
        <v>1772</v>
      </c>
      <c r="U4" s="3429"/>
      <c r="V4" s="3430" t="s">
        <v>1773</v>
      </c>
      <c r="W4" s="3430"/>
      <c r="X4" s="1807"/>
      <c r="Y4" s="3428" t="s">
        <v>1775</v>
      </c>
      <c r="Z4" s="3429"/>
      <c r="AA4" s="3432" t="s">
        <v>1771</v>
      </c>
      <c r="AB4" s="3432" t="s">
        <v>1772</v>
      </c>
      <c r="AC4" s="3421" t="s">
        <v>1773</v>
      </c>
    </row>
    <row r="5" spans="1:29" ht="15">
      <c r="A5" s="348"/>
      <c r="B5" s="349"/>
      <c r="C5" s="3391" t="s">
        <v>1673</v>
      </c>
      <c r="D5" s="3387"/>
      <c r="E5" s="3417" t="s">
        <v>1674</v>
      </c>
      <c r="F5" s="3395"/>
      <c r="G5" s="3391" t="s">
        <v>1675</v>
      </c>
      <c r="H5" s="3387"/>
      <c r="I5" s="3391" t="s">
        <v>1676</v>
      </c>
      <c r="J5" s="3387"/>
      <c r="K5" s="537"/>
      <c r="L5" s="2485"/>
      <c r="M5" s="2486"/>
      <c r="N5" s="2486"/>
      <c r="O5" s="2486"/>
      <c r="P5" s="3426"/>
      <c r="Q5" s="3375"/>
      <c r="R5" s="3380"/>
      <c r="S5" s="3381"/>
      <c r="T5" s="3380"/>
      <c r="U5" s="3381"/>
      <c r="V5" s="3351"/>
      <c r="W5" s="3351"/>
      <c r="X5" s="1263"/>
      <c r="Y5" s="3380"/>
      <c r="Z5" s="3381"/>
      <c r="AA5" s="3366"/>
      <c r="AB5" s="3366"/>
      <c r="AC5" s="3422"/>
    </row>
    <row r="6" spans="1:29" ht="15.75" thickBot="1">
      <c r="A6" s="350"/>
      <c r="B6" s="351"/>
      <c r="C6" s="3384" t="s">
        <v>1677</v>
      </c>
      <c r="D6" s="3385"/>
      <c r="E6" s="3392" t="s">
        <v>1677</v>
      </c>
      <c r="F6" s="3393"/>
      <c r="G6" s="3384" t="s">
        <v>1677</v>
      </c>
      <c r="H6" s="3385"/>
      <c r="I6" s="3384" t="s">
        <v>1677</v>
      </c>
      <c r="J6" s="3385"/>
      <c r="K6" s="537" t="s">
        <v>1678</v>
      </c>
      <c r="L6" s="2485"/>
      <c r="M6" s="2486"/>
      <c r="N6" s="2486"/>
      <c r="O6" s="2486"/>
      <c r="P6" s="3427"/>
      <c r="Q6" s="3377"/>
      <c r="R6" s="3380"/>
      <c r="S6" s="3381"/>
      <c r="T6" s="3382"/>
      <c r="U6" s="3383"/>
      <c r="V6" s="3351"/>
      <c r="W6" s="3351"/>
      <c r="X6" s="1263"/>
      <c r="Y6" s="3382"/>
      <c r="Z6" s="3383"/>
      <c r="AA6" s="3367"/>
      <c r="AB6" s="3367"/>
      <c r="AC6" s="3423"/>
    </row>
    <row r="7" spans="1:29" s="102" customFormat="1" ht="15.75" thickBot="1">
      <c r="A7" s="352" t="s">
        <v>1679</v>
      </c>
      <c r="B7" s="353"/>
      <c r="C7" s="354">
        <f>'数据-取费表'!B2</f>
        <v>45504</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1"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1" t="s">
        <v>1683</v>
      </c>
      <c r="Q8" s="3389"/>
      <c r="R8" s="663" t="s">
        <v>14</v>
      </c>
      <c r="S8" s="664">
        <f t="shared" si="0"/>
        <v>100</v>
      </c>
      <c r="T8" s="663" t="s">
        <v>14</v>
      </c>
      <c r="U8" s="664">
        <f t="shared" si="1"/>
        <v>100</v>
      </c>
      <c r="V8" s="663" t="s">
        <v>14</v>
      </c>
      <c r="W8" s="664">
        <f t="shared" si="2"/>
        <v>100</v>
      </c>
      <c r="X8" s="665"/>
      <c r="Y8" s="3388" t="s">
        <v>1683</v>
      </c>
      <c r="Z8" s="338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6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4"/>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6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6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64"/>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55" t="s">
        <v>1691</v>
      </c>
      <c r="Q15" s="1261" t="str">
        <f t="shared" si="6"/>
        <v>办公集聚程度</v>
      </c>
      <c r="R15" s="666" t="s">
        <v>14</v>
      </c>
      <c r="S15" s="667">
        <f t="shared" si="0"/>
        <v>100</v>
      </c>
      <c r="T15" s="666" t="s">
        <v>14</v>
      </c>
      <c r="U15" s="667">
        <f t="shared" si="1"/>
        <v>100</v>
      </c>
      <c r="V15" s="666" t="s">
        <v>14</v>
      </c>
      <c r="W15" s="667">
        <f t="shared" si="2"/>
        <v>100</v>
      </c>
      <c r="X15" s="1263"/>
      <c r="Y15" s="3357" t="s">
        <v>1691</v>
      </c>
      <c r="Z15" s="1262" t="str">
        <f t="shared" si="7"/>
        <v>办公集聚程度</v>
      </c>
      <c r="AA15" s="1262">
        <f t="shared" si="3"/>
        <v>1</v>
      </c>
      <c r="AB15" s="1262">
        <f t="shared" si="4"/>
        <v>1</v>
      </c>
      <c r="AC15" s="1810">
        <f t="shared" si="5"/>
        <v>1</v>
      </c>
    </row>
    <row r="16" spans="1:29" ht="15">
      <c r="A16" s="367"/>
      <c r="B16" s="554"/>
      <c r="C16" s="1756"/>
      <c r="D16" s="387"/>
      <c r="E16" s="386"/>
      <c r="F16" s="387"/>
      <c r="G16" s="1756"/>
      <c r="H16" s="389"/>
      <c r="I16" s="386"/>
      <c r="J16" s="387"/>
      <c r="K16" s="541"/>
      <c r="L16" s="2491"/>
      <c r="M16" s="2486"/>
      <c r="N16" s="2486"/>
      <c r="O16" s="2486"/>
      <c r="P16" s="3356"/>
      <c r="Q16" s="1261"/>
      <c r="R16" s="666"/>
      <c r="S16" s="667"/>
      <c r="T16" s="666"/>
      <c r="U16" s="667"/>
      <c r="V16" s="666"/>
      <c r="W16" s="667"/>
      <c r="X16" s="1263"/>
      <c r="Y16" s="3358"/>
      <c r="Z16" s="1262"/>
      <c r="AA16" s="1262">
        <v>1</v>
      </c>
      <c r="AB16" s="1262">
        <v>1</v>
      </c>
      <c r="AC16" s="1810">
        <v>1</v>
      </c>
    </row>
    <row r="17" spans="1:29" ht="85.5">
      <c r="A17" s="367"/>
      <c r="B17" s="555" t="s">
        <v>1259</v>
      </c>
      <c r="C17" s="1811" t="str">
        <f>估价对象房地状况!C6</f>
        <v>估价对象周边道路状况、公共交通通达情况915、918、955等、停车便捷程度，综合评价交通便捷度一般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56"/>
      <c r="Q17" s="1261" t="str">
        <f>B17</f>
        <v>交通便捷度</v>
      </c>
      <c r="R17" s="666" t="s">
        <v>14</v>
      </c>
      <c r="S17" s="667">
        <f>F17</f>
        <v>100</v>
      </c>
      <c r="T17" s="666" t="s">
        <v>14</v>
      </c>
      <c r="U17" s="667">
        <f>H17</f>
        <v>100</v>
      </c>
      <c r="V17" s="666" t="s">
        <v>14</v>
      </c>
      <c r="W17" s="667">
        <f>J17</f>
        <v>100</v>
      </c>
      <c r="X17" s="1263"/>
      <c r="Y17" s="3358"/>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1"/>
      <c r="M18" s="2486"/>
      <c r="N18" s="2486"/>
      <c r="O18" s="2486"/>
      <c r="P18" s="3356"/>
      <c r="Q18" s="1261"/>
      <c r="R18" s="666"/>
      <c r="S18" s="667"/>
      <c r="T18" s="666"/>
      <c r="U18" s="667"/>
      <c r="V18" s="666"/>
      <c r="W18" s="667"/>
      <c r="X18" s="1263"/>
      <c r="Y18" s="3358"/>
      <c r="Z18" s="1262"/>
      <c r="AA18" s="1262">
        <v>1</v>
      </c>
      <c r="AB18" s="1262">
        <v>1</v>
      </c>
      <c r="AC18" s="1810">
        <v>1</v>
      </c>
    </row>
    <row r="19" spans="1:29" ht="42.75">
      <c r="A19" s="367"/>
      <c r="B19" s="555" t="s">
        <v>1812</v>
      </c>
      <c r="C19" s="1811" t="str">
        <f>估价对象房地状况!C7</f>
        <v>估价对象所在区域公共配套设施齐备情况一般</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56"/>
      <c r="Q19" s="1261" t="str">
        <f>B19</f>
        <v>公共配套设施</v>
      </c>
      <c r="R19" s="666" t="s">
        <v>14</v>
      </c>
      <c r="S19" s="667">
        <f>F19</f>
        <v>100</v>
      </c>
      <c r="T19" s="666" t="s">
        <v>14</v>
      </c>
      <c r="U19" s="667">
        <f>H19</f>
        <v>100</v>
      </c>
      <c r="V19" s="666" t="s">
        <v>14</v>
      </c>
      <c r="W19" s="667">
        <f>J19</f>
        <v>100</v>
      </c>
      <c r="X19" s="1263"/>
      <c r="Y19" s="3358"/>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1"/>
      <c r="M20" s="2486"/>
      <c r="N20" s="2486"/>
      <c r="O20" s="2486"/>
      <c r="P20" s="3356"/>
      <c r="Q20" s="1261"/>
      <c r="R20" s="666"/>
      <c r="S20" s="667"/>
      <c r="T20" s="666"/>
      <c r="U20" s="667"/>
      <c r="V20" s="666"/>
      <c r="W20" s="667"/>
      <c r="X20" s="1263"/>
      <c r="Y20" s="3358"/>
      <c r="Z20" s="1262"/>
      <c r="AA20" s="1262">
        <v>1</v>
      </c>
      <c r="AB20" s="1262">
        <v>1</v>
      </c>
      <c r="AC20" s="1810">
        <v>1</v>
      </c>
    </row>
    <row r="21" spans="1:29" ht="15">
      <c r="A21" s="367"/>
      <c r="B21" s="556" t="s">
        <v>1813</v>
      </c>
      <c r="C21" s="1811"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56"/>
      <c r="Q21" s="1261" t="str">
        <f>B21</f>
        <v>基础设施水平</v>
      </c>
      <c r="R21" s="666" t="s">
        <v>14</v>
      </c>
      <c r="S21" s="667">
        <f>F21</f>
        <v>100</v>
      </c>
      <c r="T21" s="666" t="s">
        <v>14</v>
      </c>
      <c r="U21" s="667">
        <f>H21</f>
        <v>100</v>
      </c>
      <c r="V21" s="666" t="s">
        <v>14</v>
      </c>
      <c r="W21" s="667">
        <f>J21</f>
        <v>100</v>
      </c>
      <c r="X21" s="1263"/>
      <c r="Y21" s="3358"/>
      <c r="Z21" s="1262" t="str">
        <f>Q21</f>
        <v>基础设施水平</v>
      </c>
      <c r="AA21" s="1262">
        <f t="shared" ref="AA21" si="8">D21/F21</f>
        <v>1</v>
      </c>
      <c r="AB21" s="1262">
        <f t="shared" ref="AB21" si="9">D21/H21</f>
        <v>1</v>
      </c>
      <c r="AC21" s="1810">
        <f t="shared" ref="AC21" si="10">D21/J21</f>
        <v>1</v>
      </c>
    </row>
    <row r="22" spans="1:29" ht="15">
      <c r="A22" s="367"/>
      <c r="B22" s="556"/>
      <c r="C22" s="1812"/>
      <c r="D22" s="387"/>
      <c r="E22" s="386"/>
      <c r="F22" s="387"/>
      <c r="G22" s="1756"/>
      <c r="H22" s="387"/>
      <c r="I22" s="1756"/>
      <c r="J22" s="387"/>
      <c r="K22" s="1062"/>
      <c r="L22" s="2491"/>
      <c r="M22" s="2486"/>
      <c r="N22" s="2486"/>
      <c r="O22" s="2486"/>
      <c r="P22" s="3356"/>
      <c r="Q22" s="1261"/>
      <c r="R22" s="666"/>
      <c r="S22" s="667"/>
      <c r="T22" s="666"/>
      <c r="U22" s="667"/>
      <c r="V22" s="666"/>
      <c r="W22" s="667"/>
      <c r="X22" s="1263"/>
      <c r="Y22" s="3358"/>
      <c r="Z22" s="1262"/>
      <c r="AA22" s="1262">
        <v>1</v>
      </c>
      <c r="AB22" s="1262">
        <v>1</v>
      </c>
      <c r="AC22" s="1810">
        <v>1</v>
      </c>
    </row>
    <row r="23" spans="1:29" ht="42.75">
      <c r="A23" s="367"/>
      <c r="B23" s="555"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56"/>
      <c r="Q23" s="1261" t="str">
        <f>B23</f>
        <v>环境质量</v>
      </c>
      <c r="R23" s="666" t="s">
        <v>14</v>
      </c>
      <c r="S23" s="667">
        <f>F23</f>
        <v>100</v>
      </c>
      <c r="T23" s="666" t="s">
        <v>14</v>
      </c>
      <c r="U23" s="667">
        <f>H23</f>
        <v>100</v>
      </c>
      <c r="V23" s="666" t="s">
        <v>14</v>
      </c>
      <c r="W23" s="667">
        <f>J23</f>
        <v>100</v>
      </c>
      <c r="X23" s="1263"/>
      <c r="Y23" s="3358"/>
      <c r="Z23" s="1262" t="str">
        <f>Q23</f>
        <v>环境质量</v>
      </c>
      <c r="AA23" s="1262">
        <f t="shared" si="3"/>
        <v>1</v>
      </c>
      <c r="AB23" s="1262">
        <f t="shared" si="4"/>
        <v>1</v>
      </c>
      <c r="AC23" s="1810">
        <f t="shared" si="5"/>
        <v>1</v>
      </c>
    </row>
    <row r="24" spans="1:29" ht="15">
      <c r="A24" s="367"/>
      <c r="B24" s="556"/>
      <c r="C24" s="1756"/>
      <c r="D24" s="387"/>
      <c r="E24" s="1749"/>
      <c r="F24" s="387"/>
      <c r="G24" s="1750"/>
      <c r="H24" s="387"/>
      <c r="I24" s="1750"/>
      <c r="J24" s="387"/>
      <c r="K24" s="541"/>
      <c r="L24" s="2491"/>
      <c r="M24" s="2486"/>
      <c r="N24" s="2486"/>
      <c r="O24" s="2486"/>
      <c r="P24" s="3356"/>
      <c r="Q24" s="1261"/>
      <c r="R24" s="666"/>
      <c r="S24" s="667"/>
      <c r="T24" s="666"/>
      <c r="U24" s="667"/>
      <c r="V24" s="666"/>
      <c r="W24" s="667"/>
      <c r="X24" s="1263"/>
      <c r="Y24" s="3358"/>
      <c r="Z24" s="1262"/>
      <c r="AA24" s="1262">
        <v>1</v>
      </c>
      <c r="AB24" s="1262">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56"/>
      <c r="Q25" s="1261" t="str">
        <f>B25</f>
        <v>毗邻道路的类型与等级</v>
      </c>
      <c r="R25" s="666" t="s">
        <v>14</v>
      </c>
      <c r="S25" s="667">
        <f>F25</f>
        <v>100</v>
      </c>
      <c r="T25" s="666" t="s">
        <v>14</v>
      </c>
      <c r="U25" s="667">
        <f>H25</f>
        <v>100</v>
      </c>
      <c r="V25" s="666" t="s">
        <v>14</v>
      </c>
      <c r="W25" s="667">
        <f>J25</f>
        <v>100</v>
      </c>
      <c r="X25" s="1263"/>
      <c r="Y25" s="3358"/>
      <c r="Z25" s="1262" t="str">
        <f>Q25</f>
        <v>毗邻道路的类型与等级</v>
      </c>
      <c r="AA25" s="1262">
        <f t="shared" si="3"/>
        <v>1</v>
      </c>
      <c r="AB25" s="1262">
        <f t="shared" si="4"/>
        <v>1</v>
      </c>
      <c r="AC25" s="1810">
        <f t="shared" si="5"/>
        <v>1</v>
      </c>
    </row>
    <row r="26" spans="1:29" ht="15">
      <c r="A26" s="348"/>
      <c r="B26" s="401"/>
      <c r="C26" s="557"/>
      <c r="D26" s="374"/>
      <c r="E26" s="542"/>
      <c r="F26" s="374"/>
      <c r="G26" s="557"/>
      <c r="H26" s="374"/>
      <c r="I26" s="542"/>
      <c r="J26" s="374"/>
      <c r="K26" s="541"/>
      <c r="L26" s="2491"/>
      <c r="M26" s="2486"/>
      <c r="N26" s="2486"/>
      <c r="O26" s="2486"/>
      <c r="P26" s="3356"/>
      <c r="Q26" s="1261"/>
      <c r="R26" s="666"/>
      <c r="S26" s="667"/>
      <c r="T26" s="666"/>
      <c r="U26" s="667"/>
      <c r="V26" s="666"/>
      <c r="W26" s="667"/>
      <c r="X26" s="1263"/>
      <c r="Y26" s="3358"/>
      <c r="Z26" s="1262"/>
      <c r="AA26" s="1262">
        <v>1</v>
      </c>
      <c r="AB26" s="1262">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56"/>
      <c r="Q27" s="1261" t="str">
        <f t="shared" ref="Q27:Q47" si="11">B27</f>
        <v>楼层</v>
      </c>
      <c r="R27" s="666" t="s">
        <v>14</v>
      </c>
      <c r="S27" s="667">
        <f>F27</f>
        <v>100</v>
      </c>
      <c r="T27" s="666" t="s">
        <v>14</v>
      </c>
      <c r="U27" s="667">
        <f>H27</f>
        <v>100</v>
      </c>
      <c r="V27" s="666" t="s">
        <v>14</v>
      </c>
      <c r="W27" s="667">
        <f>J27</f>
        <v>100</v>
      </c>
      <c r="X27" s="1263"/>
      <c r="Y27" s="3358"/>
      <c r="Z27" s="1262" t="str">
        <f>Q27</f>
        <v>楼层</v>
      </c>
      <c r="AA27" s="1262">
        <f t="shared" si="3"/>
        <v>1</v>
      </c>
      <c r="AB27" s="1262">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56"/>
      <c r="Q28" s="530" t="str">
        <f t="shared" si="11"/>
        <v>朝向</v>
      </c>
      <c r="R28" s="663" t="s">
        <v>14</v>
      </c>
      <c r="S28" s="664">
        <f>F28</f>
        <v>100</v>
      </c>
      <c r="T28" s="663" t="s">
        <v>14</v>
      </c>
      <c r="U28" s="664">
        <f>H28</f>
        <v>100</v>
      </c>
      <c r="V28" s="663" t="s">
        <v>14</v>
      </c>
      <c r="W28" s="664">
        <f>J28</f>
        <v>100</v>
      </c>
      <c r="X28" s="665"/>
      <c r="Y28" s="3358"/>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56"/>
      <c r="Q29" s="1261">
        <f t="shared" si="11"/>
        <v>111</v>
      </c>
      <c r="R29" s="666" t="s">
        <v>14</v>
      </c>
      <c r="S29" s="667">
        <f t="shared" ref="S29:S47" si="12">F29</f>
        <v>100</v>
      </c>
      <c r="T29" s="666" t="s">
        <v>14</v>
      </c>
      <c r="U29" s="667">
        <f t="shared" ref="U29:U47" si="13">H29</f>
        <v>100</v>
      </c>
      <c r="V29" s="666" t="s">
        <v>14</v>
      </c>
      <c r="W29" s="667">
        <f t="shared" ref="W29:W47" si="14">J29</f>
        <v>100</v>
      </c>
      <c r="X29" s="1263"/>
      <c r="Y29" s="3358"/>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56"/>
      <c r="Q30" s="1261">
        <f t="shared" si="11"/>
        <v>111</v>
      </c>
      <c r="R30" s="666" t="s">
        <v>14</v>
      </c>
      <c r="S30" s="667">
        <f t="shared" si="12"/>
        <v>100</v>
      </c>
      <c r="T30" s="666" t="s">
        <v>14</v>
      </c>
      <c r="U30" s="667">
        <f t="shared" si="13"/>
        <v>100</v>
      </c>
      <c r="V30" s="666" t="s">
        <v>14</v>
      </c>
      <c r="W30" s="667">
        <f t="shared" si="14"/>
        <v>100</v>
      </c>
      <c r="X30" s="1263"/>
      <c r="Y30" s="3358"/>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56"/>
      <c r="Q31" s="1261">
        <f t="shared" si="11"/>
        <v>111</v>
      </c>
      <c r="R31" s="666" t="s">
        <v>14</v>
      </c>
      <c r="S31" s="667">
        <f t="shared" si="12"/>
        <v>100</v>
      </c>
      <c r="T31" s="666" t="s">
        <v>14</v>
      </c>
      <c r="U31" s="667">
        <f t="shared" si="13"/>
        <v>100</v>
      </c>
      <c r="V31" s="666" t="s">
        <v>14</v>
      </c>
      <c r="W31" s="667">
        <f t="shared" si="14"/>
        <v>100</v>
      </c>
      <c r="X31" s="1263"/>
      <c r="Y31" s="3358"/>
      <c r="Z31" s="1262">
        <f t="shared" si="15"/>
        <v>111</v>
      </c>
      <c r="AA31" s="1262">
        <f t="shared" si="3"/>
        <v>1</v>
      </c>
      <c r="AB31" s="1262">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56"/>
      <c r="Q32" s="1261">
        <f t="shared" si="11"/>
        <v>111</v>
      </c>
      <c r="R32" s="666" t="s">
        <v>14</v>
      </c>
      <c r="S32" s="667">
        <f t="shared" si="12"/>
        <v>100</v>
      </c>
      <c r="T32" s="666" t="s">
        <v>14</v>
      </c>
      <c r="U32" s="667">
        <f t="shared" si="13"/>
        <v>100</v>
      </c>
      <c r="V32" s="666" t="s">
        <v>14</v>
      </c>
      <c r="W32" s="667">
        <f t="shared" si="14"/>
        <v>100</v>
      </c>
      <c r="X32" s="1263"/>
      <c r="Y32" s="3358"/>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59" t="s">
        <v>1696</v>
      </c>
      <c r="Q33" s="1261" t="str">
        <f t="shared" si="11"/>
        <v>建筑类型</v>
      </c>
      <c r="R33" s="666" t="s">
        <v>14</v>
      </c>
      <c r="S33" s="667">
        <f t="shared" si="12"/>
        <v>100</v>
      </c>
      <c r="T33" s="666" t="s">
        <v>14</v>
      </c>
      <c r="U33" s="667">
        <f t="shared" si="13"/>
        <v>100</v>
      </c>
      <c r="V33" s="666" t="s">
        <v>14</v>
      </c>
      <c r="W33" s="667">
        <f t="shared" si="14"/>
        <v>100</v>
      </c>
      <c r="X33" s="1263"/>
      <c r="Y33" s="3362"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0"/>
      <c r="Q34" s="531" t="str">
        <f t="shared" si="11"/>
        <v>项目建筑规模</v>
      </c>
      <c r="R34" s="668" t="s">
        <v>14</v>
      </c>
      <c r="S34" s="669" t="e">
        <f t="shared" si="12"/>
        <v>#N/A</v>
      </c>
      <c r="T34" s="668" t="s">
        <v>14</v>
      </c>
      <c r="U34" s="669" t="e">
        <f t="shared" si="13"/>
        <v>#N/A</v>
      </c>
      <c r="V34" s="668" t="s">
        <v>14</v>
      </c>
      <c r="W34" s="669" t="e">
        <f t="shared" si="14"/>
        <v>#N/A</v>
      </c>
      <c r="X34" s="670"/>
      <c r="Y34" s="3362"/>
      <c r="Z34" s="671"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0"/>
      <c r="Q35" s="1261" t="str">
        <f t="shared" si="11"/>
        <v>建筑结构</v>
      </c>
      <c r="R35" s="666" t="s">
        <v>14</v>
      </c>
      <c r="S35" s="667">
        <f t="shared" si="12"/>
        <v>100</v>
      </c>
      <c r="T35" s="666" t="s">
        <v>14</v>
      </c>
      <c r="U35" s="667">
        <f t="shared" si="13"/>
        <v>100</v>
      </c>
      <c r="V35" s="666" t="s">
        <v>14</v>
      </c>
      <c r="W35" s="667">
        <f t="shared" si="14"/>
        <v>100</v>
      </c>
      <c r="X35" s="1263"/>
      <c r="Y35" s="336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0"/>
      <c r="Q36" s="1261" t="str">
        <f t="shared" si="11"/>
        <v>公共部分装修</v>
      </c>
      <c r="R36" s="666" t="s">
        <v>14</v>
      </c>
      <c r="S36" s="667">
        <f t="shared" si="12"/>
        <v>100</v>
      </c>
      <c r="T36" s="666" t="s">
        <v>14</v>
      </c>
      <c r="U36" s="667">
        <f t="shared" si="13"/>
        <v>100</v>
      </c>
      <c r="V36" s="666" t="s">
        <v>14</v>
      </c>
      <c r="W36" s="667">
        <f t="shared" si="14"/>
        <v>100</v>
      </c>
      <c r="X36" s="1263"/>
      <c r="Y36" s="3362"/>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0"/>
      <c r="Q37" s="1261" t="str">
        <f t="shared" si="11"/>
        <v>成新度</v>
      </c>
      <c r="R37" s="666" t="s">
        <v>14</v>
      </c>
      <c r="S37" s="667" t="e">
        <f t="shared" si="12"/>
        <v>#N/A</v>
      </c>
      <c r="T37" s="666" t="s">
        <v>14</v>
      </c>
      <c r="U37" s="667" t="e">
        <f t="shared" si="13"/>
        <v>#N/A</v>
      </c>
      <c r="V37" s="666" t="s">
        <v>14</v>
      </c>
      <c r="W37" s="667" t="e">
        <f t="shared" si="14"/>
        <v>#N/A</v>
      </c>
      <c r="X37" s="1263"/>
      <c r="Y37" s="3362"/>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60"/>
      <c r="Q38" s="530" t="str">
        <f t="shared" si="11"/>
        <v>写字楼等级</v>
      </c>
      <c r="R38" s="663" t="s">
        <v>14</v>
      </c>
      <c r="S38" s="664">
        <f t="shared" si="12"/>
        <v>100</v>
      </c>
      <c r="T38" s="663" t="s">
        <v>14</v>
      </c>
      <c r="U38" s="664">
        <f t="shared" si="13"/>
        <v>100</v>
      </c>
      <c r="V38" s="663" t="s">
        <v>14</v>
      </c>
      <c r="W38" s="664">
        <f t="shared" si="14"/>
        <v>100</v>
      </c>
      <c r="X38" s="665"/>
      <c r="Y38" s="336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0" t="s">
        <v>1696</v>
      </c>
      <c r="Q39" s="1261" t="str">
        <f t="shared" si="11"/>
        <v>物业管理</v>
      </c>
      <c r="R39" s="666" t="s">
        <v>14</v>
      </c>
      <c r="S39" s="667">
        <f t="shared" si="12"/>
        <v>100</v>
      </c>
      <c r="T39" s="666" t="s">
        <v>14</v>
      </c>
      <c r="U39" s="667">
        <f t="shared" si="13"/>
        <v>100</v>
      </c>
      <c r="V39" s="666" t="s">
        <v>14</v>
      </c>
      <c r="W39" s="667">
        <f t="shared" si="14"/>
        <v>100</v>
      </c>
      <c r="X39" s="1263"/>
      <c r="Y39" s="3362"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0"/>
      <c r="Q40" s="1261" t="str">
        <f t="shared" si="11"/>
        <v>市政基础设施</v>
      </c>
      <c r="R40" s="666" t="s">
        <v>14</v>
      </c>
      <c r="S40" s="667">
        <f t="shared" si="12"/>
        <v>100</v>
      </c>
      <c r="T40" s="666" t="s">
        <v>14</v>
      </c>
      <c r="U40" s="667">
        <f t="shared" si="13"/>
        <v>100</v>
      </c>
      <c r="V40" s="666" t="s">
        <v>14</v>
      </c>
      <c r="W40" s="667">
        <f t="shared" si="14"/>
        <v>100</v>
      </c>
      <c r="X40" s="1263"/>
      <c r="Y40" s="3362"/>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0"/>
      <c r="Q41" s="1261" t="str">
        <f t="shared" si="11"/>
        <v>层高</v>
      </c>
      <c r="R41" s="666" t="s">
        <v>14</v>
      </c>
      <c r="S41" s="667">
        <f t="shared" si="12"/>
        <v>100</v>
      </c>
      <c r="T41" s="666" t="s">
        <v>14</v>
      </c>
      <c r="U41" s="667">
        <f t="shared" si="13"/>
        <v>100</v>
      </c>
      <c r="V41" s="666" t="s">
        <v>14</v>
      </c>
      <c r="W41" s="667">
        <f t="shared" si="14"/>
        <v>100</v>
      </c>
      <c r="X41" s="1263"/>
      <c r="Y41" s="336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0"/>
      <c r="Q42" s="531" t="str">
        <f t="shared" si="11"/>
        <v>单套建筑面积</v>
      </c>
      <c r="R42" s="668" t="s">
        <v>14</v>
      </c>
      <c r="S42" s="669">
        <f t="shared" si="12"/>
        <v>100</v>
      </c>
      <c r="T42" s="668" t="s">
        <v>14</v>
      </c>
      <c r="U42" s="669">
        <f t="shared" si="13"/>
        <v>100</v>
      </c>
      <c r="V42" s="668" t="s">
        <v>14</v>
      </c>
      <c r="W42" s="669">
        <f t="shared" si="14"/>
        <v>100</v>
      </c>
      <c r="X42" s="670"/>
      <c r="Y42" s="3362"/>
      <c r="Z42" s="671"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0"/>
      <c r="Q43" s="1261" t="str">
        <f t="shared" si="11"/>
        <v>内部装修</v>
      </c>
      <c r="R43" s="666" t="s">
        <v>14</v>
      </c>
      <c r="S43" s="667">
        <f t="shared" si="12"/>
        <v>100</v>
      </c>
      <c r="T43" s="666" t="s">
        <v>14</v>
      </c>
      <c r="U43" s="667">
        <f t="shared" si="13"/>
        <v>100</v>
      </c>
      <c r="V43" s="666" t="s">
        <v>14</v>
      </c>
      <c r="W43" s="667">
        <f t="shared" si="14"/>
        <v>100</v>
      </c>
      <c r="X43" s="1263"/>
      <c r="Y43" s="3362"/>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60"/>
      <c r="Q44" s="1261" t="str">
        <f t="shared" si="11"/>
        <v>内部装修维护情况</v>
      </c>
      <c r="R44" s="666" t="s">
        <v>14</v>
      </c>
      <c r="S44" s="667">
        <f t="shared" si="12"/>
        <v>100</v>
      </c>
      <c r="T44" s="666" t="s">
        <v>14</v>
      </c>
      <c r="U44" s="667">
        <f t="shared" si="13"/>
        <v>100</v>
      </c>
      <c r="V44" s="666" t="s">
        <v>14</v>
      </c>
      <c r="W44" s="667">
        <f t="shared" si="14"/>
        <v>100</v>
      </c>
      <c r="X44" s="1263"/>
      <c r="Y44" s="3362"/>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60"/>
      <c r="Q45" s="530">
        <f t="shared" si="11"/>
        <v>111</v>
      </c>
      <c r="R45" s="663" t="s">
        <v>14</v>
      </c>
      <c r="S45" s="664">
        <f t="shared" si="12"/>
        <v>100</v>
      </c>
      <c r="T45" s="663" t="s">
        <v>14</v>
      </c>
      <c r="U45" s="664">
        <f t="shared" si="13"/>
        <v>100</v>
      </c>
      <c r="V45" s="663" t="s">
        <v>14</v>
      </c>
      <c r="W45" s="664">
        <f t="shared" si="14"/>
        <v>100</v>
      </c>
      <c r="X45" s="665"/>
      <c r="Y45" s="3362"/>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0"/>
      <c r="Q46" s="1261">
        <f t="shared" si="11"/>
        <v>111</v>
      </c>
      <c r="R46" s="666" t="s">
        <v>14</v>
      </c>
      <c r="S46" s="667">
        <f t="shared" si="12"/>
        <v>100</v>
      </c>
      <c r="T46" s="666" t="s">
        <v>14</v>
      </c>
      <c r="U46" s="667">
        <f t="shared" si="13"/>
        <v>100</v>
      </c>
      <c r="V46" s="666" t="s">
        <v>14</v>
      </c>
      <c r="W46" s="667">
        <f t="shared" si="14"/>
        <v>100</v>
      </c>
      <c r="X46" s="1263"/>
      <c r="Y46" s="3362"/>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1"/>
      <c r="Q47" s="1261">
        <f t="shared" si="11"/>
        <v>111</v>
      </c>
      <c r="R47" s="666" t="s">
        <v>14</v>
      </c>
      <c r="S47" s="667">
        <f t="shared" si="12"/>
        <v>100</v>
      </c>
      <c r="T47" s="666" t="s">
        <v>14</v>
      </c>
      <c r="U47" s="667">
        <f t="shared" si="13"/>
        <v>100</v>
      </c>
      <c r="V47" s="666" t="s">
        <v>14</v>
      </c>
      <c r="W47" s="667">
        <f t="shared" si="14"/>
        <v>100</v>
      </c>
      <c r="X47" s="1263"/>
      <c r="Y47" s="3363"/>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3"/>
      <c r="L48" s="2493"/>
      <c r="M48" s="2486"/>
      <c r="N48" s="2486"/>
      <c r="O48" s="2486"/>
      <c r="P48" s="3364" t="str">
        <f>A48</f>
        <v>成交单价（元/平方米）</v>
      </c>
      <c r="Q48" s="3350"/>
      <c r="R48" s="3351">
        <f>E48</f>
        <v>0</v>
      </c>
      <c r="S48" s="3351"/>
      <c r="T48" s="3351">
        <f>G48</f>
        <v>0</v>
      </c>
      <c r="U48" s="3351"/>
      <c r="V48" s="3351">
        <f>I48</f>
        <v>0</v>
      </c>
      <c r="W48" s="3351"/>
      <c r="X48" s="385"/>
      <c r="Y48" s="672"/>
      <c r="Z48" s="385"/>
      <c r="AA48" s="385"/>
      <c r="AB48" s="385"/>
      <c r="AC48" s="554"/>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3"/>
      <c r="M49" s="2486"/>
      <c r="N49" s="2486"/>
      <c r="O49" s="2486"/>
      <c r="P49" s="3364" t="str">
        <f>A49</f>
        <v>比较价值（元/平方米）</v>
      </c>
      <c r="Q49" s="335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2024-7</v>
      </c>
      <c r="D59" s="1102">
        <f>EDATE(C59,-1)</f>
        <v>45444</v>
      </c>
      <c r="E59" s="1102">
        <f>EDATE(D59,-1)</f>
        <v>45413</v>
      </c>
      <c r="F59" s="1102">
        <f t="shared" ref="F59:O59" si="16">EDATE(E59,-1)</f>
        <v>45383</v>
      </c>
      <c r="G59" s="1102">
        <f t="shared" si="16"/>
        <v>45352</v>
      </c>
      <c r="H59" s="1102">
        <f t="shared" si="16"/>
        <v>45323</v>
      </c>
      <c r="I59" s="1102">
        <f t="shared" si="16"/>
        <v>45292</v>
      </c>
      <c r="J59" s="1102">
        <f t="shared" si="16"/>
        <v>45261</v>
      </c>
      <c r="K59" s="1102">
        <f t="shared" si="16"/>
        <v>45231</v>
      </c>
      <c r="L59" s="1102">
        <f t="shared" si="16"/>
        <v>45200</v>
      </c>
      <c r="M59" s="1102">
        <f t="shared" si="16"/>
        <v>45170</v>
      </c>
      <c r="N59" s="1102">
        <f t="shared" si="16"/>
        <v>45139</v>
      </c>
      <c r="O59" s="1102">
        <f t="shared" si="16"/>
        <v>45108</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2269.1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8" t="s">
        <v>1770</v>
      </c>
      <c r="D4" s="3369"/>
      <c r="E4" s="3370" t="s">
        <v>1771</v>
      </c>
      <c r="F4" s="3371"/>
      <c r="G4" s="3368" t="s">
        <v>1772</v>
      </c>
      <c r="H4" s="3369"/>
      <c r="I4" s="3368" t="s">
        <v>1773</v>
      </c>
      <c r="J4" s="3369"/>
      <c r="K4" s="537" t="s">
        <v>1774</v>
      </c>
      <c r="L4" s="859"/>
      <c r="M4" s="860"/>
      <c r="N4" s="860"/>
      <c r="O4" s="860"/>
      <c r="P4" s="3372" t="s">
        <v>1775</v>
      </c>
      <c r="Q4" s="3373"/>
      <c r="R4" s="3378" t="s">
        <v>1771</v>
      </c>
      <c r="S4" s="3379"/>
      <c r="T4" s="3378" t="s">
        <v>1772</v>
      </c>
      <c r="U4" s="3379"/>
      <c r="V4" s="3351" t="s">
        <v>1773</v>
      </c>
      <c r="W4" s="3351"/>
      <c r="X4" s="1263"/>
      <c r="Y4" s="3378" t="s">
        <v>1775</v>
      </c>
      <c r="Z4" s="3379"/>
      <c r="AA4" s="3365" t="s">
        <v>1771</v>
      </c>
      <c r="AB4" s="3366" t="s">
        <v>1772</v>
      </c>
      <c r="AC4" s="3365" t="s">
        <v>1773</v>
      </c>
    </row>
    <row r="5" spans="1:29" ht="15">
      <c r="A5" s="348"/>
      <c r="B5" s="349"/>
      <c r="C5" s="3391" t="s">
        <v>1673</v>
      </c>
      <c r="D5" s="3387"/>
      <c r="E5" s="3417" t="s">
        <v>1674</v>
      </c>
      <c r="F5" s="3395"/>
      <c r="G5" s="3391" t="s">
        <v>1675</v>
      </c>
      <c r="H5" s="3387"/>
      <c r="I5" s="3391" t="s">
        <v>1676</v>
      </c>
      <c r="J5" s="3387"/>
      <c r="K5" s="537"/>
      <c r="L5" s="859"/>
      <c r="M5" s="860"/>
      <c r="N5" s="860"/>
      <c r="O5" s="860"/>
      <c r="P5" s="3374"/>
      <c r="Q5" s="3375"/>
      <c r="R5" s="3380"/>
      <c r="S5" s="3381"/>
      <c r="T5" s="3380"/>
      <c r="U5" s="3381"/>
      <c r="V5" s="3351"/>
      <c r="W5" s="3351"/>
      <c r="X5" s="1263"/>
      <c r="Y5" s="3380"/>
      <c r="Z5" s="3381"/>
      <c r="AA5" s="3366"/>
      <c r="AB5" s="3366"/>
      <c r="AC5" s="3366"/>
    </row>
    <row r="6" spans="1:29" ht="15.75" thickBot="1">
      <c r="A6" s="350"/>
      <c r="B6" s="351"/>
      <c r="C6" s="3384" t="s">
        <v>1677</v>
      </c>
      <c r="D6" s="3385"/>
      <c r="E6" s="3392" t="s">
        <v>1677</v>
      </c>
      <c r="F6" s="3393"/>
      <c r="G6" s="3384" t="s">
        <v>1677</v>
      </c>
      <c r="H6" s="3385"/>
      <c r="I6" s="3384" t="s">
        <v>1677</v>
      </c>
      <c r="J6" s="3385"/>
      <c r="K6" s="537" t="s">
        <v>1678</v>
      </c>
      <c r="L6" s="859"/>
      <c r="M6" s="860"/>
      <c r="N6" s="860"/>
      <c r="O6" s="860"/>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SUMIF(52:52,YEAR(E7)&amp;"-"&amp;MONTH(E7),53:53)</f>
        <v>0</v>
      </c>
      <c r="G7" s="356"/>
      <c r="H7" s="355">
        <f>SUMIF(52:52,YEAR(G7)&amp;"-"&amp;MONTH(G7),53:53)</f>
        <v>0</v>
      </c>
      <c r="I7" s="356"/>
      <c r="J7" s="355">
        <f>SUMIF(52:52,YEAR(I7)&amp;"-"&amp;MONTH(I7),53:53)</f>
        <v>0</v>
      </c>
      <c r="K7" s="38"/>
      <c r="L7" s="861"/>
      <c r="M7" s="862"/>
      <c r="N7" s="862"/>
      <c r="O7" s="862"/>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8" t="s">
        <v>1683</v>
      </c>
      <c r="Q8" s="3389"/>
      <c r="R8" s="663" t="s">
        <v>14</v>
      </c>
      <c r="S8" s="664">
        <f t="shared" si="0"/>
        <v>100</v>
      </c>
      <c r="T8" s="663" t="s">
        <v>14</v>
      </c>
      <c r="U8" s="664">
        <f t="shared" si="1"/>
        <v>100</v>
      </c>
      <c r="V8" s="663" t="s">
        <v>14</v>
      </c>
      <c r="W8" s="664">
        <f t="shared" si="2"/>
        <v>100</v>
      </c>
      <c r="X8" s="665"/>
      <c r="Y8" s="3388" t="s">
        <v>1683</v>
      </c>
      <c r="Z8" s="33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0"/>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57" t="s">
        <v>1691</v>
      </c>
      <c r="Q15" s="1261" t="str">
        <f t="shared" si="6"/>
        <v>产业集聚程度</v>
      </c>
      <c r="R15" s="666" t="s">
        <v>14</v>
      </c>
      <c r="S15" s="667">
        <f t="shared" si="0"/>
        <v>100</v>
      </c>
      <c r="T15" s="666" t="s">
        <v>14</v>
      </c>
      <c r="U15" s="667">
        <f t="shared" si="1"/>
        <v>100</v>
      </c>
      <c r="V15" s="666" t="s">
        <v>14</v>
      </c>
      <c r="W15" s="667">
        <f t="shared" si="2"/>
        <v>100</v>
      </c>
      <c r="X15" s="1263"/>
      <c r="Y15" s="3357"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58"/>
      <c r="Q16" s="1261"/>
      <c r="R16" s="666"/>
      <c r="S16" s="667"/>
      <c r="T16" s="666"/>
      <c r="U16" s="667"/>
      <c r="V16" s="666"/>
      <c r="W16" s="667"/>
      <c r="X16" s="1263"/>
      <c r="Y16" s="3358"/>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58"/>
      <c r="Q17" s="1261" t="str">
        <f>B17</f>
        <v>交通便捷度</v>
      </c>
      <c r="R17" s="666" t="s">
        <v>14</v>
      </c>
      <c r="S17" s="667">
        <f>F17</f>
        <v>100</v>
      </c>
      <c r="T17" s="666" t="s">
        <v>14</v>
      </c>
      <c r="U17" s="667">
        <f>H17</f>
        <v>100</v>
      </c>
      <c r="V17" s="666" t="s">
        <v>14</v>
      </c>
      <c r="W17" s="667">
        <f>J17</f>
        <v>100</v>
      </c>
      <c r="X17" s="1263"/>
      <c r="Y17" s="335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58"/>
      <c r="Q18" s="1261"/>
      <c r="R18" s="666"/>
      <c r="S18" s="667"/>
      <c r="T18" s="666"/>
      <c r="U18" s="667"/>
      <c r="V18" s="666"/>
      <c r="W18" s="667"/>
      <c r="X18" s="1263"/>
      <c r="Y18" s="3358"/>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58"/>
      <c r="Q19" s="1261" t="str">
        <f>B19</f>
        <v>公共配套设施</v>
      </c>
      <c r="R19" s="666" t="s">
        <v>14</v>
      </c>
      <c r="S19" s="667">
        <f>F19</f>
        <v>100</v>
      </c>
      <c r="T19" s="666" t="s">
        <v>14</v>
      </c>
      <c r="U19" s="667">
        <f>H19</f>
        <v>100</v>
      </c>
      <c r="V19" s="666" t="s">
        <v>14</v>
      </c>
      <c r="W19" s="667">
        <f>J19</f>
        <v>100</v>
      </c>
      <c r="X19" s="1263"/>
      <c r="Y19" s="335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58"/>
      <c r="Q20" s="1261"/>
      <c r="R20" s="666"/>
      <c r="S20" s="667"/>
      <c r="T20" s="666"/>
      <c r="U20" s="667"/>
      <c r="V20" s="666"/>
      <c r="W20" s="667"/>
      <c r="X20" s="1263"/>
      <c r="Y20" s="3358"/>
      <c r="Z20" s="1262"/>
      <c r="AA20" s="1262">
        <v>1</v>
      </c>
      <c r="AB20" s="1262">
        <v>1</v>
      </c>
      <c r="AC20" s="1262">
        <v>1</v>
      </c>
    </row>
    <row r="21" spans="1:29" ht="28.5">
      <c r="A21" s="367"/>
      <c r="B21" s="585"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58"/>
      <c r="Q21" s="1261" t="str">
        <f>B21</f>
        <v>基础设施水平</v>
      </c>
      <c r="R21" s="666" t="s">
        <v>14</v>
      </c>
      <c r="S21" s="667">
        <f>F21</f>
        <v>100</v>
      </c>
      <c r="T21" s="666" t="s">
        <v>14</v>
      </c>
      <c r="U21" s="667">
        <f>H21</f>
        <v>100</v>
      </c>
      <c r="V21" s="666" t="s">
        <v>14</v>
      </c>
      <c r="W21" s="667">
        <f>J21</f>
        <v>100</v>
      </c>
      <c r="X21" s="1263"/>
      <c r="Y21" s="3358"/>
      <c r="Z21" s="1262" t="str">
        <f>Q21</f>
        <v>基础设施水平</v>
      </c>
      <c r="AA21" s="1262">
        <f t="shared" ref="AA21" si="8">D21/F21</f>
        <v>1</v>
      </c>
      <c r="AB21" s="1262">
        <f t="shared" ref="AB21" si="9">D21/H21</f>
        <v>1</v>
      </c>
      <c r="AC21" s="1262">
        <f t="shared" ref="AC21" si="10">D21/J21</f>
        <v>1</v>
      </c>
    </row>
    <row r="22" spans="1:29" ht="15">
      <c r="A22" s="367"/>
      <c r="B22" s="585"/>
      <c r="C22" s="1753"/>
      <c r="D22" s="387"/>
      <c r="E22" s="386"/>
      <c r="F22" s="388"/>
      <c r="G22" s="386"/>
      <c r="H22" s="387"/>
      <c r="I22" s="386"/>
      <c r="J22" s="387"/>
      <c r="K22" s="1062"/>
      <c r="L22" s="869"/>
      <c r="M22" s="860"/>
      <c r="N22" s="860"/>
      <c r="O22" s="868"/>
      <c r="P22" s="3358"/>
      <c r="Q22" s="1261"/>
      <c r="R22" s="666"/>
      <c r="S22" s="667"/>
      <c r="T22" s="666"/>
      <c r="U22" s="667"/>
      <c r="V22" s="666"/>
      <c r="W22" s="667"/>
      <c r="X22" s="1263"/>
      <c r="Y22" s="3358"/>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58"/>
      <c r="Q23" s="1261" t="str">
        <f>B23</f>
        <v>环境质量</v>
      </c>
      <c r="R23" s="666" t="s">
        <v>14</v>
      </c>
      <c r="S23" s="667">
        <f>F23</f>
        <v>100</v>
      </c>
      <c r="T23" s="666" t="s">
        <v>14</v>
      </c>
      <c r="U23" s="667">
        <f>H23</f>
        <v>100</v>
      </c>
      <c r="V23" s="666" t="s">
        <v>14</v>
      </c>
      <c r="W23" s="667">
        <f>J23</f>
        <v>100</v>
      </c>
      <c r="X23" s="1263"/>
      <c r="Y23" s="3358"/>
      <c r="Z23" s="1262" t="str">
        <f>Q23</f>
        <v>环境质量</v>
      </c>
      <c r="AA23" s="1262">
        <f t="shared" si="3"/>
        <v>1</v>
      </c>
      <c r="AB23" s="1262">
        <f t="shared" si="4"/>
        <v>1</v>
      </c>
      <c r="AC23" s="1262">
        <f t="shared" si="5"/>
        <v>1</v>
      </c>
    </row>
    <row r="24" spans="1:29" ht="15">
      <c r="A24" s="367"/>
      <c r="B24" s="585"/>
      <c r="C24" s="386"/>
      <c r="D24" s="387"/>
      <c r="E24" s="1750"/>
      <c r="F24" s="388"/>
      <c r="G24" s="1749"/>
      <c r="H24" s="387"/>
      <c r="I24" s="1750"/>
      <c r="J24" s="387"/>
      <c r="K24" s="541"/>
      <c r="L24" s="869"/>
      <c r="M24" s="860"/>
      <c r="N24" s="860"/>
      <c r="O24" s="868"/>
      <c r="P24" s="3358"/>
      <c r="Q24" s="1261"/>
      <c r="R24" s="666"/>
      <c r="S24" s="667"/>
      <c r="T24" s="666"/>
      <c r="U24" s="667"/>
      <c r="V24" s="666"/>
      <c r="W24" s="667"/>
      <c r="X24" s="1263"/>
      <c r="Y24" s="3358"/>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58"/>
      <c r="Q25" s="1261">
        <f>B25</f>
        <v>111</v>
      </c>
      <c r="R25" s="666" t="s">
        <v>14</v>
      </c>
      <c r="S25" s="667">
        <f>F25</f>
        <v>100</v>
      </c>
      <c r="T25" s="666" t="s">
        <v>14</v>
      </c>
      <c r="U25" s="667">
        <f>H25</f>
        <v>100</v>
      </c>
      <c r="V25" s="666" t="s">
        <v>14</v>
      </c>
      <c r="W25" s="667">
        <f>J25</f>
        <v>100</v>
      </c>
      <c r="X25" s="1263"/>
      <c r="Y25" s="3358"/>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58"/>
      <c r="Q26" s="1261">
        <f t="shared" ref="Q26:Q40" si="11">B26</f>
        <v>111</v>
      </c>
      <c r="R26" s="666" t="s">
        <v>14</v>
      </c>
      <c r="S26" s="667">
        <f>F26</f>
        <v>100</v>
      </c>
      <c r="T26" s="666" t="s">
        <v>14</v>
      </c>
      <c r="U26" s="667">
        <f>H26</f>
        <v>100</v>
      </c>
      <c r="V26" s="666" t="s">
        <v>14</v>
      </c>
      <c r="W26" s="667">
        <f>J26</f>
        <v>100</v>
      </c>
      <c r="X26" s="1263"/>
      <c r="Y26" s="3358"/>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58"/>
      <c r="Q27" s="530">
        <f t="shared" si="11"/>
        <v>111</v>
      </c>
      <c r="R27" s="663" t="s">
        <v>14</v>
      </c>
      <c r="S27" s="664">
        <f>F27</f>
        <v>100</v>
      </c>
      <c r="T27" s="663" t="s">
        <v>14</v>
      </c>
      <c r="U27" s="664">
        <f>H27</f>
        <v>100</v>
      </c>
      <c r="V27" s="663" t="s">
        <v>14</v>
      </c>
      <c r="W27" s="664">
        <f>J27</f>
        <v>100</v>
      </c>
      <c r="X27" s="665"/>
      <c r="Y27" s="3358"/>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58"/>
      <c r="Q28" s="1261">
        <f t="shared" si="11"/>
        <v>111</v>
      </c>
      <c r="R28" s="666" t="s">
        <v>14</v>
      </c>
      <c r="S28" s="667">
        <f t="shared" ref="S28:S40" si="12">F28</f>
        <v>100</v>
      </c>
      <c r="T28" s="666" t="s">
        <v>14</v>
      </c>
      <c r="U28" s="667">
        <f t="shared" ref="U28:U40" si="13">H28</f>
        <v>100</v>
      </c>
      <c r="V28" s="666" t="s">
        <v>14</v>
      </c>
      <c r="W28" s="667">
        <f t="shared" ref="W28:W40" si="14">J28</f>
        <v>100</v>
      </c>
      <c r="X28" s="1263"/>
      <c r="Y28" s="3358"/>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3" t="s">
        <v>1696</v>
      </c>
      <c r="Q29" s="1261" t="str">
        <f t="shared" si="11"/>
        <v>建筑类型</v>
      </c>
      <c r="R29" s="666" t="s">
        <v>14</v>
      </c>
      <c r="S29" s="667">
        <f t="shared" si="12"/>
        <v>100</v>
      </c>
      <c r="T29" s="666" t="s">
        <v>14</v>
      </c>
      <c r="U29" s="667">
        <f t="shared" si="13"/>
        <v>100</v>
      </c>
      <c r="V29" s="666" t="s">
        <v>14</v>
      </c>
      <c r="W29" s="667">
        <f t="shared" si="14"/>
        <v>100</v>
      </c>
      <c r="X29" s="1263"/>
      <c r="Y29" s="3362"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62"/>
      <c r="Q30" s="531" t="str">
        <f t="shared" si="11"/>
        <v>项目建筑规模</v>
      </c>
      <c r="R30" s="668" t="s">
        <v>14</v>
      </c>
      <c r="S30" s="669" t="e">
        <f t="shared" si="12"/>
        <v>#N/A</v>
      </c>
      <c r="T30" s="668" t="s">
        <v>14</v>
      </c>
      <c r="U30" s="669" t="e">
        <f t="shared" si="13"/>
        <v>#N/A</v>
      </c>
      <c r="V30" s="668" t="s">
        <v>14</v>
      </c>
      <c r="W30" s="669" t="e">
        <f t="shared" si="14"/>
        <v>#N/A</v>
      </c>
      <c r="X30" s="670"/>
      <c r="Y30" s="3362"/>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62"/>
      <c r="Q31" s="1261" t="str">
        <f t="shared" si="11"/>
        <v>建筑结构</v>
      </c>
      <c r="R31" s="666" t="s">
        <v>14</v>
      </c>
      <c r="S31" s="667">
        <f t="shared" si="12"/>
        <v>100</v>
      </c>
      <c r="T31" s="666" t="s">
        <v>14</v>
      </c>
      <c r="U31" s="667">
        <f t="shared" si="13"/>
        <v>100</v>
      </c>
      <c r="V31" s="666" t="s">
        <v>14</v>
      </c>
      <c r="W31" s="667">
        <f t="shared" si="14"/>
        <v>100</v>
      </c>
      <c r="X31" s="1263"/>
      <c r="Y31" s="336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62"/>
      <c r="Q32" s="1261" t="str">
        <f t="shared" si="11"/>
        <v>公共部分装修</v>
      </c>
      <c r="R32" s="666" t="s">
        <v>14</v>
      </c>
      <c r="S32" s="667">
        <f t="shared" si="12"/>
        <v>100</v>
      </c>
      <c r="T32" s="666" t="s">
        <v>14</v>
      </c>
      <c r="U32" s="667">
        <f t="shared" si="13"/>
        <v>100</v>
      </c>
      <c r="V32" s="666" t="s">
        <v>14</v>
      </c>
      <c r="W32" s="667">
        <f t="shared" si="14"/>
        <v>100</v>
      </c>
      <c r="X32" s="1263"/>
      <c r="Y32" s="3362"/>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62"/>
      <c r="Q33" s="1261" t="str">
        <f t="shared" si="11"/>
        <v>成新度</v>
      </c>
      <c r="R33" s="666" t="s">
        <v>14</v>
      </c>
      <c r="S33" s="667" t="e">
        <f t="shared" si="12"/>
        <v>#N/A</v>
      </c>
      <c r="T33" s="666" t="s">
        <v>14</v>
      </c>
      <c r="U33" s="667" t="e">
        <f t="shared" si="13"/>
        <v>#N/A</v>
      </c>
      <c r="V33" s="666" t="s">
        <v>14</v>
      </c>
      <c r="W33" s="667" t="e">
        <f t="shared" si="14"/>
        <v>#N/A</v>
      </c>
      <c r="X33" s="1263"/>
      <c r="Y33" s="3362"/>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62"/>
      <c r="Q34" s="530" t="str">
        <f t="shared" si="11"/>
        <v>物业管理</v>
      </c>
      <c r="R34" s="663" t="s">
        <v>14</v>
      </c>
      <c r="S34" s="664">
        <f t="shared" si="12"/>
        <v>100</v>
      </c>
      <c r="T34" s="663" t="s">
        <v>14</v>
      </c>
      <c r="U34" s="664">
        <f t="shared" si="13"/>
        <v>100</v>
      </c>
      <c r="V34" s="663" t="s">
        <v>14</v>
      </c>
      <c r="W34" s="664">
        <f t="shared" si="14"/>
        <v>100</v>
      </c>
      <c r="X34" s="665"/>
      <c r="Y34" s="336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62" t="s">
        <v>1696</v>
      </c>
      <c r="Q35" s="1261" t="str">
        <f t="shared" si="11"/>
        <v>市政基础设施</v>
      </c>
      <c r="R35" s="666" t="s">
        <v>14</v>
      </c>
      <c r="S35" s="667">
        <f t="shared" si="12"/>
        <v>100</v>
      </c>
      <c r="T35" s="666" t="s">
        <v>14</v>
      </c>
      <c r="U35" s="667">
        <f t="shared" si="13"/>
        <v>100</v>
      </c>
      <c r="V35" s="666" t="s">
        <v>14</v>
      </c>
      <c r="W35" s="667">
        <f t="shared" si="14"/>
        <v>100</v>
      </c>
      <c r="X35" s="1263"/>
      <c r="Y35" s="3362"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62"/>
      <c r="Q36" s="1261" t="str">
        <f t="shared" si="11"/>
        <v>内部装修</v>
      </c>
      <c r="R36" s="666" t="s">
        <v>14</v>
      </c>
      <c r="S36" s="667">
        <f t="shared" si="12"/>
        <v>100</v>
      </c>
      <c r="T36" s="666" t="s">
        <v>14</v>
      </c>
      <c r="U36" s="667">
        <f t="shared" si="13"/>
        <v>100</v>
      </c>
      <c r="V36" s="666" t="s">
        <v>14</v>
      </c>
      <c r="W36" s="667">
        <f t="shared" si="14"/>
        <v>100</v>
      </c>
      <c r="X36" s="1263"/>
      <c r="Y36" s="3362"/>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62"/>
      <c r="Q37" s="1261" t="str">
        <f t="shared" si="11"/>
        <v>内部装修状况</v>
      </c>
      <c r="R37" s="666" t="s">
        <v>14</v>
      </c>
      <c r="S37" s="667">
        <f t="shared" si="12"/>
        <v>100</v>
      </c>
      <c r="T37" s="666" t="s">
        <v>14</v>
      </c>
      <c r="U37" s="667">
        <f t="shared" si="13"/>
        <v>100</v>
      </c>
      <c r="V37" s="666" t="s">
        <v>14</v>
      </c>
      <c r="W37" s="667">
        <f t="shared" si="14"/>
        <v>100</v>
      </c>
      <c r="X37" s="1263"/>
      <c r="Y37" s="3362"/>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62"/>
      <c r="Q38" s="531">
        <f t="shared" si="11"/>
        <v>111</v>
      </c>
      <c r="R38" s="668" t="s">
        <v>14</v>
      </c>
      <c r="S38" s="669">
        <f t="shared" si="12"/>
        <v>100</v>
      </c>
      <c r="T38" s="668" t="s">
        <v>14</v>
      </c>
      <c r="U38" s="669">
        <f t="shared" si="13"/>
        <v>100</v>
      </c>
      <c r="V38" s="668" t="s">
        <v>14</v>
      </c>
      <c r="W38" s="669">
        <f t="shared" si="14"/>
        <v>100</v>
      </c>
      <c r="X38" s="670"/>
      <c r="Y38" s="3362"/>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62"/>
      <c r="Q39" s="1261">
        <f t="shared" si="11"/>
        <v>111</v>
      </c>
      <c r="R39" s="666" t="s">
        <v>14</v>
      </c>
      <c r="S39" s="667">
        <f t="shared" si="12"/>
        <v>100</v>
      </c>
      <c r="T39" s="666" t="s">
        <v>14</v>
      </c>
      <c r="U39" s="667">
        <f t="shared" si="13"/>
        <v>100</v>
      </c>
      <c r="V39" s="666" t="s">
        <v>14</v>
      </c>
      <c r="W39" s="667">
        <f t="shared" si="14"/>
        <v>100</v>
      </c>
      <c r="X39" s="1263"/>
      <c r="Y39" s="3362"/>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63"/>
      <c r="Q40" s="1261">
        <f t="shared" si="11"/>
        <v>111</v>
      </c>
      <c r="R40" s="666" t="s">
        <v>14</v>
      </c>
      <c r="S40" s="667">
        <f t="shared" si="12"/>
        <v>100</v>
      </c>
      <c r="T40" s="666" t="s">
        <v>14</v>
      </c>
      <c r="U40" s="667">
        <f t="shared" si="13"/>
        <v>100</v>
      </c>
      <c r="V40" s="666" t="s">
        <v>14</v>
      </c>
      <c r="W40" s="667">
        <f t="shared" si="14"/>
        <v>100</v>
      </c>
      <c r="X40" s="1263"/>
      <c r="Y40" s="3363"/>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350" t="str">
        <f>A41</f>
        <v>成交单价（元/平方米）</v>
      </c>
      <c r="Q41" s="3350"/>
      <c r="R41" s="3351">
        <f>E41</f>
        <v>0</v>
      </c>
      <c r="S41" s="3351"/>
      <c r="T41" s="3351">
        <f>G41</f>
        <v>0</v>
      </c>
      <c r="U41" s="3351"/>
      <c r="V41" s="3351">
        <f>I41</f>
        <v>0</v>
      </c>
      <c r="W41" s="3351"/>
      <c r="X41" s="385"/>
      <c r="Y41" s="672"/>
      <c r="Z41" s="385"/>
      <c r="AA41" s="385"/>
      <c r="AB41" s="385"/>
      <c r="AC41" s="385"/>
    </row>
    <row r="42" spans="1:29" ht="15.75" thickBot="1">
      <c r="A42" s="423" t="s">
        <v>1793</v>
      </c>
      <c r="B42" s="424"/>
      <c r="C42" s="1080" t="e">
        <f>R43</f>
        <v>#DIV/0!</v>
      </c>
      <c r="D42" s="2139" t="s">
        <v>2138</v>
      </c>
      <c r="E42" s="1081" t="e">
        <f>R42</f>
        <v>#DIV/0!</v>
      </c>
      <c r="F42" s="2140"/>
      <c r="G42" s="1080" t="e">
        <f>T42</f>
        <v>#DIV/0!</v>
      </c>
      <c r="H42" s="2140"/>
      <c r="I42" s="1081" t="e">
        <f>V42</f>
        <v>#DIV/0!</v>
      </c>
      <c r="J42" s="2140"/>
      <c r="K42" s="2142">
        <f>F42+H42+J42</f>
        <v>0</v>
      </c>
      <c r="L42" s="872"/>
      <c r="M42" s="860"/>
      <c r="N42" s="860"/>
      <c r="O42" s="860"/>
      <c r="P42" s="3350" t="str">
        <f>A42</f>
        <v>比较价值（元/平方米）</v>
      </c>
      <c r="Q42" s="335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2024-7</v>
      </c>
      <c r="D52" s="1102">
        <f>EDATE(C52,-1)</f>
        <v>45444</v>
      </c>
      <c r="E52" s="1102">
        <f t="shared" ref="E52:O52" si="16">EDATE(D52,-1)</f>
        <v>45413</v>
      </c>
      <c r="F52" s="1102">
        <f t="shared" si="16"/>
        <v>45383</v>
      </c>
      <c r="G52" s="1102">
        <f t="shared" si="16"/>
        <v>45352</v>
      </c>
      <c r="H52" s="1102">
        <f t="shared" si="16"/>
        <v>45323</v>
      </c>
      <c r="I52" s="1102">
        <f t="shared" si="16"/>
        <v>45292</v>
      </c>
      <c r="J52" s="1102">
        <f t="shared" si="16"/>
        <v>45261</v>
      </c>
      <c r="K52" s="1102">
        <f t="shared" si="16"/>
        <v>45231</v>
      </c>
      <c r="L52" s="1102">
        <f t="shared" si="16"/>
        <v>45200</v>
      </c>
      <c r="M52" s="1102">
        <f t="shared" si="16"/>
        <v>45170</v>
      </c>
      <c r="N52" s="1102">
        <f t="shared" si="16"/>
        <v>45139</v>
      </c>
      <c r="O52" s="1102">
        <f t="shared" si="16"/>
        <v>45108</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受贵公司委托，我公司对北京市顺义区金关北二路2号院2号楼1层115房地产抵押价值进行了预评估。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估价对象为北京市顺义区金关北二路2号院2号楼1层115房地产，为所有。根据《国有土地使用证》[]，估价对象（分摊）出让国有建设用地使用权面积为0平方米，建筑面积为2269.1平方米。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2269.1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2024年7月31日（评估专业人员实地查勘之日）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本次评估采用的主估价方法为比较法和收益法。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372" t="s">
        <v>1775</v>
      </c>
      <c r="Q4" s="3373"/>
      <c r="R4" s="3378" t="s">
        <v>1771</v>
      </c>
      <c r="S4" s="3379"/>
      <c r="T4" s="3378" t="s">
        <v>1772</v>
      </c>
      <c r="U4" s="3379"/>
      <c r="V4" s="3351" t="s">
        <v>1773</v>
      </c>
      <c r="W4" s="3351"/>
      <c r="X4" s="1263"/>
      <c r="Y4" s="3378" t="s">
        <v>1775</v>
      </c>
      <c r="Z4" s="3379"/>
      <c r="AA4" s="3365" t="s">
        <v>1771</v>
      </c>
      <c r="AB4" s="3366" t="s">
        <v>1772</v>
      </c>
      <c r="AC4" s="3365" t="s">
        <v>1773</v>
      </c>
    </row>
    <row r="5" spans="1:29" ht="15">
      <c r="A5" s="348"/>
      <c r="B5" s="349"/>
      <c r="C5" s="3391" t="s">
        <v>1673</v>
      </c>
      <c r="D5" s="3387"/>
      <c r="E5" s="3417" t="s">
        <v>1674</v>
      </c>
      <c r="F5" s="3395"/>
      <c r="G5" s="3391" t="s">
        <v>1675</v>
      </c>
      <c r="H5" s="3387"/>
      <c r="I5" s="3391" t="s">
        <v>1676</v>
      </c>
      <c r="J5" s="3387"/>
      <c r="K5" s="537"/>
      <c r="L5" s="2485"/>
      <c r="M5" s="2486"/>
      <c r="N5" s="2486"/>
      <c r="O5" s="2486"/>
      <c r="P5" s="3374"/>
      <c r="Q5" s="3375"/>
      <c r="R5" s="3380"/>
      <c r="S5" s="3381"/>
      <c r="T5" s="3380"/>
      <c r="U5" s="3381"/>
      <c r="V5" s="3351"/>
      <c r="W5" s="3351"/>
      <c r="X5" s="1263"/>
      <c r="Y5" s="3380"/>
      <c r="Z5" s="3381"/>
      <c r="AA5" s="3366"/>
      <c r="AB5" s="3366"/>
      <c r="AC5" s="3366"/>
    </row>
    <row r="6" spans="1:29" ht="15.75" thickBot="1">
      <c r="A6" s="350"/>
      <c r="B6" s="351"/>
      <c r="C6" s="3384" t="s">
        <v>1677</v>
      </c>
      <c r="D6" s="3385"/>
      <c r="E6" s="3392" t="s">
        <v>1677</v>
      </c>
      <c r="F6" s="3393"/>
      <c r="G6" s="3384" t="s">
        <v>1677</v>
      </c>
      <c r="H6" s="3385"/>
      <c r="I6" s="3384" t="s">
        <v>1677</v>
      </c>
      <c r="J6" s="3385"/>
      <c r="K6" s="537" t="s">
        <v>1678</v>
      </c>
      <c r="L6" s="2485"/>
      <c r="M6" s="2486"/>
      <c r="N6" s="2486"/>
      <c r="O6" s="2486"/>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SUMIF(48:48,YEAR(E7)&amp;"-"&amp;MONTH(E7),49:49)</f>
        <v>0</v>
      </c>
      <c r="G7" s="356"/>
      <c r="H7" s="355">
        <f>SUMIF(48:48,YEAR(G7)&amp;"-"&amp;MONTH(G7),49:49)</f>
        <v>0</v>
      </c>
      <c r="I7" s="356"/>
      <c r="J7" s="355">
        <f>SUMIF(48:48,YEAR(I7)&amp;"-"&amp;MONTH(I7),49:49)</f>
        <v>0</v>
      </c>
      <c r="K7" s="38"/>
      <c r="L7" s="2487"/>
      <c r="M7" s="2438"/>
      <c r="N7" s="2438"/>
      <c r="O7" s="2438"/>
      <c r="P7" s="3388" t="s">
        <v>1680</v>
      </c>
      <c r="Q7" s="3390"/>
      <c r="R7" s="663" t="s">
        <v>14</v>
      </c>
      <c r="S7" s="664">
        <f t="shared" ref="S7:S14" si="0">F7</f>
        <v>0</v>
      </c>
      <c r="T7" s="663" t="s">
        <v>14</v>
      </c>
      <c r="U7" s="664">
        <f t="shared" ref="U7:U14" si="1">H7</f>
        <v>0</v>
      </c>
      <c r="V7" s="663" t="s">
        <v>14</v>
      </c>
      <c r="W7" s="664">
        <f t="shared" ref="W7:W14" si="2">J7</f>
        <v>0</v>
      </c>
      <c r="X7" s="665"/>
      <c r="Y7" s="3388" t="s">
        <v>1680</v>
      </c>
      <c r="Z7" s="33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88" t="s">
        <v>1683</v>
      </c>
      <c r="Q8" s="3389"/>
      <c r="R8" s="663" t="s">
        <v>14</v>
      </c>
      <c r="S8" s="664">
        <f t="shared" si="0"/>
        <v>100</v>
      </c>
      <c r="T8" s="663" t="s">
        <v>14</v>
      </c>
      <c r="U8" s="664">
        <f t="shared" si="1"/>
        <v>100</v>
      </c>
      <c r="V8" s="663" t="s">
        <v>14</v>
      </c>
      <c r="W8" s="664">
        <f t="shared" si="2"/>
        <v>100</v>
      </c>
      <c r="X8" s="665"/>
      <c r="Y8" s="3388" t="s">
        <v>1683</v>
      </c>
      <c r="Z8" s="3389"/>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50"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0"/>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99.75">
      <c r="A14" s="345" t="s">
        <v>1690</v>
      </c>
      <c r="B14" s="553" t="s">
        <v>1833</v>
      </c>
      <c r="C14" s="1817" t="str">
        <f>IF(B1="工业",估价对象房地状况!G4,估价对象房地状况!C6)</f>
        <v>估价对象周边道路状况、公共交通通达情况915、918、955等、停车便捷程度，综合评价交通便捷度一般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7" t="s">
        <v>1691</v>
      </c>
      <c r="Q14" s="1261" t="str">
        <f t="shared" si="6"/>
        <v>交通便捷度</v>
      </c>
      <c r="R14" s="666" t="s">
        <v>14</v>
      </c>
      <c r="S14" s="667">
        <f t="shared" si="0"/>
        <v>100</v>
      </c>
      <c r="T14" s="666" t="s">
        <v>14</v>
      </c>
      <c r="U14" s="667">
        <f t="shared" si="1"/>
        <v>100</v>
      </c>
      <c r="V14" s="666" t="s">
        <v>14</v>
      </c>
      <c r="W14" s="667">
        <f t="shared" si="2"/>
        <v>100</v>
      </c>
      <c r="X14" s="1263"/>
      <c r="Y14" s="3357" t="s">
        <v>1691</v>
      </c>
      <c r="Z14" s="1262" t="str">
        <f t="shared" si="7"/>
        <v>交通便捷度</v>
      </c>
      <c r="AA14" s="1262">
        <f t="shared" si="3"/>
        <v>1</v>
      </c>
      <c r="AB14" s="1262">
        <f t="shared" si="4"/>
        <v>1</v>
      </c>
      <c r="AC14" s="1262">
        <f t="shared" si="5"/>
        <v>1</v>
      </c>
    </row>
    <row r="15" spans="1:29" ht="15">
      <c r="A15" s="348"/>
      <c r="B15" s="570"/>
      <c r="C15" s="386"/>
      <c r="D15" s="387"/>
      <c r="E15" s="386"/>
      <c r="F15" s="388"/>
      <c r="G15" s="386"/>
      <c r="H15" s="389"/>
      <c r="I15" s="386"/>
      <c r="J15" s="387"/>
      <c r="K15" s="541"/>
      <c r="L15" s="2491"/>
      <c r="M15" s="2486"/>
      <c r="N15" s="2486"/>
      <c r="O15" s="2486"/>
      <c r="P15" s="3358"/>
      <c r="Q15" s="1261"/>
      <c r="R15" s="666"/>
      <c r="S15" s="667"/>
      <c r="T15" s="666"/>
      <c r="U15" s="667"/>
      <c r="V15" s="666"/>
      <c r="W15" s="667"/>
      <c r="X15" s="1263"/>
      <c r="Y15" s="3358"/>
      <c r="Z15" s="1262"/>
      <c r="AA15" s="1262">
        <v>1</v>
      </c>
      <c r="AB15" s="1262">
        <v>1</v>
      </c>
      <c r="AC15" s="1262">
        <v>1</v>
      </c>
    </row>
    <row r="16" spans="1:29" ht="42.75">
      <c r="A16" s="348"/>
      <c r="B16" s="555" t="s">
        <v>1812</v>
      </c>
      <c r="C16" s="1752" t="str">
        <f>IF(B1="工业",估价对象房地状况!G5,估价对象房地状况!C7)</f>
        <v>估价对象所在区域公共配套设施齐备情况一般</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8"/>
      <c r="Q16" s="1261" t="str">
        <f>B16</f>
        <v>公共配套设施</v>
      </c>
      <c r="R16" s="666" t="s">
        <v>14</v>
      </c>
      <c r="S16" s="667">
        <f>F16</f>
        <v>100</v>
      </c>
      <c r="T16" s="666" t="s">
        <v>14</v>
      </c>
      <c r="U16" s="667">
        <f>H16</f>
        <v>100</v>
      </c>
      <c r="V16" s="666" t="s">
        <v>14</v>
      </c>
      <c r="W16" s="667">
        <f>J16</f>
        <v>100</v>
      </c>
      <c r="X16" s="1263"/>
      <c r="Y16" s="3358"/>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58"/>
      <c r="Q17" s="1261"/>
      <c r="R17" s="666"/>
      <c r="S17" s="667"/>
      <c r="T17" s="666"/>
      <c r="U17" s="667"/>
      <c r="V17" s="666"/>
      <c r="W17" s="667"/>
      <c r="X17" s="1263"/>
      <c r="Y17" s="3358"/>
      <c r="Z17" s="1262"/>
      <c r="AA17" s="1262">
        <v>1</v>
      </c>
      <c r="AB17" s="1262">
        <v>1</v>
      </c>
      <c r="AC17" s="1262">
        <v>1</v>
      </c>
    </row>
    <row r="18" spans="1:29" ht="15">
      <c r="A18" s="348"/>
      <c r="B18" s="556" t="s">
        <v>1813</v>
      </c>
      <c r="C18" s="1752"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8"/>
      <c r="Q18" s="1261" t="str">
        <f>B18</f>
        <v>基础设施水平</v>
      </c>
      <c r="R18" s="666" t="s">
        <v>14</v>
      </c>
      <c r="S18" s="667">
        <f>F18</f>
        <v>100</v>
      </c>
      <c r="T18" s="666" t="s">
        <v>14</v>
      </c>
      <c r="U18" s="667">
        <f>H18</f>
        <v>100</v>
      </c>
      <c r="V18" s="666" t="s">
        <v>14</v>
      </c>
      <c r="W18" s="667">
        <f>J18</f>
        <v>100</v>
      </c>
      <c r="X18" s="1263"/>
      <c r="Y18" s="3358"/>
      <c r="Z18" s="1262" t="str">
        <f>Q18</f>
        <v>基础设施水平</v>
      </c>
      <c r="AA18" s="1262">
        <f t="shared" ref="AA18" si="8">D18/F18</f>
        <v>1</v>
      </c>
      <c r="AB18" s="1262">
        <f t="shared" ref="AB18" si="9">D18/H18</f>
        <v>1</v>
      </c>
      <c r="AC18" s="1262">
        <f t="shared" ref="AC18" si="10">D18/J18</f>
        <v>1</v>
      </c>
    </row>
    <row r="19" spans="1:29" ht="15">
      <c r="A19" s="348"/>
      <c r="B19" s="556"/>
      <c r="C19" s="1753"/>
      <c r="D19" s="389"/>
      <c r="E19" s="1753"/>
      <c r="F19" s="392"/>
      <c r="G19" s="1753"/>
      <c r="H19" s="387"/>
      <c r="I19" s="386"/>
      <c r="J19" s="387"/>
      <c r="K19" s="1062"/>
      <c r="L19" s="2491"/>
      <c r="M19" s="2486"/>
      <c r="N19" s="2486"/>
      <c r="O19" s="2486"/>
      <c r="P19" s="3358"/>
      <c r="Q19" s="1261"/>
      <c r="R19" s="666"/>
      <c r="S19" s="667"/>
      <c r="T19" s="666"/>
      <c r="U19" s="667"/>
      <c r="V19" s="666"/>
      <c r="W19" s="667"/>
      <c r="X19" s="1263"/>
      <c r="Y19" s="3358"/>
      <c r="Z19" s="1262"/>
      <c r="AA19" s="1262">
        <v>1</v>
      </c>
      <c r="AB19" s="1262">
        <v>1</v>
      </c>
      <c r="AC19" s="1262">
        <v>1</v>
      </c>
    </row>
    <row r="20" spans="1:29" ht="57">
      <c r="A20" s="348"/>
      <c r="B20" s="555"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8"/>
      <c r="Q20" s="1261" t="str">
        <f>B20</f>
        <v>自然及人文环境</v>
      </c>
      <c r="R20" s="666" t="s">
        <v>14</v>
      </c>
      <c r="S20" s="667">
        <f>F20</f>
        <v>100</v>
      </c>
      <c r="T20" s="666" t="s">
        <v>14</v>
      </c>
      <c r="U20" s="667">
        <f>H20</f>
        <v>100</v>
      </c>
      <c r="V20" s="666" t="s">
        <v>14</v>
      </c>
      <c r="W20" s="667">
        <f>J20</f>
        <v>100</v>
      </c>
      <c r="X20" s="1263"/>
      <c r="Y20" s="3358"/>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58"/>
      <c r="Q21" s="1261"/>
      <c r="R21" s="666"/>
      <c r="S21" s="667"/>
      <c r="T21" s="666"/>
      <c r="U21" s="667"/>
      <c r="V21" s="666"/>
      <c r="W21" s="667"/>
      <c r="X21" s="1263"/>
      <c r="Y21" s="3358"/>
      <c r="Z21" s="1262"/>
      <c r="AA21" s="1262">
        <v>1</v>
      </c>
      <c r="AB21" s="1262">
        <v>1</v>
      </c>
      <c r="AC21" s="1262">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8"/>
      <c r="Q22" s="1261" t="str">
        <f>B22</f>
        <v>楼层</v>
      </c>
      <c r="R22" s="666" t="s">
        <v>14</v>
      </c>
      <c r="S22" s="667">
        <f>F22</f>
        <v>100</v>
      </c>
      <c r="T22" s="666" t="s">
        <v>14</v>
      </c>
      <c r="U22" s="667">
        <f>H22</f>
        <v>100</v>
      </c>
      <c r="V22" s="666" t="s">
        <v>14</v>
      </c>
      <c r="W22" s="667">
        <f>J22</f>
        <v>100</v>
      </c>
      <c r="X22" s="1263"/>
      <c r="Y22" s="3358"/>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8"/>
      <c r="Q23" s="1261">
        <f>B23</f>
        <v>111</v>
      </c>
      <c r="R23" s="666" t="s">
        <v>14</v>
      </c>
      <c r="S23" s="667">
        <f>F23</f>
        <v>100</v>
      </c>
      <c r="T23" s="666" t="s">
        <v>14</v>
      </c>
      <c r="U23" s="667">
        <f>H23</f>
        <v>100</v>
      </c>
      <c r="V23" s="666" t="s">
        <v>14</v>
      </c>
      <c r="W23" s="667">
        <f>J23</f>
        <v>100</v>
      </c>
      <c r="X23" s="1263"/>
      <c r="Y23" s="3358"/>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8"/>
      <c r="Q24" s="1261">
        <f t="shared" ref="Q24:Q36" si="11">B24</f>
        <v>111</v>
      </c>
      <c r="R24" s="666" t="s">
        <v>14</v>
      </c>
      <c r="S24" s="667">
        <f>F24</f>
        <v>100</v>
      </c>
      <c r="T24" s="666" t="s">
        <v>14</v>
      </c>
      <c r="U24" s="667">
        <f>H24</f>
        <v>100</v>
      </c>
      <c r="V24" s="666" t="s">
        <v>14</v>
      </c>
      <c r="W24" s="667">
        <f>J24</f>
        <v>100</v>
      </c>
      <c r="X24" s="1263"/>
      <c r="Y24" s="3358"/>
      <c r="Z24" s="1262">
        <f>Q24</f>
        <v>111</v>
      </c>
      <c r="AA24" s="1262">
        <f t="shared" si="3"/>
        <v>1</v>
      </c>
      <c r="AB24" s="1262">
        <f t="shared" si="4"/>
        <v>1</v>
      </c>
      <c r="AC24" s="1262">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58"/>
      <c r="Q25" s="530">
        <f t="shared" si="11"/>
        <v>111</v>
      </c>
      <c r="R25" s="663" t="s">
        <v>14</v>
      </c>
      <c r="S25" s="664">
        <f>F25</f>
        <v>100</v>
      </c>
      <c r="T25" s="663" t="s">
        <v>14</v>
      </c>
      <c r="U25" s="664">
        <f>H25</f>
        <v>100</v>
      </c>
      <c r="V25" s="663" t="s">
        <v>14</v>
      </c>
      <c r="W25" s="664">
        <f>J25</f>
        <v>100</v>
      </c>
      <c r="X25" s="665"/>
      <c r="Y25" s="3358"/>
      <c r="Z25" s="50">
        <f>Q25</f>
        <v>111</v>
      </c>
      <c r="AA25" s="1262">
        <f>D25/F25</f>
        <v>1</v>
      </c>
      <c r="AB25" s="1262">
        <f>D25/H25</f>
        <v>1</v>
      </c>
      <c r="AC25" s="1262">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3"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62" t="s">
        <v>1696</v>
      </c>
      <c r="Z26" s="1262" t="str">
        <f t="shared" ref="Z26:Z36" si="15">Q26</f>
        <v>配套类型</v>
      </c>
      <c r="AA26" s="1262" t="e">
        <f t="shared" si="3"/>
        <v>#DIV/0!</v>
      </c>
      <c r="AB26" s="1262" t="e">
        <f t="shared" si="4"/>
        <v>#DIV/0!</v>
      </c>
      <c r="AC26" s="1262"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62"/>
      <c r="Q27" s="531" t="str">
        <f t="shared" si="11"/>
        <v>项目停车位配比</v>
      </c>
      <c r="R27" s="668" t="s">
        <v>14</v>
      </c>
      <c r="S27" s="669">
        <f t="shared" si="12"/>
        <v>100</v>
      </c>
      <c r="T27" s="668" t="s">
        <v>14</v>
      </c>
      <c r="U27" s="669">
        <f t="shared" si="13"/>
        <v>100</v>
      </c>
      <c r="V27" s="668" t="s">
        <v>14</v>
      </c>
      <c r="W27" s="669">
        <f t="shared" si="14"/>
        <v>100</v>
      </c>
      <c r="X27" s="670"/>
      <c r="Y27" s="3362"/>
      <c r="Z27" s="671" t="str">
        <f t="shared" si="15"/>
        <v>项目停车位配比</v>
      </c>
      <c r="AA27" s="1262">
        <f t="shared" si="3"/>
        <v>1</v>
      </c>
      <c r="AB27" s="1262">
        <f t="shared" si="4"/>
        <v>1</v>
      </c>
      <c r="AC27" s="1262">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2"/>
      <c r="Q28" s="1261" t="str">
        <f t="shared" si="11"/>
        <v>公共部分装修</v>
      </c>
      <c r="R28" s="666" t="s">
        <v>14</v>
      </c>
      <c r="S28" s="667">
        <f t="shared" si="12"/>
        <v>100</v>
      </c>
      <c r="T28" s="666" t="s">
        <v>14</v>
      </c>
      <c r="U28" s="667">
        <f t="shared" si="13"/>
        <v>100</v>
      </c>
      <c r="V28" s="666" t="s">
        <v>14</v>
      </c>
      <c r="W28" s="667">
        <f t="shared" si="14"/>
        <v>100</v>
      </c>
      <c r="X28" s="1263"/>
      <c r="Y28" s="3362"/>
      <c r="Z28" s="1262" t="str">
        <f t="shared" si="15"/>
        <v>公共部分装修</v>
      </c>
      <c r="AA28" s="1262">
        <f t="shared" si="3"/>
        <v>1</v>
      </c>
      <c r="AB28" s="1262">
        <f t="shared" si="4"/>
        <v>1</v>
      </c>
      <c r="AC28" s="1262">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2"/>
      <c r="Q29" s="1261" t="str">
        <f t="shared" si="11"/>
        <v>成新率</v>
      </c>
      <c r="R29" s="666" t="s">
        <v>14</v>
      </c>
      <c r="S29" s="667" t="e">
        <f t="shared" si="12"/>
        <v>#N/A</v>
      </c>
      <c r="T29" s="666" t="s">
        <v>14</v>
      </c>
      <c r="U29" s="667" t="e">
        <f t="shared" si="13"/>
        <v>#N/A</v>
      </c>
      <c r="V29" s="666" t="s">
        <v>14</v>
      </c>
      <c r="W29" s="667" t="e">
        <f t="shared" si="14"/>
        <v>#N/A</v>
      </c>
      <c r="X29" s="1263"/>
      <c r="Y29" s="3362"/>
      <c r="Z29" s="1262" t="str">
        <f t="shared" si="15"/>
        <v>成新率</v>
      </c>
      <c r="AA29" s="1262" t="e">
        <f t="shared" si="3"/>
        <v>#N/A</v>
      </c>
      <c r="AB29" s="1262" t="e">
        <f t="shared" si="4"/>
        <v>#N/A</v>
      </c>
      <c r="AC29" s="1262"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62"/>
      <c r="Q30" s="1261" t="str">
        <f t="shared" si="11"/>
        <v>物业等级</v>
      </c>
      <c r="R30" s="666" t="s">
        <v>14</v>
      </c>
      <c r="S30" s="667">
        <f t="shared" si="12"/>
        <v>100</v>
      </c>
      <c r="T30" s="666" t="s">
        <v>14</v>
      </c>
      <c r="U30" s="667">
        <f t="shared" si="13"/>
        <v>100</v>
      </c>
      <c r="V30" s="666" t="s">
        <v>14</v>
      </c>
      <c r="W30" s="667">
        <f t="shared" si="14"/>
        <v>100</v>
      </c>
      <c r="X30" s="1263"/>
      <c r="Y30" s="3362"/>
      <c r="Z30" s="1262" t="str">
        <f t="shared" si="15"/>
        <v>物业等级</v>
      </c>
      <c r="AA30" s="1262">
        <f t="shared" si="3"/>
        <v>1</v>
      </c>
      <c r="AB30" s="1262">
        <f t="shared" si="4"/>
        <v>1</v>
      </c>
      <c r="AC30" s="1262">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62"/>
      <c r="Q31" s="530" t="str">
        <f t="shared" si="11"/>
        <v>停车位面积</v>
      </c>
      <c r="R31" s="663" t="s">
        <v>14</v>
      </c>
      <c r="S31" s="664" t="e">
        <f t="shared" si="12"/>
        <v>#N/A</v>
      </c>
      <c r="T31" s="663" t="s">
        <v>14</v>
      </c>
      <c r="U31" s="664" t="e">
        <f t="shared" si="13"/>
        <v>#N/A</v>
      </c>
      <c r="V31" s="663" t="s">
        <v>14</v>
      </c>
      <c r="W31" s="664" t="e">
        <f t="shared" si="14"/>
        <v>#N/A</v>
      </c>
      <c r="X31" s="665"/>
      <c r="Y31" s="3362"/>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2" t="s">
        <v>1696</v>
      </c>
      <c r="Q32" s="1261" t="str">
        <f t="shared" si="11"/>
        <v>车位类型</v>
      </c>
      <c r="R32" s="666" t="s">
        <v>14</v>
      </c>
      <c r="S32" s="667">
        <f t="shared" si="12"/>
        <v>100</v>
      </c>
      <c r="T32" s="666" t="s">
        <v>14</v>
      </c>
      <c r="U32" s="667">
        <f t="shared" si="13"/>
        <v>100</v>
      </c>
      <c r="V32" s="666" t="s">
        <v>14</v>
      </c>
      <c r="W32" s="667">
        <f t="shared" si="14"/>
        <v>100</v>
      </c>
      <c r="X32" s="1263"/>
      <c r="Y32" s="3362" t="s">
        <v>1696</v>
      </c>
      <c r="Z32" s="1262" t="str">
        <f t="shared" si="15"/>
        <v>车位类型</v>
      </c>
      <c r="AA32" s="1262">
        <f t="shared" si="3"/>
        <v>1</v>
      </c>
      <c r="AB32" s="1262">
        <f t="shared" si="4"/>
        <v>1</v>
      </c>
      <c r="AC32" s="1262">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2"/>
      <c r="Q33" s="1261" t="str">
        <f t="shared" si="11"/>
        <v>是否直接入户</v>
      </c>
      <c r="R33" s="666" t="s">
        <v>14</v>
      </c>
      <c r="S33" s="667">
        <f t="shared" si="12"/>
        <v>100</v>
      </c>
      <c r="T33" s="666" t="s">
        <v>14</v>
      </c>
      <c r="U33" s="667">
        <f t="shared" si="13"/>
        <v>100</v>
      </c>
      <c r="V33" s="666" t="s">
        <v>14</v>
      </c>
      <c r="W33" s="667">
        <f t="shared" si="14"/>
        <v>100</v>
      </c>
      <c r="X33" s="1263"/>
      <c r="Y33" s="3362"/>
      <c r="Z33" s="1262" t="str">
        <f t="shared" si="15"/>
        <v>是否直接入户</v>
      </c>
      <c r="AA33" s="1262">
        <f t="shared" si="3"/>
        <v>1</v>
      </c>
      <c r="AB33" s="1262">
        <f t="shared" si="4"/>
        <v>1</v>
      </c>
      <c r="AC33" s="1262">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2"/>
      <c r="Q34" s="1261">
        <f t="shared" si="11"/>
        <v>111</v>
      </c>
      <c r="R34" s="666" t="s">
        <v>14</v>
      </c>
      <c r="S34" s="667">
        <f t="shared" si="12"/>
        <v>100</v>
      </c>
      <c r="T34" s="666" t="s">
        <v>14</v>
      </c>
      <c r="U34" s="667">
        <f t="shared" si="13"/>
        <v>100</v>
      </c>
      <c r="V34" s="666" t="s">
        <v>14</v>
      </c>
      <c r="W34" s="667">
        <f t="shared" si="14"/>
        <v>100</v>
      </c>
      <c r="X34" s="1263"/>
      <c r="Y34" s="3362"/>
      <c r="Z34" s="1262">
        <f t="shared" si="15"/>
        <v>111</v>
      </c>
      <c r="AA34" s="1262">
        <f t="shared" si="3"/>
        <v>1</v>
      </c>
      <c r="AB34" s="1262">
        <f t="shared" si="4"/>
        <v>1</v>
      </c>
      <c r="AC34" s="1262">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2"/>
      <c r="Q35" s="531">
        <f t="shared" si="11"/>
        <v>111</v>
      </c>
      <c r="R35" s="668" t="s">
        <v>14</v>
      </c>
      <c r="S35" s="669">
        <f t="shared" si="12"/>
        <v>100</v>
      </c>
      <c r="T35" s="668" t="s">
        <v>14</v>
      </c>
      <c r="U35" s="669">
        <f t="shared" si="13"/>
        <v>100</v>
      </c>
      <c r="V35" s="668" t="s">
        <v>14</v>
      </c>
      <c r="W35" s="669">
        <f t="shared" si="14"/>
        <v>100</v>
      </c>
      <c r="X35" s="670"/>
      <c r="Y35" s="3362"/>
      <c r="Z35" s="671">
        <f t="shared" si="15"/>
        <v>111</v>
      </c>
      <c r="AA35" s="1262">
        <f t="shared" si="3"/>
        <v>1</v>
      </c>
      <c r="AB35" s="1262">
        <f t="shared" si="4"/>
        <v>1</v>
      </c>
      <c r="AC35" s="1262">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2"/>
      <c r="Q36" s="1261">
        <f t="shared" si="11"/>
        <v>111</v>
      </c>
      <c r="R36" s="666" t="s">
        <v>14</v>
      </c>
      <c r="S36" s="667">
        <f t="shared" si="12"/>
        <v>100</v>
      </c>
      <c r="T36" s="666" t="s">
        <v>14</v>
      </c>
      <c r="U36" s="667">
        <f t="shared" si="13"/>
        <v>100</v>
      </c>
      <c r="V36" s="666" t="s">
        <v>14</v>
      </c>
      <c r="W36" s="667">
        <f t="shared" si="14"/>
        <v>100</v>
      </c>
      <c r="X36" s="1263"/>
      <c r="Y36" s="3362"/>
      <c r="Z36" s="1262">
        <f t="shared" si="15"/>
        <v>111</v>
      </c>
      <c r="AA36" s="1262">
        <f t="shared" si="3"/>
        <v>1</v>
      </c>
      <c r="AB36" s="1262">
        <f t="shared" si="4"/>
        <v>1</v>
      </c>
      <c r="AC36" s="1262">
        <f t="shared" si="5"/>
        <v>1</v>
      </c>
    </row>
    <row r="37" spans="1:29" ht="15">
      <c r="A37" s="416" t="s">
        <v>1844</v>
      </c>
      <c r="B37" s="1819" t="s">
        <v>3355</v>
      </c>
      <c r="C37" s="1079" t="s">
        <v>0</v>
      </c>
      <c r="D37" s="418"/>
      <c r="E37" s="419"/>
      <c r="F37" s="420"/>
      <c r="G37" s="421"/>
      <c r="H37" s="422"/>
      <c r="I37" s="419"/>
      <c r="J37" s="422"/>
      <c r="K37" s="544"/>
      <c r="L37" s="2493"/>
      <c r="M37" s="2486"/>
      <c r="N37" s="2486"/>
      <c r="O37" s="2486"/>
      <c r="P37" s="3350" t="str">
        <f>A37</f>
        <v>成交单价</v>
      </c>
      <c r="Q37" s="3350"/>
      <c r="R37" s="3351">
        <f>E37</f>
        <v>0</v>
      </c>
      <c r="S37" s="3351"/>
      <c r="T37" s="3351">
        <f>G37</f>
        <v>0</v>
      </c>
      <c r="U37" s="3351"/>
      <c r="V37" s="3351">
        <f>I37</f>
        <v>0</v>
      </c>
      <c r="W37" s="3351"/>
      <c r="X37" s="385"/>
      <c r="Y37" s="672"/>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3"/>
      <c r="M38" s="2486"/>
      <c r="N38" s="2486"/>
      <c r="O38" s="2486"/>
      <c r="P38" s="3350" t="str">
        <f>A38</f>
        <v>比较价值（元/平方米）</v>
      </c>
      <c r="Q38" s="335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352" t="str">
        <f>A39</f>
        <v>估价对象XX用房的比较价值（楼面单价，元/平方米）</v>
      </c>
      <c r="Q39" s="3353"/>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2024-7</v>
      </c>
      <c r="D48" s="1102">
        <f>EDATE(C48,-1)</f>
        <v>45444</v>
      </c>
      <c r="E48" s="1102">
        <f t="shared" ref="E48:O48" si="16">EDATE(D48,-1)</f>
        <v>45413</v>
      </c>
      <c r="F48" s="1102">
        <f t="shared" si="16"/>
        <v>45383</v>
      </c>
      <c r="G48" s="1102">
        <f t="shared" si="16"/>
        <v>45352</v>
      </c>
      <c r="H48" s="1102">
        <f t="shared" si="16"/>
        <v>45323</v>
      </c>
      <c r="I48" s="1102">
        <f t="shared" si="16"/>
        <v>45292</v>
      </c>
      <c r="J48" s="1102">
        <f t="shared" si="16"/>
        <v>45261</v>
      </c>
      <c r="K48" s="1102">
        <f t="shared" si="16"/>
        <v>45231</v>
      </c>
      <c r="L48" s="1102">
        <f t="shared" si="16"/>
        <v>45200</v>
      </c>
      <c r="M48" s="1102">
        <f t="shared" si="16"/>
        <v>45170</v>
      </c>
      <c r="N48" s="1102">
        <f t="shared" si="16"/>
        <v>45139</v>
      </c>
      <c r="O48" s="1102">
        <f t="shared" si="16"/>
        <v>45108</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3335</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372" t="s">
        <v>1775</v>
      </c>
      <c r="Q4" s="3373"/>
      <c r="R4" s="3378" t="s">
        <v>1771</v>
      </c>
      <c r="S4" s="3379"/>
      <c r="T4" s="3378" t="s">
        <v>1772</v>
      </c>
      <c r="U4" s="3379"/>
      <c r="V4" s="3351" t="s">
        <v>1773</v>
      </c>
      <c r="W4" s="3351"/>
      <c r="X4" s="1263"/>
      <c r="Y4" s="3378" t="s">
        <v>1775</v>
      </c>
      <c r="Z4" s="3379"/>
      <c r="AA4" s="3365" t="s">
        <v>1771</v>
      </c>
      <c r="AB4" s="3366" t="s">
        <v>1772</v>
      </c>
      <c r="AC4" s="3365" t="s">
        <v>1773</v>
      </c>
    </row>
    <row r="5" spans="1:29" ht="15">
      <c r="A5" s="348"/>
      <c r="B5" s="349"/>
      <c r="C5" s="3391" t="s">
        <v>1673</v>
      </c>
      <c r="D5" s="3387"/>
      <c r="E5" s="3417" t="s">
        <v>1674</v>
      </c>
      <c r="F5" s="3395"/>
      <c r="G5" s="3391" t="s">
        <v>1675</v>
      </c>
      <c r="H5" s="3387"/>
      <c r="I5" s="3391" t="s">
        <v>1676</v>
      </c>
      <c r="J5" s="3387"/>
      <c r="K5" s="537"/>
      <c r="L5" s="2485"/>
      <c r="M5" s="2486"/>
      <c r="N5" s="2486"/>
      <c r="O5" s="2486"/>
      <c r="P5" s="3374"/>
      <c r="Q5" s="3375"/>
      <c r="R5" s="3380"/>
      <c r="S5" s="3381"/>
      <c r="T5" s="3380"/>
      <c r="U5" s="3381"/>
      <c r="V5" s="3351"/>
      <c r="W5" s="3351"/>
      <c r="X5" s="1263"/>
      <c r="Y5" s="3380"/>
      <c r="Z5" s="3381"/>
      <c r="AA5" s="3366"/>
      <c r="AB5" s="3366"/>
      <c r="AC5" s="3366"/>
    </row>
    <row r="6" spans="1:29" ht="15.75" thickBot="1">
      <c r="A6" s="350"/>
      <c r="B6" s="351"/>
      <c r="C6" s="3384" t="s">
        <v>1677</v>
      </c>
      <c r="D6" s="3385"/>
      <c r="E6" s="3392" t="s">
        <v>1677</v>
      </c>
      <c r="F6" s="3393"/>
      <c r="G6" s="3384" t="s">
        <v>1677</v>
      </c>
      <c r="H6" s="3385"/>
      <c r="I6" s="3384" t="s">
        <v>1677</v>
      </c>
      <c r="J6" s="3385"/>
      <c r="K6" s="537" t="s">
        <v>1678</v>
      </c>
      <c r="L6" s="2485"/>
      <c r="M6" s="2486"/>
      <c r="N6" s="2486"/>
      <c r="O6" s="2486"/>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88" t="s">
        <v>1680</v>
      </c>
      <c r="Q7" s="3390"/>
      <c r="R7" s="663" t="s">
        <v>14</v>
      </c>
      <c r="S7" s="664">
        <f t="shared" ref="S7:S14" si="0">F7</f>
        <v>0</v>
      </c>
      <c r="T7" s="663" t="s">
        <v>14</v>
      </c>
      <c r="U7" s="664">
        <f t="shared" ref="U7:U14" si="1">H7</f>
        <v>0</v>
      </c>
      <c r="V7" s="663" t="s">
        <v>14</v>
      </c>
      <c r="W7" s="664">
        <f t="shared" ref="W7:W14" si="2">J7</f>
        <v>0</v>
      </c>
      <c r="X7" s="665"/>
      <c r="Y7" s="3388" t="s">
        <v>1680</v>
      </c>
      <c r="Z7" s="33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88" t="s">
        <v>1683</v>
      </c>
      <c r="Q8" s="3389"/>
      <c r="R8" s="663" t="s">
        <v>14</v>
      </c>
      <c r="S8" s="664">
        <f t="shared" si="0"/>
        <v>100</v>
      </c>
      <c r="T8" s="663" t="s">
        <v>14</v>
      </c>
      <c r="U8" s="664">
        <f t="shared" si="1"/>
        <v>100</v>
      </c>
      <c r="V8" s="663" t="s">
        <v>14</v>
      </c>
      <c r="W8" s="664">
        <f t="shared" si="2"/>
        <v>100</v>
      </c>
      <c r="X8" s="665"/>
      <c r="Y8" s="3388" t="s">
        <v>1683</v>
      </c>
      <c r="Z8" s="33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50"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0"/>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0"/>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99.75">
      <c r="A14" s="379" t="s">
        <v>1690</v>
      </c>
      <c r="B14" s="58" t="s">
        <v>1833</v>
      </c>
      <c r="C14" s="1817" t="str">
        <f>IF(B1="工业",估价对象房地状况!G4,估价对象房地状况!C6)</f>
        <v>估价对象周边道路状况、公共交通通达情况915、918、955等、停车便捷程度，综合评价交通便捷度一般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7" t="s">
        <v>1691</v>
      </c>
      <c r="Q14" s="1261" t="str">
        <f t="shared" si="6"/>
        <v>交通便捷度</v>
      </c>
      <c r="R14" s="666" t="s">
        <v>14</v>
      </c>
      <c r="S14" s="667">
        <f t="shared" si="0"/>
        <v>100</v>
      </c>
      <c r="T14" s="666" t="s">
        <v>14</v>
      </c>
      <c r="U14" s="667">
        <f t="shared" si="1"/>
        <v>100</v>
      </c>
      <c r="V14" s="666" t="s">
        <v>14</v>
      </c>
      <c r="W14" s="667">
        <f t="shared" si="2"/>
        <v>100</v>
      </c>
      <c r="X14" s="1263"/>
      <c r="Y14" s="3357"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58"/>
      <c r="Q15" s="1261"/>
      <c r="R15" s="666"/>
      <c r="S15" s="667"/>
      <c r="T15" s="666"/>
      <c r="U15" s="667"/>
      <c r="V15" s="666"/>
      <c r="W15" s="667"/>
      <c r="X15" s="1263"/>
      <c r="Y15" s="3358"/>
      <c r="Z15" s="1262"/>
      <c r="AA15" s="1262">
        <v>1</v>
      </c>
      <c r="AB15" s="1262">
        <v>1</v>
      </c>
      <c r="AC15" s="1262">
        <v>1</v>
      </c>
    </row>
    <row r="16" spans="1:29" ht="42.75">
      <c r="A16" s="367"/>
      <c r="B16" s="390" t="s">
        <v>1812</v>
      </c>
      <c r="C16" s="1752" t="str">
        <f>IF(B1="工业",估价对象房地状况!G5,估价对象房地状况!C7)</f>
        <v>估价对象所在区域公共配套设施齐备情况一般</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8"/>
      <c r="Q16" s="1261" t="str">
        <f>B16</f>
        <v>公共配套设施</v>
      </c>
      <c r="R16" s="666" t="s">
        <v>14</v>
      </c>
      <c r="S16" s="667">
        <f>F16</f>
        <v>100</v>
      </c>
      <c r="T16" s="666" t="s">
        <v>14</v>
      </c>
      <c r="U16" s="667">
        <f>H16</f>
        <v>100</v>
      </c>
      <c r="V16" s="666" t="s">
        <v>14</v>
      </c>
      <c r="W16" s="667">
        <f>J16</f>
        <v>100</v>
      </c>
      <c r="X16" s="1263"/>
      <c r="Y16" s="3358"/>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58"/>
      <c r="Q17" s="1261"/>
      <c r="R17" s="666"/>
      <c r="S17" s="667"/>
      <c r="T17" s="666"/>
      <c r="U17" s="667"/>
      <c r="V17" s="666"/>
      <c r="W17" s="667"/>
      <c r="X17" s="1263"/>
      <c r="Y17" s="3358"/>
      <c r="Z17" s="1262"/>
      <c r="AA17" s="1262">
        <v>1</v>
      </c>
      <c r="AB17" s="1262">
        <v>1</v>
      </c>
      <c r="AC17" s="1262">
        <v>1</v>
      </c>
    </row>
    <row r="18" spans="1:29" ht="15">
      <c r="A18" s="367"/>
      <c r="B18" s="585" t="s">
        <v>1813</v>
      </c>
      <c r="C18" s="1752"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8"/>
      <c r="Q18" s="1261" t="str">
        <f>B18</f>
        <v>基础设施水平</v>
      </c>
      <c r="R18" s="666" t="s">
        <v>14</v>
      </c>
      <c r="S18" s="667">
        <f>F18</f>
        <v>100</v>
      </c>
      <c r="T18" s="666" t="s">
        <v>14</v>
      </c>
      <c r="U18" s="667">
        <f>H18</f>
        <v>100</v>
      </c>
      <c r="V18" s="666" t="s">
        <v>14</v>
      </c>
      <c r="W18" s="667">
        <f>J18</f>
        <v>100</v>
      </c>
      <c r="X18" s="1263"/>
      <c r="Y18" s="3358"/>
      <c r="Z18" s="1262" t="str">
        <f>Q18</f>
        <v>基础设施水平</v>
      </c>
      <c r="AA18" s="1262">
        <f t="shared" ref="AA18" si="8">D18/F18</f>
        <v>1</v>
      </c>
      <c r="AB18" s="1262">
        <f t="shared" ref="AB18" si="9">D18/H18</f>
        <v>1</v>
      </c>
      <c r="AC18" s="1262">
        <f t="shared" ref="AC18" si="10">D18/J18</f>
        <v>1</v>
      </c>
    </row>
    <row r="19" spans="1:29" ht="15">
      <c r="A19" s="367"/>
      <c r="B19" s="585"/>
      <c r="C19" s="1753"/>
      <c r="D19" s="389"/>
      <c r="E19" s="1753"/>
      <c r="F19" s="392"/>
      <c r="G19" s="1753"/>
      <c r="H19" s="387"/>
      <c r="I19" s="386"/>
      <c r="J19" s="387"/>
      <c r="K19" s="1062"/>
      <c r="L19" s="2491"/>
      <c r="M19" s="2486"/>
      <c r="N19" s="2486"/>
      <c r="O19" s="2541"/>
      <c r="P19" s="3358"/>
      <c r="Q19" s="1261"/>
      <c r="R19" s="666"/>
      <c r="S19" s="667"/>
      <c r="T19" s="666"/>
      <c r="U19" s="667"/>
      <c r="V19" s="666"/>
      <c r="W19" s="667"/>
      <c r="X19" s="1263"/>
      <c r="Y19" s="3358"/>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8"/>
      <c r="Q20" s="1261" t="str">
        <f>B20</f>
        <v>自然及人文环境</v>
      </c>
      <c r="R20" s="666" t="s">
        <v>14</v>
      </c>
      <c r="S20" s="667">
        <f>F20</f>
        <v>100</v>
      </c>
      <c r="T20" s="666" t="s">
        <v>14</v>
      </c>
      <c r="U20" s="667">
        <f>H20</f>
        <v>100</v>
      </c>
      <c r="V20" s="666" t="s">
        <v>14</v>
      </c>
      <c r="W20" s="667">
        <f>J20</f>
        <v>100</v>
      </c>
      <c r="X20" s="1263"/>
      <c r="Y20" s="3358"/>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58"/>
      <c r="Q21" s="1261"/>
      <c r="R21" s="666"/>
      <c r="S21" s="667"/>
      <c r="T21" s="666"/>
      <c r="U21" s="667"/>
      <c r="V21" s="666"/>
      <c r="W21" s="667"/>
      <c r="X21" s="1263"/>
      <c r="Y21" s="3358"/>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8"/>
      <c r="Q22" s="1261" t="str">
        <f>B22</f>
        <v>楼层</v>
      </c>
      <c r="R22" s="666" t="s">
        <v>14</v>
      </c>
      <c r="S22" s="667">
        <f>F22</f>
        <v>100</v>
      </c>
      <c r="T22" s="666" t="s">
        <v>14</v>
      </c>
      <c r="U22" s="667">
        <f>H22</f>
        <v>100</v>
      </c>
      <c r="V22" s="666" t="s">
        <v>14</v>
      </c>
      <c r="W22" s="667">
        <f>J22</f>
        <v>100</v>
      </c>
      <c r="X22" s="1263"/>
      <c r="Y22" s="3358"/>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8"/>
      <c r="Q23" s="1261">
        <f>B23</f>
        <v>111</v>
      </c>
      <c r="R23" s="666" t="s">
        <v>14</v>
      </c>
      <c r="S23" s="667">
        <f>F23</f>
        <v>100</v>
      </c>
      <c r="T23" s="666" t="s">
        <v>14</v>
      </c>
      <c r="U23" s="667">
        <f>H23</f>
        <v>100</v>
      </c>
      <c r="V23" s="666" t="s">
        <v>14</v>
      </c>
      <c r="W23" s="667">
        <f>J23</f>
        <v>100</v>
      </c>
      <c r="X23" s="1263"/>
      <c r="Y23" s="3358"/>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8"/>
      <c r="Q24" s="1261">
        <f t="shared" ref="Q24:Q34" si="11">B24</f>
        <v>111</v>
      </c>
      <c r="R24" s="666" t="s">
        <v>14</v>
      </c>
      <c r="S24" s="667">
        <f>F24</f>
        <v>100</v>
      </c>
      <c r="T24" s="666" t="s">
        <v>14</v>
      </c>
      <c r="U24" s="667">
        <f>H24</f>
        <v>100</v>
      </c>
      <c r="V24" s="666" t="s">
        <v>14</v>
      </c>
      <c r="W24" s="667">
        <f>J24</f>
        <v>100</v>
      </c>
      <c r="X24" s="1263"/>
      <c r="Y24" s="3358"/>
      <c r="Z24" s="1262">
        <f>Q24</f>
        <v>111</v>
      </c>
      <c r="AA24" s="1262">
        <f t="shared" si="3"/>
        <v>1</v>
      </c>
      <c r="AB24" s="1262">
        <f t="shared" si="4"/>
        <v>1</v>
      </c>
      <c r="AC24" s="1262">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358"/>
      <c r="Q25" s="530">
        <f t="shared" si="11"/>
        <v>111</v>
      </c>
      <c r="R25" s="663" t="s">
        <v>14</v>
      </c>
      <c r="S25" s="664">
        <f>F25</f>
        <v>100</v>
      </c>
      <c r="T25" s="663" t="s">
        <v>14</v>
      </c>
      <c r="U25" s="664">
        <f>H25</f>
        <v>100</v>
      </c>
      <c r="V25" s="663" t="s">
        <v>14</v>
      </c>
      <c r="W25" s="664">
        <f>J25</f>
        <v>100</v>
      </c>
      <c r="X25" s="665"/>
      <c r="Y25" s="3358"/>
      <c r="Z25" s="50">
        <f>Q25</f>
        <v>111</v>
      </c>
      <c r="AA25" s="1262">
        <f>D25/F25</f>
        <v>1</v>
      </c>
      <c r="AB25" s="1262">
        <f>D25/H25</f>
        <v>1</v>
      </c>
      <c r="AC25" s="1262">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433"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6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2"/>
      <c r="Q27" s="531" t="str">
        <f t="shared" si="11"/>
        <v>成新率</v>
      </c>
      <c r="R27" s="668" t="s">
        <v>14</v>
      </c>
      <c r="S27" s="669" t="e">
        <f t="shared" si="12"/>
        <v>#N/A</v>
      </c>
      <c r="T27" s="668" t="s">
        <v>14</v>
      </c>
      <c r="U27" s="669" t="e">
        <f t="shared" si="13"/>
        <v>#N/A</v>
      </c>
      <c r="V27" s="668" t="s">
        <v>14</v>
      </c>
      <c r="W27" s="669" t="e">
        <f t="shared" si="14"/>
        <v>#N/A</v>
      </c>
      <c r="X27" s="670"/>
      <c r="Y27" s="3362"/>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2"/>
      <c r="Q28" s="1261" t="str">
        <f t="shared" si="11"/>
        <v>物业等级</v>
      </c>
      <c r="R28" s="666" t="s">
        <v>14</v>
      </c>
      <c r="S28" s="667">
        <f t="shared" si="12"/>
        <v>100</v>
      </c>
      <c r="T28" s="666" t="s">
        <v>14</v>
      </c>
      <c r="U28" s="667">
        <f t="shared" si="13"/>
        <v>100</v>
      </c>
      <c r="V28" s="666" t="s">
        <v>14</v>
      </c>
      <c r="W28" s="667">
        <f t="shared" si="14"/>
        <v>100</v>
      </c>
      <c r="X28" s="1263"/>
      <c r="Y28" s="3362"/>
      <c r="Z28" s="1262" t="str">
        <f t="shared" si="15"/>
        <v>物业等级</v>
      </c>
      <c r="AA28" s="1262">
        <f t="shared" si="3"/>
        <v>1</v>
      </c>
      <c r="AB28" s="1262">
        <f t="shared" si="4"/>
        <v>1</v>
      </c>
      <c r="AC28" s="1262">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62"/>
      <c r="Q29" s="1261" t="str">
        <f t="shared" si="11"/>
        <v>有无电梯</v>
      </c>
      <c r="R29" s="666" t="s">
        <v>14</v>
      </c>
      <c r="S29" s="667">
        <f t="shared" si="12"/>
        <v>100</v>
      </c>
      <c r="T29" s="666" t="s">
        <v>14</v>
      </c>
      <c r="U29" s="667">
        <f t="shared" si="13"/>
        <v>100</v>
      </c>
      <c r="V29" s="666" t="s">
        <v>14</v>
      </c>
      <c r="W29" s="667">
        <f t="shared" si="14"/>
        <v>100</v>
      </c>
      <c r="X29" s="1263"/>
      <c r="Y29" s="336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2"/>
      <c r="Q30" s="1261" t="str">
        <f t="shared" si="11"/>
        <v>建筑面积</v>
      </c>
      <c r="R30" s="666" t="s">
        <v>14</v>
      </c>
      <c r="S30" s="667" t="e">
        <f t="shared" si="12"/>
        <v>#N/A</v>
      </c>
      <c r="T30" s="666" t="s">
        <v>14</v>
      </c>
      <c r="U30" s="667" t="e">
        <f t="shared" si="13"/>
        <v>#N/A</v>
      </c>
      <c r="V30" s="666" t="s">
        <v>14</v>
      </c>
      <c r="W30" s="667" t="e">
        <f t="shared" si="14"/>
        <v>#N/A</v>
      </c>
      <c r="X30" s="1263"/>
      <c r="Y30" s="3362"/>
      <c r="Z30" s="1262" t="str">
        <f t="shared" si="15"/>
        <v>建筑面积</v>
      </c>
      <c r="AA30" s="1262" t="e">
        <f t="shared" si="3"/>
        <v>#N/A</v>
      </c>
      <c r="AB30" s="1262" t="e">
        <f t="shared" si="4"/>
        <v>#N/A</v>
      </c>
      <c r="AC30" s="1262"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62"/>
      <c r="Q31" s="530" t="str">
        <f t="shared" si="11"/>
        <v>是否封闭</v>
      </c>
      <c r="R31" s="663" t="s">
        <v>14</v>
      </c>
      <c r="S31" s="664">
        <f t="shared" si="12"/>
        <v>100</v>
      </c>
      <c r="T31" s="663" t="s">
        <v>14</v>
      </c>
      <c r="U31" s="664">
        <f t="shared" si="13"/>
        <v>100</v>
      </c>
      <c r="V31" s="663" t="s">
        <v>14</v>
      </c>
      <c r="W31" s="664">
        <f t="shared" si="14"/>
        <v>100</v>
      </c>
      <c r="X31" s="665"/>
      <c r="Y31" s="336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2" t="s">
        <v>1696</v>
      </c>
      <c r="Q32" s="1261">
        <f t="shared" si="11"/>
        <v>111</v>
      </c>
      <c r="R32" s="666" t="s">
        <v>14</v>
      </c>
      <c r="S32" s="667">
        <f t="shared" si="12"/>
        <v>100</v>
      </c>
      <c r="T32" s="666" t="s">
        <v>14</v>
      </c>
      <c r="U32" s="667">
        <f t="shared" si="13"/>
        <v>100</v>
      </c>
      <c r="V32" s="666" t="s">
        <v>14</v>
      </c>
      <c r="W32" s="667">
        <f t="shared" si="14"/>
        <v>100</v>
      </c>
      <c r="X32" s="1263"/>
      <c r="Y32" s="336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2"/>
      <c r="Q33" s="1261">
        <f t="shared" si="11"/>
        <v>111</v>
      </c>
      <c r="R33" s="666" t="s">
        <v>14</v>
      </c>
      <c r="S33" s="667">
        <f t="shared" si="12"/>
        <v>100</v>
      </c>
      <c r="T33" s="666" t="s">
        <v>14</v>
      </c>
      <c r="U33" s="667">
        <f t="shared" si="13"/>
        <v>100</v>
      </c>
      <c r="V33" s="666" t="s">
        <v>14</v>
      </c>
      <c r="W33" s="667">
        <f t="shared" si="14"/>
        <v>100</v>
      </c>
      <c r="X33" s="1263"/>
      <c r="Y33" s="3362"/>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62"/>
      <c r="Q34" s="1261">
        <f t="shared" si="11"/>
        <v>111</v>
      </c>
      <c r="R34" s="666" t="s">
        <v>14</v>
      </c>
      <c r="S34" s="667">
        <f t="shared" si="12"/>
        <v>100</v>
      </c>
      <c r="T34" s="666" t="s">
        <v>14</v>
      </c>
      <c r="U34" s="667">
        <f t="shared" si="13"/>
        <v>100</v>
      </c>
      <c r="V34" s="666" t="s">
        <v>14</v>
      </c>
      <c r="W34" s="667">
        <f t="shared" si="14"/>
        <v>100</v>
      </c>
      <c r="X34" s="1263"/>
      <c r="Y34" s="3362"/>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350" t="str">
        <f>A35</f>
        <v>成交单价（元/平方米）</v>
      </c>
      <c r="Q35" s="3350"/>
      <c r="R35" s="3351">
        <f>E35</f>
        <v>0</v>
      </c>
      <c r="S35" s="3351"/>
      <c r="T35" s="3351">
        <f>G35</f>
        <v>0</v>
      </c>
      <c r="U35" s="3351"/>
      <c r="V35" s="3351">
        <f>I35</f>
        <v>0</v>
      </c>
      <c r="W35" s="3351"/>
      <c r="X35" s="385"/>
      <c r="Y35" s="672"/>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3"/>
      <c r="M36" s="2486"/>
      <c r="N36" s="2486"/>
      <c r="O36" s="2486"/>
      <c r="P36" s="3350" t="str">
        <f>A36</f>
        <v>比较价值（元/平方米）</v>
      </c>
      <c r="Q36" s="335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52" t="str">
        <f>A37</f>
        <v>估价对象XX用房的比较价值（楼面单价，元/平方米）</v>
      </c>
      <c r="Q37" s="3353"/>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2024-7</v>
      </c>
      <c r="D46" s="1102">
        <f>EDATE(C46,-1)</f>
        <v>45444</v>
      </c>
      <c r="E46" s="1102">
        <f t="shared" ref="E46:O46" si="16">EDATE(D46,-1)</f>
        <v>45413</v>
      </c>
      <c r="F46" s="1102">
        <f t="shared" si="16"/>
        <v>45383</v>
      </c>
      <c r="G46" s="1102">
        <f t="shared" si="16"/>
        <v>45352</v>
      </c>
      <c r="H46" s="1102">
        <f t="shared" si="16"/>
        <v>45323</v>
      </c>
      <c r="I46" s="1102">
        <f t="shared" si="16"/>
        <v>45292</v>
      </c>
      <c r="J46" s="1102">
        <f t="shared" si="16"/>
        <v>45261</v>
      </c>
      <c r="K46" s="1102">
        <f t="shared" si="16"/>
        <v>45231</v>
      </c>
      <c r="L46" s="1102">
        <f t="shared" si="16"/>
        <v>45200</v>
      </c>
      <c r="M46" s="1102">
        <f t="shared" si="16"/>
        <v>45170</v>
      </c>
      <c r="N46" s="1102">
        <f t="shared" si="16"/>
        <v>45139</v>
      </c>
      <c r="O46" s="1102">
        <f t="shared" si="16"/>
        <v>45108</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372" t="s">
        <v>1775</v>
      </c>
      <c r="Q4" s="3373"/>
      <c r="R4" s="3378" t="s">
        <v>1771</v>
      </c>
      <c r="S4" s="3379"/>
      <c r="T4" s="3378" t="s">
        <v>1772</v>
      </c>
      <c r="U4" s="3379"/>
      <c r="V4" s="3351" t="s">
        <v>1773</v>
      </c>
      <c r="W4" s="3351"/>
      <c r="X4" s="1263"/>
      <c r="Y4" s="3378" t="s">
        <v>1775</v>
      </c>
      <c r="Z4" s="3379"/>
      <c r="AA4" s="3365" t="s">
        <v>1771</v>
      </c>
      <c r="AB4" s="3366" t="s">
        <v>1772</v>
      </c>
      <c r="AC4" s="3365" t="s">
        <v>1773</v>
      </c>
    </row>
    <row r="5" spans="1:29" ht="15">
      <c r="A5" s="348"/>
      <c r="B5" s="349"/>
      <c r="C5" s="3391" t="s">
        <v>1673</v>
      </c>
      <c r="D5" s="3387"/>
      <c r="E5" s="3417" t="s">
        <v>1674</v>
      </c>
      <c r="F5" s="3395"/>
      <c r="G5" s="3391" t="s">
        <v>1675</v>
      </c>
      <c r="H5" s="3387"/>
      <c r="I5" s="3391" t="s">
        <v>1676</v>
      </c>
      <c r="J5" s="3387"/>
      <c r="K5" s="537"/>
      <c r="L5" s="2485"/>
      <c r="M5" s="2486"/>
      <c r="N5" s="2486"/>
      <c r="O5" s="2486"/>
      <c r="P5" s="3374"/>
      <c r="Q5" s="3375"/>
      <c r="R5" s="3380"/>
      <c r="S5" s="3381"/>
      <c r="T5" s="3380"/>
      <c r="U5" s="3381"/>
      <c r="V5" s="3351"/>
      <c r="W5" s="3351"/>
      <c r="X5" s="1263"/>
      <c r="Y5" s="3380"/>
      <c r="Z5" s="3381"/>
      <c r="AA5" s="3366"/>
      <c r="AB5" s="3366"/>
      <c r="AC5" s="3366"/>
    </row>
    <row r="6" spans="1:29" ht="15.75" thickBot="1">
      <c r="A6" s="350"/>
      <c r="B6" s="351"/>
      <c r="C6" s="3384" t="s">
        <v>1677</v>
      </c>
      <c r="D6" s="3385"/>
      <c r="E6" s="3392" t="s">
        <v>1677</v>
      </c>
      <c r="F6" s="3393"/>
      <c r="G6" s="3384" t="s">
        <v>1677</v>
      </c>
      <c r="H6" s="3385"/>
      <c r="I6" s="3384" t="s">
        <v>1677</v>
      </c>
      <c r="J6" s="3385"/>
      <c r="K6" s="537" t="s">
        <v>1678</v>
      </c>
      <c r="L6" s="2485"/>
      <c r="M6" s="2486"/>
      <c r="N6" s="2486"/>
      <c r="O6" s="2486"/>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88" t="s">
        <v>1683</v>
      </c>
      <c r="Q8" s="3389"/>
      <c r="R8" s="663" t="s">
        <v>14</v>
      </c>
      <c r="S8" s="664">
        <f t="shared" si="0"/>
        <v>0</v>
      </c>
      <c r="T8" s="663" t="s">
        <v>14</v>
      </c>
      <c r="U8" s="664">
        <f t="shared" si="1"/>
        <v>0</v>
      </c>
      <c r="V8" s="663" t="s">
        <v>14</v>
      </c>
      <c r="W8" s="664">
        <f t="shared" si="2"/>
        <v>0</v>
      </c>
      <c r="X8" s="665"/>
      <c r="Y8" s="3388" t="s">
        <v>1683</v>
      </c>
      <c r="Z8" s="338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1"/>
      <c r="L10" s="2488"/>
      <c r="M10" s="2489"/>
      <c r="N10" s="2489"/>
      <c r="O10" s="2540"/>
      <c r="P10" s="3350"/>
      <c r="Q10" s="530" t="str">
        <f t="shared" si="6"/>
        <v>土地使用年限（年）</v>
      </c>
      <c r="R10" s="663" t="s">
        <v>14</v>
      </c>
      <c r="S10" s="664">
        <f t="shared" si="0"/>
        <v>139</v>
      </c>
      <c r="T10" s="663" t="s">
        <v>14</v>
      </c>
      <c r="U10" s="664">
        <f t="shared" si="1"/>
        <v>139</v>
      </c>
      <c r="V10" s="663" t="s">
        <v>14</v>
      </c>
      <c r="W10" s="664">
        <f t="shared" si="2"/>
        <v>139</v>
      </c>
      <c r="X10" s="665"/>
      <c r="Y10" s="3249"/>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50"/>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50"/>
      <c r="Q12" s="530" t="str">
        <f t="shared" si="6"/>
        <v>配建</v>
      </c>
      <c r="R12" s="663" t="s">
        <v>14</v>
      </c>
      <c r="S12" s="664">
        <f t="shared" si="0"/>
        <v>100</v>
      </c>
      <c r="T12" s="663" t="s">
        <v>14</v>
      </c>
      <c r="U12" s="664">
        <f t="shared" si="1"/>
        <v>100</v>
      </c>
      <c r="V12" s="663" t="s">
        <v>14</v>
      </c>
      <c r="W12" s="664">
        <f t="shared" si="2"/>
        <v>100</v>
      </c>
      <c r="X12" s="665"/>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57" t="s">
        <v>1691</v>
      </c>
      <c r="Q15" s="1261" t="str">
        <f t="shared" si="6"/>
        <v>居住社区成熟度</v>
      </c>
      <c r="R15" s="666" t="s">
        <v>14</v>
      </c>
      <c r="S15" s="667">
        <f t="shared" si="0"/>
        <v>100</v>
      </c>
      <c r="T15" s="666" t="s">
        <v>14</v>
      </c>
      <c r="U15" s="667">
        <f t="shared" si="1"/>
        <v>100</v>
      </c>
      <c r="V15" s="666" t="s">
        <v>14</v>
      </c>
      <c r="W15" s="667">
        <f t="shared" si="2"/>
        <v>100</v>
      </c>
      <c r="X15" s="1263"/>
      <c r="Y15" s="3357"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1"/>
      <c r="L16" s="2491"/>
      <c r="M16" s="2486"/>
      <c r="N16" s="2486"/>
      <c r="O16" s="2541"/>
      <c r="P16" s="3358"/>
      <c r="Q16" s="1261"/>
      <c r="R16" s="666"/>
      <c r="S16" s="667"/>
      <c r="T16" s="666"/>
      <c r="U16" s="667"/>
      <c r="V16" s="666"/>
      <c r="W16" s="667"/>
      <c r="X16" s="1263"/>
      <c r="Y16" s="3358"/>
      <c r="Z16" s="1262"/>
      <c r="AA16" s="1262">
        <v>1</v>
      </c>
      <c r="AB16" s="1262">
        <v>1</v>
      </c>
      <c r="AC16" s="1262">
        <v>1</v>
      </c>
    </row>
    <row r="17" spans="1:29" ht="85.5">
      <c r="A17" s="367"/>
      <c r="B17" s="390" t="s">
        <v>1777</v>
      </c>
      <c r="C17" s="1804" t="str">
        <f>估价对象房地状况!C16</f>
        <v>估价对象周边以住宅配套商业为主，周边商业氛围成熟一般，人流量一般，商业繁华度一般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58"/>
      <c r="Q17" s="1261" t="str">
        <f>B17</f>
        <v>商业繁华度</v>
      </c>
      <c r="R17" s="666" t="s">
        <v>14</v>
      </c>
      <c r="S17" s="667">
        <f>F17</f>
        <v>100</v>
      </c>
      <c r="T17" s="666" t="s">
        <v>14</v>
      </c>
      <c r="U17" s="667">
        <f>H17</f>
        <v>100</v>
      </c>
      <c r="V17" s="666" t="s">
        <v>14</v>
      </c>
      <c r="W17" s="667">
        <f>J17</f>
        <v>100</v>
      </c>
      <c r="X17" s="1263"/>
      <c r="Y17" s="3358"/>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1"/>
      <c r="L18" s="2491"/>
      <c r="M18" s="2486"/>
      <c r="N18" s="2486"/>
      <c r="O18" s="2541"/>
      <c r="P18" s="3358"/>
      <c r="Q18" s="1261"/>
      <c r="R18" s="666"/>
      <c r="S18" s="667"/>
      <c r="T18" s="666"/>
      <c r="U18" s="667"/>
      <c r="V18" s="666"/>
      <c r="W18" s="667"/>
      <c r="X18" s="1263"/>
      <c r="Y18" s="3358"/>
      <c r="Z18" s="1262"/>
      <c r="AA18" s="1262">
        <v>1</v>
      </c>
      <c r="AB18" s="1262">
        <v>1</v>
      </c>
      <c r="AC18" s="1262">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58"/>
      <c r="Q19" s="1261" t="str">
        <f>B19</f>
        <v>办公集聚程度</v>
      </c>
      <c r="R19" s="666" t="s">
        <v>14</v>
      </c>
      <c r="S19" s="667">
        <f>F19</f>
        <v>100</v>
      </c>
      <c r="T19" s="666" t="s">
        <v>14</v>
      </c>
      <c r="U19" s="667">
        <f>H19</f>
        <v>100</v>
      </c>
      <c r="V19" s="666" t="s">
        <v>14</v>
      </c>
      <c r="W19" s="667">
        <f>J19</f>
        <v>100</v>
      </c>
      <c r="X19" s="1263"/>
      <c r="Y19" s="3358"/>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1"/>
      <c r="L20" s="2491"/>
      <c r="M20" s="2486"/>
      <c r="N20" s="2486"/>
      <c r="O20" s="2541"/>
      <c r="P20" s="3358"/>
      <c r="Q20" s="1261"/>
      <c r="R20" s="666"/>
      <c r="S20" s="667"/>
      <c r="T20" s="666"/>
      <c r="U20" s="667"/>
      <c r="V20" s="666"/>
      <c r="W20" s="667"/>
      <c r="X20" s="1263"/>
      <c r="Y20" s="3358"/>
      <c r="Z20" s="1262"/>
      <c r="AA20" s="1262">
        <v>1</v>
      </c>
      <c r="AB20" s="1262">
        <v>1</v>
      </c>
      <c r="AC20" s="1262">
        <v>1</v>
      </c>
    </row>
    <row r="21" spans="1:29" ht="99.75">
      <c r="A21" s="367"/>
      <c r="B21" s="390" t="s">
        <v>1833</v>
      </c>
      <c r="C21" s="1752" t="str">
        <f>估价对象房地状况!C18</f>
        <v>估价对象周边道路状况、公共交通通达情况915、918、955等、停车便捷程度，综合评价交通便捷度一般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58"/>
      <c r="Q21" s="1261" t="str">
        <f>B21</f>
        <v>交通便捷度</v>
      </c>
      <c r="R21" s="666" t="s">
        <v>14</v>
      </c>
      <c r="S21" s="667">
        <f>F21</f>
        <v>100</v>
      </c>
      <c r="T21" s="666" t="s">
        <v>14</v>
      </c>
      <c r="U21" s="667">
        <f>H21</f>
        <v>100</v>
      </c>
      <c r="V21" s="666" t="s">
        <v>14</v>
      </c>
      <c r="W21" s="667">
        <f>J21</f>
        <v>100</v>
      </c>
      <c r="X21" s="1263"/>
      <c r="Y21" s="3358"/>
      <c r="Z21" s="1262" t="str">
        <f>Q21</f>
        <v>交通便捷度</v>
      </c>
      <c r="AA21" s="1262">
        <f t="shared" si="3"/>
        <v>1</v>
      </c>
      <c r="AB21" s="1262">
        <f t="shared" si="4"/>
        <v>1</v>
      </c>
      <c r="AC21" s="1262">
        <f t="shared" si="5"/>
        <v>1</v>
      </c>
    </row>
    <row r="22" spans="1:29" ht="15">
      <c r="A22" s="367"/>
      <c r="B22" s="585"/>
      <c r="C22" s="386"/>
      <c r="D22" s="389"/>
      <c r="E22" s="1750"/>
      <c r="F22" s="387"/>
      <c r="G22" s="1750"/>
      <c r="H22" s="387"/>
      <c r="I22" s="1749"/>
      <c r="J22" s="387"/>
      <c r="K22" s="591"/>
      <c r="L22" s="2491"/>
      <c r="M22" s="2486"/>
      <c r="N22" s="2486"/>
      <c r="O22" s="2541"/>
      <c r="P22" s="3358"/>
      <c r="Q22" s="1261"/>
      <c r="R22" s="666"/>
      <c r="S22" s="667"/>
      <c r="T22" s="666"/>
      <c r="U22" s="667"/>
      <c r="V22" s="666"/>
      <c r="W22" s="667"/>
      <c r="X22" s="1263"/>
      <c r="Y22" s="3358"/>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58"/>
      <c r="Q23" s="1261" t="str">
        <f t="shared" ref="Q23:Q37" si="8">B23</f>
        <v>区域土地利用方向</v>
      </c>
      <c r="R23" s="666" t="s">
        <v>14</v>
      </c>
      <c r="S23" s="667">
        <f>F23</f>
        <v>100</v>
      </c>
      <c r="T23" s="666" t="s">
        <v>14</v>
      </c>
      <c r="U23" s="667">
        <f>H23</f>
        <v>100</v>
      </c>
      <c r="V23" s="666" t="s">
        <v>14</v>
      </c>
      <c r="W23" s="667">
        <f>J23</f>
        <v>100</v>
      </c>
      <c r="X23" s="1263"/>
      <c r="Y23" s="3358"/>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358"/>
      <c r="Q24" s="1261"/>
      <c r="R24" s="666"/>
      <c r="S24" s="667"/>
      <c r="T24" s="666"/>
      <c r="U24" s="667"/>
      <c r="V24" s="666"/>
      <c r="W24" s="667"/>
      <c r="X24" s="1263"/>
      <c r="Y24" s="3358"/>
      <c r="Z24" s="1262"/>
      <c r="AA24" s="1262"/>
      <c r="AB24" s="1262"/>
      <c r="AC24" s="1262"/>
    </row>
    <row r="25" spans="1:29" ht="57">
      <c r="A25" s="348"/>
      <c r="B25" s="585"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58"/>
      <c r="Q25" s="1261" t="str">
        <f t="shared" si="8"/>
        <v>自然及人文环境状况</v>
      </c>
      <c r="R25" s="666" t="s">
        <v>14</v>
      </c>
      <c r="S25" s="667">
        <f>F25</f>
        <v>100</v>
      </c>
      <c r="T25" s="666" t="s">
        <v>14</v>
      </c>
      <c r="U25" s="667">
        <f>H25</f>
        <v>100</v>
      </c>
      <c r="V25" s="666" t="s">
        <v>14</v>
      </c>
      <c r="W25" s="667">
        <f>J25</f>
        <v>100</v>
      </c>
      <c r="X25" s="1263"/>
      <c r="Y25" s="3358"/>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1"/>
      <c r="L26" s="2491"/>
      <c r="M26" s="2486"/>
      <c r="N26" s="2486"/>
      <c r="O26" s="2541"/>
      <c r="P26" s="3358"/>
      <c r="Q26" s="1261"/>
      <c r="R26" s="666"/>
      <c r="S26" s="667"/>
      <c r="T26" s="666"/>
      <c r="U26" s="667"/>
      <c r="V26" s="666"/>
      <c r="W26" s="667"/>
      <c r="X26" s="1263"/>
      <c r="Y26" s="3358"/>
      <c r="Z26" s="1262"/>
      <c r="AA26" s="1262">
        <v>1</v>
      </c>
      <c r="AB26" s="1262">
        <v>1</v>
      </c>
      <c r="AC26" s="1262">
        <v>1</v>
      </c>
    </row>
    <row r="27" spans="1:29" s="102" customFormat="1" ht="42.75">
      <c r="A27" s="443"/>
      <c r="B27" s="585" t="s">
        <v>1778</v>
      </c>
      <c r="C27" s="1752" t="str">
        <f>估价对象房地状况!C21</f>
        <v>估价对象所在区域公共配套设施齐备情况一般</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58"/>
      <c r="Q27" s="530" t="str">
        <f t="shared" si="8"/>
        <v>公共配套设施</v>
      </c>
      <c r="R27" s="663" t="s">
        <v>14</v>
      </c>
      <c r="S27" s="664">
        <f>F27</f>
        <v>100</v>
      </c>
      <c r="T27" s="663" t="s">
        <v>14</v>
      </c>
      <c r="U27" s="664">
        <f>H27</f>
        <v>100</v>
      </c>
      <c r="V27" s="663" t="s">
        <v>14</v>
      </c>
      <c r="W27" s="664">
        <f>J27</f>
        <v>100</v>
      </c>
      <c r="X27" s="665"/>
      <c r="Y27" s="3358"/>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1"/>
      <c r="L28" s="2487"/>
      <c r="M28" s="2438"/>
      <c r="N28" s="2438"/>
      <c r="O28" s="2539"/>
      <c r="P28" s="3358"/>
      <c r="Q28" s="530"/>
      <c r="R28" s="663"/>
      <c r="S28" s="664"/>
      <c r="T28" s="663"/>
      <c r="U28" s="664"/>
      <c r="V28" s="663"/>
      <c r="W28" s="664"/>
      <c r="X28" s="665"/>
      <c r="Y28" s="3358"/>
      <c r="Z28" s="50"/>
      <c r="AA28" s="1262">
        <v>1</v>
      </c>
      <c r="AB28" s="1262">
        <v>1</v>
      </c>
      <c r="AC28" s="1262">
        <v>1</v>
      </c>
    </row>
    <row r="29" spans="1:29" s="102" customFormat="1" ht="15">
      <c r="A29" s="443"/>
      <c r="B29" s="585" t="s">
        <v>1779</v>
      </c>
      <c r="C29" s="1752"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58"/>
      <c r="Q29" s="530" t="str">
        <f t="shared" ref="Q29" si="9">B29</f>
        <v>基础设施水平</v>
      </c>
      <c r="R29" s="663" t="s">
        <v>14</v>
      </c>
      <c r="S29" s="664">
        <f>F29</f>
        <v>100</v>
      </c>
      <c r="T29" s="663" t="s">
        <v>14</v>
      </c>
      <c r="U29" s="664">
        <f>H29</f>
        <v>100</v>
      </c>
      <c r="V29" s="663" t="s">
        <v>14</v>
      </c>
      <c r="W29" s="664">
        <f>J29</f>
        <v>100</v>
      </c>
      <c r="X29" s="665"/>
      <c r="Y29" s="3358"/>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1"/>
      <c r="L30" s="2487"/>
      <c r="M30" s="2438"/>
      <c r="N30" s="2438"/>
      <c r="O30" s="2539"/>
      <c r="P30" s="3358"/>
      <c r="Q30" s="530"/>
      <c r="R30" s="663"/>
      <c r="S30" s="664"/>
      <c r="T30" s="663"/>
      <c r="U30" s="664"/>
      <c r="V30" s="663"/>
      <c r="W30" s="664"/>
      <c r="X30" s="665"/>
      <c r="Y30" s="3358"/>
      <c r="Z30" s="50"/>
      <c r="AA30" s="1262">
        <v>1</v>
      </c>
      <c r="AB30" s="1262">
        <v>1</v>
      </c>
      <c r="AC30" s="1262">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58"/>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58"/>
      <c r="Z31" s="1262" t="str">
        <f t="shared" ref="Z31:Z45" si="13">Q31</f>
        <v>临街状况</v>
      </c>
      <c r="AA31" s="1262">
        <f t="shared" si="3"/>
        <v>1</v>
      </c>
      <c r="AB31" s="1262">
        <f t="shared" si="4"/>
        <v>1</v>
      </c>
      <c r="AC31" s="1262">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58"/>
      <c r="Q32" s="1261" t="str">
        <f t="shared" si="8"/>
        <v>毗邻道路的类型与等级</v>
      </c>
      <c r="R32" s="666" t="s">
        <v>14</v>
      </c>
      <c r="S32" s="667">
        <f t="shared" si="10"/>
        <v>100</v>
      </c>
      <c r="T32" s="666" t="s">
        <v>14</v>
      </c>
      <c r="U32" s="667">
        <f t="shared" si="11"/>
        <v>100</v>
      </c>
      <c r="V32" s="666" t="s">
        <v>14</v>
      </c>
      <c r="W32" s="667">
        <f t="shared" si="12"/>
        <v>100</v>
      </c>
      <c r="X32" s="1263"/>
      <c r="Y32" s="3358"/>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58"/>
      <c r="Q33" s="1261"/>
      <c r="R33" s="666"/>
      <c r="S33" s="667"/>
      <c r="T33" s="666"/>
      <c r="U33" s="667"/>
      <c r="V33" s="666"/>
      <c r="W33" s="667"/>
      <c r="X33" s="1263"/>
      <c r="Y33" s="3358"/>
      <c r="Z33" s="1262"/>
      <c r="AA33" s="1262">
        <v>1</v>
      </c>
      <c r="AB33" s="1262">
        <v>1</v>
      </c>
      <c r="AC33" s="1262">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58"/>
      <c r="Q34" s="1261" t="str">
        <f t="shared" si="8"/>
        <v>土地级别</v>
      </c>
      <c r="R34" s="666" t="s">
        <v>14</v>
      </c>
      <c r="S34" s="667">
        <f t="shared" si="10"/>
        <v>100</v>
      </c>
      <c r="T34" s="666" t="s">
        <v>14</v>
      </c>
      <c r="U34" s="667">
        <f t="shared" si="11"/>
        <v>100</v>
      </c>
      <c r="V34" s="666" t="s">
        <v>14</v>
      </c>
      <c r="W34" s="667">
        <f t="shared" si="12"/>
        <v>100</v>
      </c>
      <c r="X34" s="1263"/>
      <c r="Y34" s="3358"/>
      <c r="Z34" s="1262" t="str">
        <f t="shared" si="13"/>
        <v>土地级别</v>
      </c>
      <c r="AA34" s="1262">
        <f t="shared" si="3"/>
        <v>1</v>
      </c>
      <c r="AB34" s="1262">
        <f t="shared" si="4"/>
        <v>1</v>
      </c>
      <c r="AC34" s="1262">
        <f t="shared" si="5"/>
        <v>1</v>
      </c>
    </row>
    <row r="35" spans="1:29" ht="15">
      <c r="A35" s="348"/>
      <c r="B35" s="1064">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58"/>
      <c r="Q35" s="1261">
        <f t="shared" si="8"/>
        <v>111</v>
      </c>
      <c r="R35" s="666" t="s">
        <v>14</v>
      </c>
      <c r="S35" s="667">
        <f t="shared" si="10"/>
        <v>100</v>
      </c>
      <c r="T35" s="666" t="s">
        <v>14</v>
      </c>
      <c r="U35" s="667">
        <f t="shared" si="11"/>
        <v>100</v>
      </c>
      <c r="V35" s="666" t="s">
        <v>14</v>
      </c>
      <c r="W35" s="667">
        <f t="shared" si="12"/>
        <v>100</v>
      </c>
      <c r="X35" s="1263"/>
      <c r="Y35" s="3358"/>
      <c r="Z35" s="1262">
        <f t="shared" si="13"/>
        <v>111</v>
      </c>
      <c r="AA35" s="1262">
        <f t="shared" si="3"/>
        <v>1</v>
      </c>
      <c r="AB35" s="1262">
        <f t="shared" si="4"/>
        <v>1</v>
      </c>
      <c r="AC35" s="1262">
        <f t="shared" si="5"/>
        <v>1</v>
      </c>
    </row>
    <row r="36" spans="1:29" ht="15">
      <c r="A36" s="594"/>
      <c r="B36" s="1065">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33" t="s">
        <v>1696</v>
      </c>
      <c r="Q36" s="1261">
        <f t="shared" si="8"/>
        <v>111</v>
      </c>
      <c r="R36" s="666" t="s">
        <v>14</v>
      </c>
      <c r="S36" s="667">
        <f t="shared" si="10"/>
        <v>100</v>
      </c>
      <c r="T36" s="666" t="s">
        <v>14</v>
      </c>
      <c r="U36" s="667">
        <f t="shared" si="11"/>
        <v>100</v>
      </c>
      <c r="V36" s="666" t="s">
        <v>14</v>
      </c>
      <c r="W36" s="667">
        <f t="shared" si="12"/>
        <v>100</v>
      </c>
      <c r="X36" s="1263"/>
      <c r="Y36" s="3362" t="s">
        <v>1696</v>
      </c>
      <c r="Z36" s="1262">
        <f t="shared" si="13"/>
        <v>111</v>
      </c>
      <c r="AA36" s="1262">
        <f t="shared" si="3"/>
        <v>1</v>
      </c>
      <c r="AB36" s="1262">
        <f t="shared" si="4"/>
        <v>1</v>
      </c>
      <c r="AC36" s="1262">
        <f t="shared" si="5"/>
        <v>1</v>
      </c>
    </row>
    <row r="37" spans="1:29" s="408" customFormat="1" ht="15.75" thickBot="1">
      <c r="A37" s="595"/>
      <c r="B37" s="1066">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62"/>
      <c r="Q37" s="1261">
        <f t="shared" si="8"/>
        <v>111</v>
      </c>
      <c r="R37" s="668" t="s">
        <v>14</v>
      </c>
      <c r="S37" s="669">
        <f t="shared" si="10"/>
        <v>100</v>
      </c>
      <c r="T37" s="668" t="s">
        <v>14</v>
      </c>
      <c r="U37" s="669">
        <f t="shared" si="11"/>
        <v>100</v>
      </c>
      <c r="V37" s="668" t="s">
        <v>14</v>
      </c>
      <c r="W37" s="669">
        <f t="shared" si="12"/>
        <v>100</v>
      </c>
      <c r="X37" s="670"/>
      <c r="Y37" s="3362"/>
      <c r="Z37" s="671">
        <f t="shared" si="13"/>
        <v>111</v>
      </c>
      <c r="AA37" s="1262">
        <f t="shared" si="3"/>
        <v>1</v>
      </c>
      <c r="AB37" s="1262">
        <f t="shared" si="4"/>
        <v>1</v>
      </c>
      <c r="AC37" s="1262">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62"/>
      <c r="Q38" s="1261" t="str">
        <f>B38</f>
        <v>宗地面积</v>
      </c>
      <c r="R38" s="666" t="s">
        <v>14</v>
      </c>
      <c r="S38" s="667" t="e">
        <f t="shared" si="10"/>
        <v>#N/A</v>
      </c>
      <c r="T38" s="666" t="s">
        <v>14</v>
      </c>
      <c r="U38" s="667" t="e">
        <f t="shared" si="11"/>
        <v>#N/A</v>
      </c>
      <c r="V38" s="666" t="s">
        <v>14</v>
      </c>
      <c r="W38" s="667" t="e">
        <f t="shared" si="12"/>
        <v>#N/A</v>
      </c>
      <c r="X38" s="1263"/>
      <c r="Y38" s="336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62"/>
      <c r="Q39" s="1261" t="str">
        <f t="shared" ref="Q39:Q45" si="14">B39</f>
        <v>宗地形状</v>
      </c>
      <c r="R39" s="666" t="s">
        <v>14</v>
      </c>
      <c r="S39" s="667">
        <f t="shared" si="10"/>
        <v>100</v>
      </c>
      <c r="T39" s="666" t="s">
        <v>14</v>
      </c>
      <c r="U39" s="667">
        <f t="shared" si="11"/>
        <v>100</v>
      </c>
      <c r="V39" s="666" t="s">
        <v>14</v>
      </c>
      <c r="W39" s="667">
        <f t="shared" si="12"/>
        <v>100</v>
      </c>
      <c r="X39" s="1263"/>
      <c r="Y39" s="336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62"/>
      <c r="Q40" s="1261" t="str">
        <f t="shared" si="14"/>
        <v>临街宽度及深度</v>
      </c>
      <c r="R40" s="666" t="s">
        <v>14</v>
      </c>
      <c r="S40" s="667">
        <f t="shared" si="10"/>
        <v>100</v>
      </c>
      <c r="T40" s="666" t="s">
        <v>14</v>
      </c>
      <c r="U40" s="667">
        <f t="shared" si="11"/>
        <v>100</v>
      </c>
      <c r="V40" s="666" t="s">
        <v>14</v>
      </c>
      <c r="W40" s="667">
        <f t="shared" si="12"/>
        <v>100</v>
      </c>
      <c r="X40" s="1263"/>
      <c r="Y40" s="336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62"/>
      <c r="Q41" s="1261" t="str">
        <f t="shared" si="14"/>
        <v>宗地开发程度</v>
      </c>
      <c r="R41" s="663" t="s">
        <v>14</v>
      </c>
      <c r="S41" s="664">
        <f t="shared" si="10"/>
        <v>100</v>
      </c>
      <c r="T41" s="663" t="s">
        <v>14</v>
      </c>
      <c r="U41" s="664">
        <f t="shared" si="11"/>
        <v>100</v>
      </c>
      <c r="V41" s="663" t="s">
        <v>14</v>
      </c>
      <c r="W41" s="664">
        <f t="shared" si="12"/>
        <v>100</v>
      </c>
      <c r="X41" s="665"/>
      <c r="Y41" s="336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62" t="s">
        <v>1696</v>
      </c>
      <c r="Q42" s="1261" t="str">
        <f t="shared" si="14"/>
        <v>工程地质条件</v>
      </c>
      <c r="R42" s="666" t="s">
        <v>14</v>
      </c>
      <c r="S42" s="667">
        <f t="shared" si="10"/>
        <v>100</v>
      </c>
      <c r="T42" s="666" t="s">
        <v>14</v>
      </c>
      <c r="U42" s="667">
        <f t="shared" si="11"/>
        <v>100</v>
      </c>
      <c r="V42" s="666" t="s">
        <v>14</v>
      </c>
      <c r="W42" s="667">
        <f t="shared" si="12"/>
        <v>100</v>
      </c>
      <c r="X42" s="1263"/>
      <c r="Y42" s="3362" t="s">
        <v>1696</v>
      </c>
      <c r="Z42" s="1262" t="str">
        <f t="shared" si="13"/>
        <v>工程地质条件</v>
      </c>
      <c r="AA42" s="1262">
        <f t="shared" si="3"/>
        <v>1</v>
      </c>
      <c r="AB42" s="1262">
        <f t="shared" si="4"/>
        <v>1</v>
      </c>
      <c r="AC42" s="1262">
        <f t="shared" si="5"/>
        <v>1</v>
      </c>
    </row>
    <row r="43" spans="1:29" ht="15">
      <c r="A43" s="409"/>
      <c r="B43" s="1065">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62"/>
      <c r="Q43" s="1261">
        <f t="shared" si="14"/>
        <v>111</v>
      </c>
      <c r="R43" s="666" t="s">
        <v>14</v>
      </c>
      <c r="S43" s="667">
        <f t="shared" si="10"/>
        <v>100</v>
      </c>
      <c r="T43" s="666" t="s">
        <v>14</v>
      </c>
      <c r="U43" s="667">
        <f t="shared" si="11"/>
        <v>100</v>
      </c>
      <c r="V43" s="666" t="s">
        <v>14</v>
      </c>
      <c r="W43" s="667">
        <f t="shared" si="12"/>
        <v>100</v>
      </c>
      <c r="X43" s="1263"/>
      <c r="Y43" s="3362"/>
      <c r="Z43" s="1262">
        <f t="shared" si="13"/>
        <v>111</v>
      </c>
      <c r="AA43" s="1262">
        <f t="shared" si="3"/>
        <v>1</v>
      </c>
      <c r="AB43" s="1262">
        <f t="shared" si="4"/>
        <v>1</v>
      </c>
      <c r="AC43" s="1262">
        <f t="shared" si="5"/>
        <v>1</v>
      </c>
    </row>
    <row r="44" spans="1:29" ht="15">
      <c r="A44" s="409"/>
      <c r="B44" s="1065">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62"/>
      <c r="Q44" s="1261">
        <f t="shared" si="14"/>
        <v>111</v>
      </c>
      <c r="R44" s="666" t="s">
        <v>14</v>
      </c>
      <c r="S44" s="667">
        <f t="shared" si="10"/>
        <v>100</v>
      </c>
      <c r="T44" s="666" t="s">
        <v>14</v>
      </c>
      <c r="U44" s="667">
        <f t="shared" si="11"/>
        <v>100</v>
      </c>
      <c r="V44" s="666" t="s">
        <v>14</v>
      </c>
      <c r="W44" s="667">
        <f t="shared" si="12"/>
        <v>100</v>
      </c>
      <c r="X44" s="1263"/>
      <c r="Y44" s="3362"/>
      <c r="Z44" s="1262">
        <f t="shared" si="13"/>
        <v>111</v>
      </c>
      <c r="AA44" s="1262">
        <f t="shared" si="3"/>
        <v>1</v>
      </c>
      <c r="AB44" s="1262">
        <f t="shared" si="4"/>
        <v>1</v>
      </c>
      <c r="AC44" s="1262">
        <f t="shared" si="5"/>
        <v>1</v>
      </c>
    </row>
    <row r="45" spans="1:29" s="408" customFormat="1" ht="15.75" thickBot="1">
      <c r="A45" s="406"/>
      <c r="B45" s="1065">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62"/>
      <c r="Q45" s="1261">
        <f t="shared" si="14"/>
        <v>111</v>
      </c>
      <c r="R45" s="668" t="s">
        <v>14</v>
      </c>
      <c r="S45" s="669">
        <f t="shared" si="10"/>
        <v>100</v>
      </c>
      <c r="T45" s="668" t="s">
        <v>14</v>
      </c>
      <c r="U45" s="669">
        <f t="shared" si="11"/>
        <v>100</v>
      </c>
      <c r="V45" s="668" t="s">
        <v>14</v>
      </c>
      <c r="W45" s="669">
        <f t="shared" si="12"/>
        <v>100</v>
      </c>
      <c r="X45" s="670"/>
      <c r="Y45" s="3362"/>
      <c r="Z45" s="671">
        <f t="shared" si="13"/>
        <v>111</v>
      </c>
      <c r="AA45" s="1262">
        <f t="shared" si="3"/>
        <v>1</v>
      </c>
      <c r="AB45" s="1262">
        <f t="shared" si="4"/>
        <v>1</v>
      </c>
      <c r="AC45" s="1262">
        <f t="shared" si="5"/>
        <v>1</v>
      </c>
    </row>
    <row r="46" spans="1:29" ht="15">
      <c r="A46" s="416" t="s">
        <v>1844</v>
      </c>
      <c r="B46" s="1828" t="s">
        <v>1879</v>
      </c>
      <c r="C46" s="601" t="s">
        <v>0</v>
      </c>
      <c r="D46" s="418"/>
      <c r="E46" s="419"/>
      <c r="F46" s="420"/>
      <c r="G46" s="421"/>
      <c r="H46" s="422"/>
      <c r="I46" s="419"/>
      <c r="J46" s="422"/>
      <c r="K46" s="673"/>
      <c r="L46" s="2493"/>
      <c r="M46" s="2486"/>
      <c r="N46" s="2486"/>
      <c r="O46" s="2486"/>
      <c r="P46" s="3350" t="str">
        <f>A46</f>
        <v>成交单价</v>
      </c>
      <c r="Q46" s="3350"/>
      <c r="R46" s="3351">
        <f>E46</f>
        <v>0</v>
      </c>
      <c r="S46" s="3351"/>
      <c r="T46" s="3351">
        <f>G46</f>
        <v>0</v>
      </c>
      <c r="U46" s="3351"/>
      <c r="V46" s="3351">
        <f>I46</f>
        <v>0</v>
      </c>
      <c r="W46" s="3351"/>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3"/>
      <c r="M47" s="2486"/>
      <c r="N47" s="2486"/>
      <c r="O47" s="2486"/>
      <c r="P47" s="3350" t="str">
        <f>A47</f>
        <v>比较价值（元/平方米）</v>
      </c>
      <c r="Q47" s="3350"/>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52" t="str">
        <f>A48</f>
        <v>估价对象XX用房的比较价值（楼面单价，元/平方米）</v>
      </c>
      <c r="Q48" s="3353"/>
      <c r="R48" s="3436" t="e">
        <f>ROUND(IF(D47="简单平均",AVERAGE(R47:W47),R47*F47+T47*H47+V47*J47),0)</f>
        <v>#DIV/0!</v>
      </c>
      <c r="S48" s="3436"/>
      <c r="T48" s="3436"/>
      <c r="U48" s="3436"/>
      <c r="V48" s="3436"/>
      <c r="W48" s="343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6" t="s">
        <v>1886</v>
      </c>
      <c r="G55" s="3368" t="s">
        <v>1887</v>
      </c>
      <c r="H55" s="3437"/>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2269.1</v>
      </c>
      <c r="F56" s="832" t="e">
        <f t="shared" ref="F56:F64" si="15">ROUND(B56*E56/10000,0)</f>
        <v>#DIV/0!</v>
      </c>
      <c r="G56" s="3364"/>
      <c r="H56" s="3350"/>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2269.1</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2024-7-1</v>
      </c>
      <c r="D67" s="655">
        <f>EDATE(C67,-3)</f>
        <v>45383</v>
      </c>
      <c r="E67" s="655">
        <f>EDATE(D67,-3)</f>
        <v>45292</v>
      </c>
      <c r="F67" s="655">
        <f t="shared" ref="F67:O67" si="18">EDATE(E67,-3)</f>
        <v>45200</v>
      </c>
      <c r="G67" s="655">
        <f t="shared" si="18"/>
        <v>45108</v>
      </c>
      <c r="H67" s="655">
        <f t="shared" si="18"/>
        <v>45017</v>
      </c>
      <c r="I67" s="655">
        <f t="shared" si="18"/>
        <v>44927</v>
      </c>
      <c r="J67" s="655">
        <f t="shared" si="18"/>
        <v>44835</v>
      </c>
      <c r="K67" s="655">
        <f t="shared" si="18"/>
        <v>44743</v>
      </c>
      <c r="L67" s="655">
        <f t="shared" si="18"/>
        <v>44652</v>
      </c>
      <c r="M67" s="655">
        <f t="shared" si="18"/>
        <v>44562</v>
      </c>
      <c r="N67" s="655">
        <f t="shared" si="18"/>
        <v>44470</v>
      </c>
      <c r="O67" s="655">
        <f t="shared" si="18"/>
        <v>44378</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68" t="s">
        <v>1770</v>
      </c>
      <c r="D4" s="3369"/>
      <c r="E4" s="3370" t="s">
        <v>1771</v>
      </c>
      <c r="F4" s="3371"/>
      <c r="G4" s="3368" t="s">
        <v>1772</v>
      </c>
      <c r="H4" s="3369"/>
      <c r="I4" s="3368" t="s">
        <v>1773</v>
      </c>
      <c r="J4" s="3369"/>
      <c r="K4" s="537" t="s">
        <v>1774</v>
      </c>
      <c r="L4" s="2485"/>
      <c r="M4" s="2486"/>
      <c r="N4" s="2486"/>
      <c r="O4" s="2486"/>
      <c r="P4" s="3372" t="s">
        <v>1775</v>
      </c>
      <c r="Q4" s="3373"/>
      <c r="R4" s="3378" t="s">
        <v>1771</v>
      </c>
      <c r="S4" s="3379"/>
      <c r="T4" s="3378" t="s">
        <v>1772</v>
      </c>
      <c r="U4" s="3379"/>
      <c r="V4" s="3351" t="s">
        <v>1773</v>
      </c>
      <c r="W4" s="3351"/>
      <c r="X4" s="1263"/>
      <c r="Y4" s="3378" t="s">
        <v>1775</v>
      </c>
      <c r="Z4" s="3379"/>
      <c r="AA4" s="3365" t="s">
        <v>1771</v>
      </c>
      <c r="AB4" s="3366" t="s">
        <v>1772</v>
      </c>
      <c r="AC4" s="3365" t="s">
        <v>1773</v>
      </c>
    </row>
    <row r="5" spans="1:29" ht="15">
      <c r="A5" s="348"/>
      <c r="B5" s="349"/>
      <c r="C5" s="3391" t="s">
        <v>1673</v>
      </c>
      <c r="D5" s="3387"/>
      <c r="E5" s="3417" t="s">
        <v>1674</v>
      </c>
      <c r="F5" s="3395"/>
      <c r="G5" s="3391" t="s">
        <v>1675</v>
      </c>
      <c r="H5" s="3387"/>
      <c r="I5" s="3391" t="s">
        <v>1676</v>
      </c>
      <c r="J5" s="3387"/>
      <c r="K5" s="537"/>
      <c r="L5" s="2485"/>
      <c r="M5" s="2486"/>
      <c r="N5" s="2486"/>
      <c r="O5" s="2486"/>
      <c r="P5" s="3374"/>
      <c r="Q5" s="3375"/>
      <c r="R5" s="3380"/>
      <c r="S5" s="3381"/>
      <c r="T5" s="3380"/>
      <c r="U5" s="3381"/>
      <c r="V5" s="3351"/>
      <c r="W5" s="3351"/>
      <c r="X5" s="1263"/>
      <c r="Y5" s="3380"/>
      <c r="Z5" s="3381"/>
      <c r="AA5" s="3366"/>
      <c r="AB5" s="3366"/>
      <c r="AC5" s="3366"/>
    </row>
    <row r="6" spans="1:29" ht="15.75" thickBot="1">
      <c r="A6" s="350"/>
      <c r="B6" s="351"/>
      <c r="C6" s="3438" t="s">
        <v>1919</v>
      </c>
      <c r="D6" s="3439"/>
      <c r="E6" s="3440" t="s">
        <v>1919</v>
      </c>
      <c r="F6" s="3441"/>
      <c r="G6" s="3438" t="s">
        <v>1919</v>
      </c>
      <c r="H6" s="3439"/>
      <c r="I6" s="3438" t="s">
        <v>1919</v>
      </c>
      <c r="J6" s="3439"/>
      <c r="K6" s="537" t="s">
        <v>1678</v>
      </c>
      <c r="L6" s="2485"/>
      <c r="M6" s="2486"/>
      <c r="N6" s="2486"/>
      <c r="O6" s="2486"/>
      <c r="P6" s="3376"/>
      <c r="Q6" s="3377"/>
      <c r="R6" s="3380"/>
      <c r="S6" s="3381"/>
      <c r="T6" s="3382"/>
      <c r="U6" s="3383"/>
      <c r="V6" s="3351"/>
      <c r="W6" s="3351"/>
      <c r="X6" s="1263"/>
      <c r="Y6" s="3382"/>
      <c r="Z6" s="3383"/>
      <c r="AA6" s="3367"/>
      <c r="AB6" s="3367"/>
      <c r="AC6" s="3367"/>
    </row>
    <row r="7" spans="1:29" s="102" customFormat="1" ht="15.75" thickBot="1">
      <c r="A7" s="352" t="s">
        <v>1679</v>
      </c>
      <c r="B7" s="353"/>
      <c r="C7" s="354">
        <f>'数据-取费表'!B2</f>
        <v>45504</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88" t="s">
        <v>1683</v>
      </c>
      <c r="Q8" s="3389"/>
      <c r="R8" s="663" t="s">
        <v>14</v>
      </c>
      <c r="S8" s="664">
        <f t="shared" si="0"/>
        <v>0</v>
      </c>
      <c r="T8" s="663" t="s">
        <v>14</v>
      </c>
      <c r="U8" s="664">
        <f t="shared" si="1"/>
        <v>0</v>
      </c>
      <c r="V8" s="663" t="s">
        <v>14</v>
      </c>
      <c r="W8" s="664">
        <f t="shared" si="2"/>
        <v>0</v>
      </c>
      <c r="X8" s="665"/>
      <c r="Y8" s="3388" t="s">
        <v>1683</v>
      </c>
      <c r="Z8" s="338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50"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1"/>
      <c r="L10" s="2488"/>
      <c r="M10" s="2489"/>
      <c r="N10" s="2489"/>
      <c r="O10" s="2540"/>
      <c r="P10" s="3350"/>
      <c r="Q10" s="530" t="str">
        <f t="shared" si="6"/>
        <v>土地使用年限（年）</v>
      </c>
      <c r="R10" s="663" t="s">
        <v>14</v>
      </c>
      <c r="S10" s="664">
        <f t="shared" si="0"/>
        <v>139</v>
      </c>
      <c r="T10" s="663" t="s">
        <v>14</v>
      </c>
      <c r="U10" s="664">
        <f t="shared" si="1"/>
        <v>139</v>
      </c>
      <c r="V10" s="663" t="s">
        <v>14</v>
      </c>
      <c r="W10" s="664">
        <f t="shared" si="2"/>
        <v>139</v>
      </c>
      <c r="X10" s="665"/>
      <c r="Y10" s="3249"/>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50"/>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50"/>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50"/>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50"/>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57">
      <c r="A15" s="379" t="s">
        <v>1690</v>
      </c>
      <c r="B15" s="553"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57" t="s">
        <v>1691</v>
      </c>
      <c r="Q15" s="1261" t="str">
        <f t="shared" si="6"/>
        <v>产业集聚程度</v>
      </c>
      <c r="R15" s="666" t="s">
        <v>14</v>
      </c>
      <c r="S15" s="667">
        <f t="shared" si="0"/>
        <v>100</v>
      </c>
      <c r="T15" s="666" t="s">
        <v>14</v>
      </c>
      <c r="U15" s="667">
        <f t="shared" si="1"/>
        <v>100</v>
      </c>
      <c r="V15" s="666" t="s">
        <v>14</v>
      </c>
      <c r="W15" s="667">
        <f t="shared" si="2"/>
        <v>100</v>
      </c>
      <c r="X15" s="1263"/>
      <c r="Y15" s="3357" t="s">
        <v>1691</v>
      </c>
      <c r="Z15" s="1262" t="str">
        <f t="shared" si="7"/>
        <v>产业集聚程度</v>
      </c>
      <c r="AA15" s="1262">
        <f t="shared" si="3"/>
        <v>1</v>
      </c>
      <c r="AB15" s="1262">
        <f t="shared" si="4"/>
        <v>1</v>
      </c>
      <c r="AC15" s="1262">
        <f t="shared" si="5"/>
        <v>1</v>
      </c>
    </row>
    <row r="16" spans="1:29" ht="15">
      <c r="A16" s="367"/>
      <c r="B16" s="554"/>
      <c r="C16" s="386"/>
      <c r="D16" s="387"/>
      <c r="E16" s="1756"/>
      <c r="F16" s="387"/>
      <c r="G16" s="1756"/>
      <c r="H16" s="389"/>
      <c r="I16" s="1756"/>
      <c r="J16" s="387"/>
      <c r="K16" s="591"/>
      <c r="L16" s="2491"/>
      <c r="M16" s="2486"/>
      <c r="N16" s="2486"/>
      <c r="O16" s="2541"/>
      <c r="P16" s="3358"/>
      <c r="Q16" s="1261"/>
      <c r="R16" s="666"/>
      <c r="S16" s="667"/>
      <c r="T16" s="666"/>
      <c r="U16" s="667"/>
      <c r="V16" s="666"/>
      <c r="W16" s="667"/>
      <c r="X16" s="1263"/>
      <c r="Y16" s="3358"/>
      <c r="Z16" s="1262"/>
      <c r="AA16" s="1262">
        <v>1</v>
      </c>
      <c r="AB16" s="1262">
        <v>1</v>
      </c>
      <c r="AC16" s="1262">
        <v>1</v>
      </c>
    </row>
    <row r="17" spans="1:29" ht="85.5">
      <c r="A17" s="367"/>
      <c r="B17" s="555"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58"/>
      <c r="Q17" s="1261" t="str">
        <f>B17</f>
        <v>交通便捷度</v>
      </c>
      <c r="R17" s="666" t="s">
        <v>14</v>
      </c>
      <c r="S17" s="667">
        <f>F17</f>
        <v>100</v>
      </c>
      <c r="T17" s="666" t="s">
        <v>14</v>
      </c>
      <c r="U17" s="667">
        <f>H17</f>
        <v>100</v>
      </c>
      <c r="V17" s="666" t="s">
        <v>14</v>
      </c>
      <c r="W17" s="667">
        <f>J17</f>
        <v>100</v>
      </c>
      <c r="X17" s="1263"/>
      <c r="Y17" s="3358"/>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1"/>
      <c r="L18" s="2491"/>
      <c r="M18" s="2486"/>
      <c r="N18" s="2486"/>
      <c r="O18" s="2541"/>
      <c r="P18" s="3358"/>
      <c r="Q18" s="1261"/>
      <c r="R18" s="666"/>
      <c r="S18" s="667"/>
      <c r="T18" s="666"/>
      <c r="U18" s="667"/>
      <c r="V18" s="666"/>
      <c r="W18" s="667"/>
      <c r="X18" s="1263"/>
      <c r="Y18" s="3358"/>
      <c r="Z18" s="1262"/>
      <c r="AA18" s="1262">
        <v>1</v>
      </c>
      <c r="AB18" s="1262">
        <v>1</v>
      </c>
      <c r="AC18" s="1262">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58"/>
      <c r="Q19" s="1261" t="str">
        <f t="shared" ref="Q19:Q33" si="8">B19</f>
        <v>区域土地利用方向</v>
      </c>
      <c r="R19" s="666" t="s">
        <v>14</v>
      </c>
      <c r="S19" s="667">
        <f>F19</f>
        <v>100</v>
      </c>
      <c r="T19" s="666" t="s">
        <v>14</v>
      </c>
      <c r="U19" s="667">
        <f>H19</f>
        <v>100</v>
      </c>
      <c r="V19" s="666" t="s">
        <v>14</v>
      </c>
      <c r="W19" s="667">
        <f>J19</f>
        <v>100</v>
      </c>
      <c r="X19" s="1263"/>
      <c r="Y19" s="3358"/>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358"/>
      <c r="Q20" s="1261"/>
      <c r="R20" s="666"/>
      <c r="S20" s="667"/>
      <c r="T20" s="666"/>
      <c r="U20" s="667"/>
      <c r="V20" s="666"/>
      <c r="W20" s="667"/>
      <c r="X20" s="1263"/>
      <c r="Y20" s="3358"/>
      <c r="Z20" s="1262"/>
      <c r="AA20" s="1262"/>
      <c r="AB20" s="1262"/>
      <c r="AC20" s="1262"/>
    </row>
    <row r="21" spans="1:29" ht="71.25">
      <c r="A21" s="348"/>
      <c r="B21" s="555"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58"/>
      <c r="Q21" s="1261" t="str">
        <f t="shared" si="8"/>
        <v>环境状况</v>
      </c>
      <c r="R21" s="666" t="s">
        <v>14</v>
      </c>
      <c r="S21" s="667">
        <f>F21</f>
        <v>100</v>
      </c>
      <c r="T21" s="666" t="s">
        <v>14</v>
      </c>
      <c r="U21" s="667">
        <f>H21</f>
        <v>100</v>
      </c>
      <c r="V21" s="666" t="s">
        <v>14</v>
      </c>
      <c r="W21" s="667">
        <f>J21</f>
        <v>100</v>
      </c>
      <c r="X21" s="1263"/>
      <c r="Y21" s="3358"/>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1"/>
      <c r="L22" s="2491"/>
      <c r="M22" s="2486"/>
      <c r="N22" s="2486"/>
      <c r="O22" s="2541"/>
      <c r="P22" s="3358"/>
      <c r="Q22" s="1261"/>
      <c r="R22" s="666"/>
      <c r="S22" s="667"/>
      <c r="T22" s="666"/>
      <c r="U22" s="667"/>
      <c r="V22" s="666"/>
      <c r="W22" s="667"/>
      <c r="X22" s="1263"/>
      <c r="Y22" s="3358"/>
      <c r="Z22" s="1262"/>
      <c r="AA22" s="1262">
        <v>1</v>
      </c>
      <c r="AB22" s="1262">
        <v>1</v>
      </c>
      <c r="AC22" s="1262">
        <v>1</v>
      </c>
    </row>
    <row r="23" spans="1:29" s="102" customFormat="1" ht="42.75">
      <c r="A23" s="443"/>
      <c r="B23" s="556"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58"/>
      <c r="Q23" s="530" t="str">
        <f t="shared" si="8"/>
        <v>公共配套设施</v>
      </c>
      <c r="R23" s="663" t="s">
        <v>14</v>
      </c>
      <c r="S23" s="664">
        <f>F23</f>
        <v>100</v>
      </c>
      <c r="T23" s="663" t="s">
        <v>14</v>
      </c>
      <c r="U23" s="664">
        <f>H23</f>
        <v>100</v>
      </c>
      <c r="V23" s="663" t="s">
        <v>14</v>
      </c>
      <c r="W23" s="664">
        <f>J23</f>
        <v>100</v>
      </c>
      <c r="X23" s="665"/>
      <c r="Y23" s="3358"/>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1"/>
      <c r="L24" s="2487"/>
      <c r="M24" s="2438"/>
      <c r="N24" s="2438"/>
      <c r="O24" s="2539"/>
      <c r="P24" s="3358"/>
      <c r="Q24" s="530"/>
      <c r="R24" s="663"/>
      <c r="S24" s="664"/>
      <c r="T24" s="663"/>
      <c r="U24" s="664"/>
      <c r="V24" s="663"/>
      <c r="W24" s="664"/>
      <c r="X24" s="665"/>
      <c r="Y24" s="3358"/>
      <c r="Z24" s="50"/>
      <c r="AA24" s="50">
        <v>1</v>
      </c>
      <c r="AB24" s="50">
        <v>1</v>
      </c>
      <c r="AC24" s="50">
        <v>1</v>
      </c>
    </row>
    <row r="25" spans="1:29" s="102" customFormat="1" ht="28.5">
      <c r="A25" s="443"/>
      <c r="B25" s="556"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58"/>
      <c r="Q25" s="530" t="str">
        <f t="shared" ref="Q25" si="9">B25</f>
        <v>基础设施水平</v>
      </c>
      <c r="R25" s="663" t="s">
        <v>14</v>
      </c>
      <c r="S25" s="664">
        <f>F25</f>
        <v>100</v>
      </c>
      <c r="T25" s="663" t="s">
        <v>14</v>
      </c>
      <c r="U25" s="664">
        <f>H25</f>
        <v>100</v>
      </c>
      <c r="V25" s="663" t="s">
        <v>14</v>
      </c>
      <c r="W25" s="664">
        <f>J25</f>
        <v>100</v>
      </c>
      <c r="X25" s="665"/>
      <c r="Y25" s="3358"/>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1"/>
      <c r="L26" s="2487"/>
      <c r="M26" s="2438"/>
      <c r="N26" s="2438"/>
      <c r="O26" s="2539"/>
      <c r="P26" s="3358"/>
      <c r="Q26" s="530"/>
      <c r="R26" s="663"/>
      <c r="S26" s="664"/>
      <c r="T26" s="663"/>
      <c r="U26" s="664"/>
      <c r="V26" s="663"/>
      <c r="W26" s="664"/>
      <c r="X26" s="665"/>
      <c r="Y26" s="3358"/>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58"/>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58"/>
      <c r="Z27" s="1262" t="str">
        <f t="shared" ref="Z27:Z40" si="13">Q27</f>
        <v>临街状况</v>
      </c>
      <c r="AA27" s="1262">
        <f t="shared" si="3"/>
        <v>1</v>
      </c>
      <c r="AB27" s="1262">
        <f t="shared" si="4"/>
        <v>1</v>
      </c>
      <c r="AC27" s="1262">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58"/>
      <c r="Q28" s="1261" t="str">
        <f t="shared" si="8"/>
        <v>毗邻道路的类型与等级</v>
      </c>
      <c r="R28" s="666" t="s">
        <v>14</v>
      </c>
      <c r="S28" s="667">
        <f t="shared" si="10"/>
        <v>100</v>
      </c>
      <c r="T28" s="666" t="s">
        <v>14</v>
      </c>
      <c r="U28" s="667">
        <f t="shared" si="11"/>
        <v>100</v>
      </c>
      <c r="V28" s="666" t="s">
        <v>14</v>
      </c>
      <c r="W28" s="667">
        <f t="shared" si="12"/>
        <v>100</v>
      </c>
      <c r="X28" s="1263"/>
      <c r="Y28" s="3358"/>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58"/>
      <c r="Q29" s="1261"/>
      <c r="R29" s="666"/>
      <c r="S29" s="667"/>
      <c r="T29" s="666"/>
      <c r="U29" s="667"/>
      <c r="V29" s="666"/>
      <c r="W29" s="667"/>
      <c r="X29" s="1263"/>
      <c r="Y29" s="3358"/>
      <c r="Z29" s="1262"/>
      <c r="AA29" s="1262">
        <v>1</v>
      </c>
      <c r="AB29" s="1262">
        <v>1</v>
      </c>
      <c r="AC29" s="1262">
        <v>1</v>
      </c>
    </row>
    <row r="30" spans="1:29" ht="15">
      <c r="A30" s="367"/>
      <c r="B30" s="119" t="s">
        <v>1873</v>
      </c>
      <c r="C30" s="1067">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58"/>
      <c r="Q30" s="1261" t="str">
        <f t="shared" si="8"/>
        <v>土地级别</v>
      </c>
      <c r="R30" s="666" t="s">
        <v>14</v>
      </c>
      <c r="S30" s="667">
        <f t="shared" si="10"/>
        <v>100</v>
      </c>
      <c r="T30" s="666" t="s">
        <v>14</v>
      </c>
      <c r="U30" s="667">
        <f t="shared" si="11"/>
        <v>100</v>
      </c>
      <c r="V30" s="666" t="s">
        <v>14</v>
      </c>
      <c r="W30" s="667">
        <f t="shared" si="12"/>
        <v>100</v>
      </c>
      <c r="X30" s="1263"/>
      <c r="Y30" s="3358"/>
      <c r="Z30" s="1262" t="str">
        <f t="shared" si="13"/>
        <v>土地级别</v>
      </c>
      <c r="AA30" s="1262">
        <f t="shared" si="3"/>
        <v>1</v>
      </c>
      <c r="AB30" s="1262">
        <f t="shared" si="4"/>
        <v>1</v>
      </c>
      <c r="AC30" s="1262">
        <f t="shared" si="5"/>
        <v>1</v>
      </c>
    </row>
    <row r="31" spans="1:29" ht="15">
      <c r="A31" s="348"/>
      <c r="B31" s="1097">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8"/>
      <c r="Q31" s="1261">
        <f t="shared" si="8"/>
        <v>111</v>
      </c>
      <c r="R31" s="666" t="s">
        <v>14</v>
      </c>
      <c r="S31" s="667">
        <f t="shared" si="10"/>
        <v>100</v>
      </c>
      <c r="T31" s="666" t="s">
        <v>14</v>
      </c>
      <c r="U31" s="667">
        <f t="shared" si="11"/>
        <v>100</v>
      </c>
      <c r="V31" s="666" t="s">
        <v>14</v>
      </c>
      <c r="W31" s="667">
        <f t="shared" si="12"/>
        <v>100</v>
      </c>
      <c r="X31" s="1263"/>
      <c r="Y31" s="3358"/>
      <c r="Z31" s="1262">
        <f t="shared" si="13"/>
        <v>111</v>
      </c>
      <c r="AA31" s="1262">
        <f t="shared" si="3"/>
        <v>1</v>
      </c>
      <c r="AB31" s="1262">
        <f t="shared" si="4"/>
        <v>1</v>
      </c>
      <c r="AC31" s="1262">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33" t="s">
        <v>1696</v>
      </c>
      <c r="Q32" s="1261">
        <f t="shared" si="8"/>
        <v>111</v>
      </c>
      <c r="R32" s="666" t="s">
        <v>14</v>
      </c>
      <c r="S32" s="667">
        <f t="shared" si="10"/>
        <v>100</v>
      </c>
      <c r="T32" s="666" t="s">
        <v>14</v>
      </c>
      <c r="U32" s="667">
        <f t="shared" si="11"/>
        <v>100</v>
      </c>
      <c r="V32" s="666" t="s">
        <v>14</v>
      </c>
      <c r="W32" s="667">
        <f t="shared" si="12"/>
        <v>100</v>
      </c>
      <c r="X32" s="1263"/>
      <c r="Y32" s="3362" t="s">
        <v>1696</v>
      </c>
      <c r="Z32" s="1262">
        <f t="shared" si="13"/>
        <v>111</v>
      </c>
      <c r="AA32" s="1262">
        <f t="shared" si="3"/>
        <v>1</v>
      </c>
      <c r="AB32" s="1262">
        <f t="shared" si="4"/>
        <v>1</v>
      </c>
      <c r="AC32" s="1262">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62"/>
      <c r="Q33" s="1261">
        <f t="shared" si="8"/>
        <v>111</v>
      </c>
      <c r="R33" s="668" t="s">
        <v>14</v>
      </c>
      <c r="S33" s="669">
        <f t="shared" si="10"/>
        <v>100</v>
      </c>
      <c r="T33" s="668" t="s">
        <v>14</v>
      </c>
      <c r="U33" s="669">
        <f t="shared" si="11"/>
        <v>100</v>
      </c>
      <c r="V33" s="668" t="s">
        <v>14</v>
      </c>
      <c r="W33" s="669">
        <f t="shared" si="12"/>
        <v>100</v>
      </c>
      <c r="X33" s="670"/>
      <c r="Y33" s="3362"/>
      <c r="Z33" s="671">
        <f t="shared" si="13"/>
        <v>111</v>
      </c>
      <c r="AA33" s="1262">
        <f t="shared" si="3"/>
        <v>1</v>
      </c>
      <c r="AB33" s="1262">
        <f t="shared" si="4"/>
        <v>1</v>
      </c>
      <c r="AC33" s="1262">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62"/>
      <c r="Q34" s="1261" t="str">
        <f>B34</f>
        <v>宗地面积</v>
      </c>
      <c r="R34" s="666" t="s">
        <v>14</v>
      </c>
      <c r="S34" s="667" t="e">
        <f t="shared" si="10"/>
        <v>#N/A</v>
      </c>
      <c r="T34" s="666" t="s">
        <v>14</v>
      </c>
      <c r="U34" s="667" t="e">
        <f t="shared" si="11"/>
        <v>#N/A</v>
      </c>
      <c r="V34" s="666" t="s">
        <v>14</v>
      </c>
      <c r="W34" s="667" t="e">
        <f t="shared" si="12"/>
        <v>#N/A</v>
      </c>
      <c r="X34" s="1263"/>
      <c r="Y34" s="336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62"/>
      <c r="Q35" s="1261" t="str">
        <f t="shared" ref="Q35:Q40" si="14">B35</f>
        <v>宗地形状</v>
      </c>
      <c r="R35" s="666" t="s">
        <v>14</v>
      </c>
      <c r="S35" s="667">
        <f t="shared" si="10"/>
        <v>100</v>
      </c>
      <c r="T35" s="666" t="s">
        <v>14</v>
      </c>
      <c r="U35" s="667">
        <f t="shared" si="11"/>
        <v>100</v>
      </c>
      <c r="V35" s="666" t="s">
        <v>14</v>
      </c>
      <c r="W35" s="667">
        <f t="shared" si="12"/>
        <v>100</v>
      </c>
      <c r="X35" s="1263"/>
      <c r="Y35" s="336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62"/>
      <c r="Q36" s="1261" t="str">
        <f t="shared" si="14"/>
        <v>宗地开发程度</v>
      </c>
      <c r="R36" s="663" t="s">
        <v>14</v>
      </c>
      <c r="S36" s="664">
        <f t="shared" si="10"/>
        <v>100</v>
      </c>
      <c r="T36" s="663" t="s">
        <v>14</v>
      </c>
      <c r="U36" s="664">
        <f t="shared" si="11"/>
        <v>100</v>
      </c>
      <c r="V36" s="663" t="s">
        <v>14</v>
      </c>
      <c r="W36" s="664">
        <f t="shared" si="12"/>
        <v>100</v>
      </c>
      <c r="X36" s="665"/>
      <c r="Y36" s="336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62" t="s">
        <v>1696</v>
      </c>
      <c r="Q37" s="1261" t="str">
        <f t="shared" si="14"/>
        <v>工程地质条件</v>
      </c>
      <c r="R37" s="666" t="s">
        <v>14</v>
      </c>
      <c r="S37" s="667">
        <f t="shared" si="10"/>
        <v>100</v>
      </c>
      <c r="T37" s="666" t="s">
        <v>14</v>
      </c>
      <c r="U37" s="667">
        <f t="shared" si="11"/>
        <v>100</v>
      </c>
      <c r="V37" s="666" t="s">
        <v>14</v>
      </c>
      <c r="W37" s="667">
        <f t="shared" si="12"/>
        <v>100</v>
      </c>
      <c r="X37" s="1263"/>
      <c r="Y37" s="3362" t="s">
        <v>1696</v>
      </c>
      <c r="Z37" s="1262" t="str">
        <f t="shared" si="13"/>
        <v>工程地质条件</v>
      </c>
      <c r="AA37" s="1262">
        <f t="shared" si="3"/>
        <v>1</v>
      </c>
      <c r="AB37" s="1262">
        <f t="shared" si="4"/>
        <v>1</v>
      </c>
      <c r="AC37" s="1262">
        <f t="shared" si="5"/>
        <v>1</v>
      </c>
    </row>
    <row r="38" spans="1:31" ht="15">
      <c r="A38" s="409"/>
      <c r="B38" s="1065">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62"/>
      <c r="Q38" s="1261">
        <f t="shared" si="14"/>
        <v>111</v>
      </c>
      <c r="R38" s="666" t="s">
        <v>14</v>
      </c>
      <c r="S38" s="667">
        <f t="shared" si="10"/>
        <v>100</v>
      </c>
      <c r="T38" s="666" t="s">
        <v>14</v>
      </c>
      <c r="U38" s="667">
        <f t="shared" si="11"/>
        <v>100</v>
      </c>
      <c r="V38" s="666" t="s">
        <v>14</v>
      </c>
      <c r="W38" s="667">
        <f t="shared" si="12"/>
        <v>100</v>
      </c>
      <c r="X38" s="1263"/>
      <c r="Y38" s="3362"/>
      <c r="Z38" s="1262">
        <f t="shared" si="13"/>
        <v>111</v>
      </c>
      <c r="AA38" s="1262">
        <f t="shared" si="3"/>
        <v>1</v>
      </c>
      <c r="AB38" s="1262">
        <f t="shared" si="4"/>
        <v>1</v>
      </c>
      <c r="AC38" s="1262">
        <f t="shared" si="5"/>
        <v>1</v>
      </c>
    </row>
    <row r="39" spans="1:31" ht="15">
      <c r="A39" s="409"/>
      <c r="B39" s="1065">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62"/>
      <c r="Q39" s="1261">
        <f t="shared" si="14"/>
        <v>111</v>
      </c>
      <c r="R39" s="666" t="s">
        <v>14</v>
      </c>
      <c r="S39" s="667">
        <f t="shared" si="10"/>
        <v>100</v>
      </c>
      <c r="T39" s="666" t="s">
        <v>14</v>
      </c>
      <c r="U39" s="667">
        <f t="shared" si="11"/>
        <v>100</v>
      </c>
      <c r="V39" s="666" t="s">
        <v>14</v>
      </c>
      <c r="W39" s="667">
        <f t="shared" si="12"/>
        <v>100</v>
      </c>
      <c r="X39" s="1263"/>
      <c r="Y39" s="3362"/>
      <c r="Z39" s="1262">
        <f t="shared" si="13"/>
        <v>111</v>
      </c>
      <c r="AA39" s="1262">
        <f t="shared" si="3"/>
        <v>1</v>
      </c>
      <c r="AB39" s="1262">
        <f t="shared" si="4"/>
        <v>1</v>
      </c>
      <c r="AC39" s="1262">
        <f t="shared" si="5"/>
        <v>1</v>
      </c>
    </row>
    <row r="40" spans="1:31" s="408" customFormat="1" ht="15.75" thickBot="1">
      <c r="A40" s="406"/>
      <c r="B40" s="1065">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62"/>
      <c r="Q40" s="1261">
        <f t="shared" si="14"/>
        <v>111</v>
      </c>
      <c r="R40" s="668" t="s">
        <v>14</v>
      </c>
      <c r="S40" s="669">
        <f t="shared" si="10"/>
        <v>100</v>
      </c>
      <c r="T40" s="668" t="s">
        <v>14</v>
      </c>
      <c r="U40" s="669">
        <f t="shared" si="11"/>
        <v>100</v>
      </c>
      <c r="V40" s="668" t="s">
        <v>14</v>
      </c>
      <c r="W40" s="669">
        <f t="shared" si="12"/>
        <v>100</v>
      </c>
      <c r="X40" s="670"/>
      <c r="Y40" s="3362"/>
      <c r="Z40" s="671">
        <f t="shared" si="13"/>
        <v>111</v>
      </c>
      <c r="AA40" s="1262">
        <f t="shared" si="3"/>
        <v>1</v>
      </c>
      <c r="AB40" s="1262">
        <f t="shared" si="4"/>
        <v>1</v>
      </c>
      <c r="AC40" s="1262">
        <f t="shared" si="5"/>
        <v>1</v>
      </c>
    </row>
    <row r="41" spans="1:31" ht="15">
      <c r="A41" s="416" t="s">
        <v>1844</v>
      </c>
      <c r="B41" s="1828" t="s">
        <v>1922</v>
      </c>
      <c r="C41" s="601" t="s">
        <v>0</v>
      </c>
      <c r="D41" s="418"/>
      <c r="E41" s="419"/>
      <c r="F41" s="420"/>
      <c r="G41" s="421"/>
      <c r="H41" s="422"/>
      <c r="I41" s="419"/>
      <c r="J41" s="422"/>
      <c r="K41" s="673"/>
      <c r="L41" s="2493"/>
      <c r="M41" s="2486"/>
      <c r="N41" s="2486"/>
      <c r="O41" s="2486"/>
      <c r="P41" s="3350" t="str">
        <f>A41</f>
        <v>成交单价</v>
      </c>
      <c r="Q41" s="3350"/>
      <c r="R41" s="3351">
        <f>E41</f>
        <v>0</v>
      </c>
      <c r="S41" s="3351"/>
      <c r="T41" s="3351">
        <f>G41</f>
        <v>0</v>
      </c>
      <c r="U41" s="3351"/>
      <c r="V41" s="3351">
        <f>I41</f>
        <v>0</v>
      </c>
      <c r="W41" s="3351"/>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3"/>
      <c r="M42" s="2486"/>
      <c r="N42" s="2486"/>
      <c r="O42" s="2486"/>
      <c r="P42" s="3350" t="str">
        <f>A42</f>
        <v>比较价值（元/平方米）</v>
      </c>
      <c r="Q42" s="3350"/>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52" t="str">
        <f>A43</f>
        <v>估价对象XX用房的比较价值（楼面单价，元/平方米）</v>
      </c>
      <c r="Q43" s="3353"/>
      <c r="R43" s="3436" t="e">
        <f>ROUND(IF(D42="简单平均",AVERAGE(R42:W42),R42*F42+T42*H42+V42*J42),0)</f>
        <v>#DIV/0!</v>
      </c>
      <c r="S43" s="3436"/>
      <c r="T43" s="3436"/>
      <c r="U43" s="3436"/>
      <c r="V43" s="3436"/>
      <c r="W43" s="343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29" t="s">
        <v>1883</v>
      </c>
      <c r="D50" s="1830" t="s">
        <v>1884</v>
      </c>
      <c r="E50" s="605" t="s">
        <v>1885</v>
      </c>
      <c r="F50" s="606" t="s">
        <v>1886</v>
      </c>
      <c r="G50" s="3368" t="s">
        <v>1887</v>
      </c>
      <c r="H50" s="3437"/>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2269.1</v>
      </c>
      <c r="F51" s="610" t="e">
        <f t="shared" ref="F51:F60" si="15">ROUND(B51*E51/10000,0)</f>
        <v>#DIV/0!</v>
      </c>
      <c r="G51" s="3364"/>
      <c r="H51" s="3350"/>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90">
        <v>0.25</v>
      </c>
      <c r="E59" s="209">
        <f>'数据-汇总表'!E14</f>
        <v>0</v>
      </c>
      <c r="F59" s="610"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2024-7-1</v>
      </c>
      <c r="D63" s="655">
        <f>EDATE(C63,-3)</f>
        <v>45383</v>
      </c>
      <c r="E63" s="655">
        <f>EDATE(D63,-3)</f>
        <v>45292</v>
      </c>
      <c r="F63" s="655">
        <f t="shared" ref="F63:O63" si="18">EDATE(E63,-3)</f>
        <v>45200</v>
      </c>
      <c r="G63" s="655">
        <f t="shared" si="18"/>
        <v>45108</v>
      </c>
      <c r="H63" s="655">
        <f t="shared" si="18"/>
        <v>45017</v>
      </c>
      <c r="I63" s="655">
        <f t="shared" si="18"/>
        <v>44927</v>
      </c>
      <c r="J63" s="655">
        <f t="shared" si="18"/>
        <v>44835</v>
      </c>
      <c r="K63" s="655">
        <f t="shared" si="18"/>
        <v>44743</v>
      </c>
      <c r="L63" s="655">
        <f t="shared" si="18"/>
        <v>44652</v>
      </c>
      <c r="M63" s="655">
        <f t="shared" si="18"/>
        <v>44562</v>
      </c>
      <c r="N63" s="655">
        <f t="shared" si="18"/>
        <v>44470</v>
      </c>
      <c r="O63" s="655">
        <f t="shared" si="18"/>
        <v>44378</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5" t="s">
        <v>2084</v>
      </c>
      <c r="D1" s="3446"/>
      <c r="E1" s="3446"/>
      <c r="F1" s="3446"/>
      <c r="G1" s="3446"/>
      <c r="H1" s="3446"/>
      <c r="I1" s="3446"/>
      <c r="J1" s="3446"/>
      <c r="K1" s="3446"/>
      <c r="L1" s="3446"/>
      <c r="M1" s="3446"/>
      <c r="N1" s="3446"/>
      <c r="O1" s="3446"/>
      <c r="P1" s="3446"/>
      <c r="Q1" s="3446"/>
      <c r="R1" s="3446"/>
      <c r="S1" s="3447"/>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1"/>
      <c r="F19" s="1251"/>
      <c r="G19" s="1251"/>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55"/>
      <c r="B4" s="3456"/>
      <c r="C4" s="3456"/>
      <c r="D4" s="3457"/>
      <c r="E4" s="3457"/>
      <c r="F4" s="3457"/>
      <c r="G4" s="3457"/>
      <c r="H4" s="3457"/>
      <c r="I4" s="3457"/>
      <c r="J4" s="3458"/>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52" t="s">
        <v>1960</v>
      </c>
      <c r="X8" s="345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54"/>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0"/>
      <c r="AJ19" s="560"/>
      <c r="AK19" s="1897"/>
    </row>
    <row r="20" spans="1:37" s="1856" customFormat="1" ht="14.25">
      <c r="A20" s="3459" t="s">
        <v>3255</v>
      </c>
      <c r="B20" s="159" t="s">
        <v>1994</v>
      </c>
      <c r="C20" s="3030" t="e">
        <f>ROUND(IF(F21="与级别开发程度一致",0,(G21-E21)/C21),0)</f>
        <v>#DIV/0!</v>
      </c>
      <c r="D20" s="3045" t="s">
        <v>1998</v>
      </c>
      <c r="E20" s="3046"/>
      <c r="F20" s="3465" t="s">
        <v>1995</v>
      </c>
      <c r="G20" s="3466"/>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60"/>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45504</v>
      </c>
      <c r="H23" s="3047" t="s">
        <v>3257</v>
      </c>
      <c r="I23" s="3048" t="str">
        <f>IF(H23="季度增幅（自定义）",SUMIF(N25:N28,E2,O25:O28),"")</f>
        <v/>
      </c>
      <c r="J23" s="3140" t="s">
        <v>3256</v>
      </c>
      <c r="K23" s="1059"/>
      <c r="L23" s="1895" t="s">
        <v>2004</v>
      </c>
      <c r="M23" s="1239">
        <f>ROUND(SUMIF(地价!B2:G2,E2,地价!B16:G16),0)</f>
        <v>0</v>
      </c>
      <c r="N23" s="1896" t="s">
        <v>2005</v>
      </c>
      <c r="O23" s="718">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存贷款利率!E24/100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3336</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1">
        <f>'数据-取费表'!B40</f>
        <v>3.3500000000000002E-2</v>
      </c>
      <c r="M36" s="2364">
        <f>ROUND($L$36*(1+M31),3)</f>
        <v>4.2000000000000003E-2</v>
      </c>
      <c r="N36" s="2364">
        <f>ROUND($L$36*(1+N31),3)</f>
        <v>0.04</v>
      </c>
      <c r="O36" s="2364">
        <f>ROUND($L$36*(1+O31),3)</f>
        <v>3.9E-2</v>
      </c>
      <c r="P36" s="2364">
        <f>ROUND($L$36*(1+P31),3)</f>
        <v>3.6999999999999998E-2</v>
      </c>
      <c r="Q36" s="2364">
        <f>ROUND($L$36*(1+Q31),3)</f>
        <v>3.9E-2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3"/>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f>L36+K38</f>
        <v>3.85E-2</v>
      </c>
      <c r="M37" s="2364">
        <f>ROUND($L$37*(1+M31),3)</f>
        <v>4.8000000000000001E-2</v>
      </c>
      <c r="N37" s="2364">
        <f t="shared" ref="N37:Q37" si="3">ROUND($L$37*(1+N31),3)</f>
        <v>4.5999999999999999E-2</v>
      </c>
      <c r="O37" s="2364">
        <f t="shared" si="3"/>
        <v>4.3999999999999997E-2</v>
      </c>
      <c r="P37" s="2364">
        <f t="shared" si="3"/>
        <v>4.2000000000000003E-2</v>
      </c>
      <c r="Q37" s="2364">
        <f t="shared" si="3"/>
        <v>4.3999999999999997E-2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4"/>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4"/>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51">
      <c r="A50" s="1968" t="s">
        <v>2052</v>
      </c>
      <c r="B50" s="1971" t="str">
        <f>估价对象房地状况!C4</f>
        <v>估价对象周边以住宅配套商业为主，周边商业氛围成熟一般，人流量一般，商业繁华度一般</v>
      </c>
      <c r="C50" s="1885"/>
      <c r="D50" s="1001">
        <f t="shared" ref="D50:D58" si="7">SUMIF($J$49:$N$49,C50,J50:N50)</f>
        <v>0</v>
      </c>
      <c r="E50" s="701">
        <f>ROUND(SUM(D50:D58),4)</f>
        <v>0</v>
      </c>
      <c r="F50" s="1673"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估价对象周边道路状况、公共交通通达情况915、918、955等、停车便捷程度，综合评价交通便捷度一般</v>
      </c>
      <c r="C51" s="1885"/>
      <c r="D51" s="1001">
        <f t="shared" si="7"/>
        <v>0</v>
      </c>
      <c r="E51" s="702"/>
      <c r="F51" s="1673"/>
      <c r="G51" s="999"/>
      <c r="H51" s="1002" t="str">
        <f t="shared" si="8"/>
        <v>——</v>
      </c>
      <c r="I51" s="3067">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1">
        <f t="shared" si="7"/>
        <v>0</v>
      </c>
      <c r="E52" s="702"/>
      <c r="F52" s="1673"/>
      <c r="G52" s="999"/>
      <c r="H52" s="1002" t="str">
        <f t="shared" si="8"/>
        <v>——</v>
      </c>
      <c r="I52" s="3067">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1">
        <f t="shared" si="7"/>
        <v>0</v>
      </c>
      <c r="E53" s="702"/>
      <c r="F53" s="1673"/>
      <c r="G53" s="999"/>
      <c r="H53" s="1002" t="str">
        <f t="shared" si="8"/>
        <v>——</v>
      </c>
      <c r="I53" s="3067">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8" t="s">
        <v>2056</v>
      </c>
      <c r="B54" s="1260" t="str">
        <f>估价对象房地状况!C24</f>
        <v>次干道-南焦路</v>
      </c>
      <c r="C54" s="1885"/>
      <c r="D54" s="1001">
        <f t="shared" si="7"/>
        <v>0</v>
      </c>
      <c r="E54" s="702"/>
      <c r="F54" s="1673"/>
      <c r="G54" s="999"/>
      <c r="H54" s="1002" t="str">
        <f t="shared" si="8"/>
        <v>——</v>
      </c>
      <c r="I54" s="3067">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1">
        <f t="shared" si="7"/>
        <v>0</v>
      </c>
      <c r="E55" s="702"/>
      <c r="F55" s="1673"/>
      <c r="G55" s="999"/>
      <c r="H55" s="1002" t="str">
        <f t="shared" si="8"/>
        <v>——</v>
      </c>
      <c r="I55" s="3067">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估价对象所在区域公共配套设施齐备情况一般</v>
      </c>
      <c r="C56" s="1885"/>
      <c r="D56" s="1001">
        <f t="shared" si="7"/>
        <v>0</v>
      </c>
      <c r="E56" s="702"/>
      <c r="F56" s="1673"/>
      <c r="G56" s="999"/>
      <c r="H56" s="1002" t="str">
        <f t="shared" si="8"/>
        <v>——</v>
      </c>
      <c r="I56" s="3067">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4">
      <c r="A57" s="1974" t="s">
        <v>2060</v>
      </c>
      <c r="B57" s="1260" t="str">
        <f>估价对象房地状况!C22</f>
        <v>七通</v>
      </c>
      <c r="C57" s="1885"/>
      <c r="D57" s="1001">
        <f t="shared" si="7"/>
        <v>0</v>
      </c>
      <c r="E57" s="702"/>
      <c r="F57" s="1673"/>
      <c r="G57" s="999"/>
      <c r="H57" s="1002" t="str">
        <f t="shared" si="8"/>
        <v>——</v>
      </c>
      <c r="I57" s="3067">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1">
        <f t="shared" si="7"/>
        <v>0</v>
      </c>
      <c r="E58" s="703"/>
      <c r="F58" s="1673"/>
      <c r="G58" s="999"/>
      <c r="H58" s="1002" t="str">
        <f t="shared" si="8"/>
        <v>——</v>
      </c>
      <c r="I58" s="3068">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估价对象周边道路状况、公共交通通达情况915、918、955等、停车便捷程度，综合评价交通便捷度一般</v>
      </c>
      <c r="C62" s="1885"/>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8" t="s">
        <v>2056</v>
      </c>
      <c r="B65" s="1260" t="str">
        <f>估价对象房地状况!C24</f>
        <v>次干道-南焦路</v>
      </c>
      <c r="C65" s="1885"/>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估价对象所在区域公共配套设施齐备情况一般</v>
      </c>
      <c r="C67" s="1885"/>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4">
      <c r="A68" s="1968" t="s">
        <v>2060</v>
      </c>
      <c r="B68" s="1238" t="str">
        <f>估价对象房地状况!C22</f>
        <v>七通</v>
      </c>
      <c r="C68" s="1885"/>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估价对象周边道路状况、公共交通通达情况915、918、955等、停车便捷程度，综合评价交通便捷度一般</v>
      </c>
      <c r="C73" s="1885"/>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t="str">
        <f>估价对象房地状况!C24</f>
        <v>次干道-南焦路</v>
      </c>
      <c r="C75" s="1885"/>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4"/>
      <c r="P75" s="1054"/>
      <c r="Q75" s="1842"/>
      <c r="Z75" s="1843"/>
      <c r="AA75" s="1893"/>
      <c r="AG75" s="1056"/>
      <c r="AK75" s="1893"/>
    </row>
    <row r="76" spans="1:37" ht="25.5">
      <c r="A76" s="1968" t="s">
        <v>2059</v>
      </c>
      <c r="B76" s="1238" t="str">
        <f>估价对象房地状况!C21</f>
        <v>估价对象所在区域公共配套设施齐备情况一般</v>
      </c>
      <c r="C76" s="1885"/>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4"/>
      <c r="P76" s="1054"/>
      <c r="Z76" s="1843"/>
      <c r="AA76" s="1893"/>
      <c r="AG76" s="1056"/>
      <c r="AK76" s="1893"/>
    </row>
    <row r="77" spans="1:37" ht="24">
      <c r="A77" s="1968" t="s">
        <v>2060</v>
      </c>
      <c r="B77" s="1238" t="str">
        <f>估价对象房地状况!C22</f>
        <v>七通</v>
      </c>
      <c r="C77" s="1885"/>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4"/>
      <c r="P77" s="1054"/>
      <c r="Z77" s="1843"/>
      <c r="AA77" s="1893"/>
      <c r="AG77" s="1056"/>
      <c r="AK77" s="1893"/>
    </row>
    <row r="78" spans="1:37" ht="24">
      <c r="A78" s="1968" t="s">
        <v>2057</v>
      </c>
      <c r="B78" s="1973" t="s">
        <v>2058</v>
      </c>
      <c r="C78" s="1885"/>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3"/>
      <c r="AA79" s="1893"/>
      <c r="AG79" s="1056"/>
      <c r="AK79" s="1893"/>
    </row>
    <row r="80" spans="1:37" ht="24.75" thickBot="1">
      <c r="A80" s="1975" t="s">
        <v>2068</v>
      </c>
      <c r="B80" s="1979"/>
      <c r="C80" s="1885"/>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1">
        <f t="shared" ref="D83:D90" si="22">SUMIF($J$82:$N$82,C83,J83:N83)</f>
        <v>0</v>
      </c>
      <c r="E83" s="701">
        <f>ROUND(SUM(D83:D90),4)</f>
        <v>0</v>
      </c>
      <c r="F83" s="1673"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1">
        <f t="shared" si="22"/>
        <v>0</v>
      </c>
      <c r="E84" s="704"/>
      <c r="F84" s="1673"/>
      <c r="G84" s="999"/>
      <c r="H84" s="1002" t="str">
        <f t="shared" si="23"/>
        <v>——</v>
      </c>
      <c r="I84" s="3067">
        <v>0.3</v>
      </c>
      <c r="J84" s="1000">
        <f t="shared" si="24"/>
        <v>0</v>
      </c>
      <c r="K84" s="1000">
        <f t="shared" si="25"/>
        <v>0</v>
      </c>
      <c r="L84" s="1000">
        <v>0</v>
      </c>
      <c r="M84" s="1000">
        <f t="shared" si="26"/>
        <v>0</v>
      </c>
      <c r="N84" s="1000">
        <f t="shared" si="26"/>
        <v>0</v>
      </c>
      <c r="Z84" s="1843"/>
      <c r="AA84" s="1893"/>
      <c r="AG84" s="1056"/>
      <c r="AK84" s="1893"/>
    </row>
    <row r="85" spans="1:37" ht="36">
      <c r="A85" s="3069" t="s">
        <v>3271</v>
      </c>
      <c r="B85" s="1260">
        <f>估价对象房地状况!G17</f>
        <v>0</v>
      </c>
      <c r="C85" s="1885"/>
      <c r="D85" s="1001">
        <f t="shared" si="22"/>
        <v>0</v>
      </c>
      <c r="E85" s="704"/>
      <c r="F85" s="1673"/>
      <c r="G85" s="999"/>
      <c r="H85" s="1002" t="str">
        <f t="shared" si="23"/>
        <v>——</v>
      </c>
      <c r="I85" s="3067">
        <v>0.1</v>
      </c>
      <c r="J85" s="1000">
        <f t="shared" si="24"/>
        <v>0</v>
      </c>
      <c r="K85" s="1000">
        <f t="shared" si="25"/>
        <v>0</v>
      </c>
      <c r="L85" s="1000">
        <v>0</v>
      </c>
      <c r="M85" s="1000">
        <f t="shared" si="26"/>
        <v>0</v>
      </c>
      <c r="N85" s="1000">
        <f t="shared" si="26"/>
        <v>0</v>
      </c>
      <c r="Z85" s="1843"/>
      <c r="AA85" s="1893"/>
      <c r="AG85" s="1056"/>
      <c r="AK85" s="1893"/>
    </row>
    <row r="86" spans="1:37" ht="14.25">
      <c r="A86" s="1968" t="s">
        <v>2067</v>
      </c>
      <c r="B86" s="1260">
        <f>估价对象房地状况!G22</f>
        <v>0</v>
      </c>
      <c r="C86" s="1885"/>
      <c r="D86" s="1001">
        <f t="shared" si="22"/>
        <v>0</v>
      </c>
      <c r="E86" s="704"/>
      <c r="F86" s="1673"/>
      <c r="G86" s="999"/>
      <c r="H86" s="1002" t="str">
        <f t="shared" si="23"/>
        <v>——</v>
      </c>
      <c r="I86" s="3067">
        <v>0.05</v>
      </c>
      <c r="J86" s="1000">
        <f t="shared" si="24"/>
        <v>0</v>
      </c>
      <c r="K86" s="1000">
        <f t="shared" si="25"/>
        <v>0</v>
      </c>
      <c r="L86" s="1000">
        <v>0</v>
      </c>
      <c r="M86" s="1000">
        <f t="shared" si="26"/>
        <v>0</v>
      </c>
      <c r="N86" s="1000">
        <f t="shared" si="26"/>
        <v>0</v>
      </c>
      <c r="Z86" s="1843"/>
      <c r="AA86" s="1893"/>
      <c r="AG86" s="1056"/>
      <c r="AK86" s="1893"/>
    </row>
    <row r="87" spans="1:37" ht="25.5">
      <c r="A87" s="1968" t="s">
        <v>2059</v>
      </c>
      <c r="B87" s="1238" t="str">
        <f>估价对象房地状况!G19</f>
        <v>估价对象所在区域公共配套设施齐备情况</v>
      </c>
      <c r="C87" s="1885"/>
      <c r="D87" s="1001">
        <f t="shared" si="22"/>
        <v>0</v>
      </c>
      <c r="E87" s="704"/>
      <c r="F87" s="1673"/>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8" t="str">
        <f>估价对象房地状况!G20</f>
        <v>估价对象所在区域基础设施水平</v>
      </c>
      <c r="C88" s="1885"/>
      <c r="D88" s="1001">
        <f t="shared" si="22"/>
        <v>0</v>
      </c>
      <c r="E88" s="704"/>
      <c r="F88" s="1673"/>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5"/>
      <c r="F90" s="1673"/>
      <c r="G90" s="999"/>
      <c r="H90" s="1002" t="str">
        <f t="shared" si="23"/>
        <v>——</v>
      </c>
      <c r="I90" s="3068">
        <v>0.05</v>
      </c>
      <c r="J90" s="1000">
        <f t="shared" si="24"/>
        <v>0</v>
      </c>
      <c r="K90" s="1000">
        <f t="shared" si="25"/>
        <v>0</v>
      </c>
      <c r="L90" s="1000">
        <v>0</v>
      </c>
      <c r="M90" s="1000">
        <f t="shared" si="26"/>
        <v>0</v>
      </c>
      <c r="N90" s="1000">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1">
      <c r="A94" s="3079" t="s">
        <v>3274</v>
      </c>
      <c r="B94" s="3070" t="str">
        <f>估价对象房地状况!C18</f>
        <v>估价对象周边道路状况、公共交通通达情况915、918、955等、停车便捷程度，综合评价交通便捷度一般</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t="str">
        <f>估价对象房地状况!C24</f>
        <v>次干道-南焦路</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估价对象所在区域公共配套设施齐备情况一般</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4">
      <c r="A100" s="3079" t="s">
        <v>3279</v>
      </c>
      <c r="B100" s="3070" t="str">
        <f>估价对象房地状况!C22</f>
        <v>七通</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1" t="s">
        <v>3295</v>
      </c>
      <c r="B103" s="3461"/>
      <c r="C103" s="3461"/>
      <c r="D103" s="3461"/>
      <c r="E103" s="3461"/>
      <c r="F103" s="3461"/>
      <c r="G103" s="3461"/>
      <c r="H103" s="3461"/>
      <c r="I103" s="3461"/>
      <c r="J103" s="3461"/>
      <c r="K103" s="1665"/>
      <c r="L103" s="1665"/>
      <c r="M103" s="1665"/>
      <c r="N103" s="1665"/>
    </row>
    <row r="104" spans="1:14">
      <c r="A104" s="3462" t="s">
        <v>3296</v>
      </c>
      <c r="B104" s="3462" t="s">
        <v>3297</v>
      </c>
      <c r="C104" s="3089" t="s">
        <v>3298</v>
      </c>
      <c r="D104" s="3090"/>
      <c r="E104" s="3090"/>
      <c r="F104" s="3090"/>
      <c r="G104" s="3090"/>
      <c r="H104" s="3090"/>
      <c r="I104" s="3090"/>
      <c r="J104" s="3091"/>
      <c r="K104" s="3092"/>
      <c r="L104" s="3092"/>
      <c r="M104" s="3092"/>
      <c r="N104" s="3092"/>
    </row>
    <row r="105" spans="1:14">
      <c r="A105" s="3462"/>
      <c r="B105" s="3462"/>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48"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9"/>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1" t="s">
        <v>3312</v>
      </c>
      <c r="B113" s="3451"/>
      <c r="C113" s="3451"/>
      <c r="D113" s="3451"/>
      <c r="E113" s="3451"/>
      <c r="F113" s="3451"/>
      <c r="G113" s="3451"/>
      <c r="H113" s="3451"/>
      <c r="I113" s="3451"/>
      <c r="J113" s="345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76" t="s">
        <v>2608</v>
      </c>
      <c r="B20" s="3471" t="s">
        <v>2629</v>
      </c>
      <c r="C20" s="2841" t="s">
        <v>2440</v>
      </c>
      <c r="D20" s="2842"/>
      <c r="E20" s="2843">
        <v>1</v>
      </c>
      <c r="F20" s="2844" t="s">
        <v>2441</v>
      </c>
      <c r="G20" s="2844"/>
    </row>
    <row r="21" spans="1:13" ht="19.5" customHeight="1">
      <c r="A21" s="3477"/>
      <c r="B21" s="3470"/>
      <c r="C21" s="2845" t="s">
        <v>2442</v>
      </c>
      <c r="D21" s="2846"/>
      <c r="E21" s="2847">
        <v>1</v>
      </c>
      <c r="F21" s="2844" t="s">
        <v>2443</v>
      </c>
      <c r="G21" s="2844"/>
    </row>
    <row r="22" spans="1:13" ht="19.5" customHeight="1">
      <c r="A22" s="3477"/>
      <c r="B22" s="3470"/>
      <c r="C22" s="2845" t="s">
        <v>2444</v>
      </c>
      <c r="D22" s="2846"/>
      <c r="E22" s="2847">
        <v>0.9</v>
      </c>
      <c r="F22" s="2844" t="s">
        <v>2445</v>
      </c>
      <c r="G22" s="2844"/>
    </row>
    <row r="23" spans="1:13" ht="19.5" customHeight="1">
      <c r="A23" s="3477"/>
      <c r="B23" s="3470"/>
      <c r="C23" s="2845" t="s">
        <v>2446</v>
      </c>
      <c r="D23" s="2846"/>
      <c r="E23" s="2847">
        <v>0.9</v>
      </c>
      <c r="F23" s="2844" t="s">
        <v>2447</v>
      </c>
      <c r="G23" s="2844"/>
    </row>
    <row r="24" spans="1:13" ht="19.5" customHeight="1">
      <c r="A24" s="3477"/>
      <c r="B24" s="3470"/>
      <c r="C24" s="2845" t="s">
        <v>2448</v>
      </c>
      <c r="D24" s="2846"/>
      <c r="E24" s="2847">
        <v>0.8</v>
      </c>
      <c r="F24" s="2844" t="s">
        <v>2449</v>
      </c>
      <c r="G24" s="2844"/>
    </row>
    <row r="25" spans="1:13" ht="19.5" customHeight="1" thickBot="1">
      <c r="A25" s="3478"/>
      <c r="B25" s="3472"/>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73" t="s">
        <v>2632</v>
      </c>
      <c r="B27" s="3471" t="s">
        <v>2613</v>
      </c>
      <c r="C27" s="2841" t="s">
        <v>2453</v>
      </c>
      <c r="D27" s="2842"/>
      <c r="E27" s="2843">
        <v>1</v>
      </c>
      <c r="F27" s="2844" t="s">
        <v>2454</v>
      </c>
      <c r="G27" s="2844"/>
    </row>
    <row r="28" spans="1:13" ht="19.5" customHeight="1">
      <c r="A28" s="3474"/>
      <c r="B28" s="3470"/>
      <c r="C28" s="2845" t="s">
        <v>2455</v>
      </c>
      <c r="D28" s="2846"/>
      <c r="E28" s="2847">
        <v>1</v>
      </c>
      <c r="F28" s="2844" t="s">
        <v>2456</v>
      </c>
      <c r="G28" s="2844"/>
    </row>
    <row r="29" spans="1:13" ht="19.5" customHeight="1">
      <c r="A29" s="3474"/>
      <c r="B29" s="3470"/>
      <c r="C29" s="2845" t="s">
        <v>2457</v>
      </c>
      <c r="D29" s="2846"/>
      <c r="E29" s="2847">
        <v>0.8</v>
      </c>
      <c r="F29" s="2844" t="s">
        <v>2458</v>
      </c>
      <c r="G29" s="2844"/>
    </row>
    <row r="30" spans="1:13" ht="19.5" customHeight="1">
      <c r="A30" s="3474"/>
      <c r="B30" s="3470"/>
      <c r="C30" s="2845" t="s">
        <v>2459</v>
      </c>
      <c r="D30" s="2846"/>
      <c r="E30" s="2847">
        <v>0.8</v>
      </c>
      <c r="F30" s="2844" t="s">
        <v>2460</v>
      </c>
      <c r="G30" s="2844"/>
    </row>
    <row r="31" spans="1:13" ht="19.5" customHeight="1">
      <c r="A31" s="3474"/>
      <c r="B31" s="3470"/>
      <c r="C31" s="2845" t="s">
        <v>2461</v>
      </c>
      <c r="D31" s="2846"/>
      <c r="E31" s="2847">
        <v>0.8</v>
      </c>
      <c r="F31" s="2844" t="s">
        <v>2462</v>
      </c>
      <c r="G31" s="2844"/>
    </row>
    <row r="32" spans="1:13" ht="19.5" customHeight="1">
      <c r="A32" s="3474"/>
      <c r="B32" s="3470"/>
      <c r="C32" s="2845" t="s">
        <v>2463</v>
      </c>
      <c r="D32" s="2846"/>
      <c r="E32" s="2847">
        <v>0.7</v>
      </c>
      <c r="F32" s="2844" t="s">
        <v>2464</v>
      </c>
      <c r="G32" s="2844"/>
    </row>
    <row r="33" spans="1:7" ht="19.5" customHeight="1">
      <c r="A33" s="3474"/>
      <c r="B33" s="3470"/>
      <c r="C33" s="2845" t="s">
        <v>2465</v>
      </c>
      <c r="D33" s="2846"/>
      <c r="E33" s="2847">
        <v>0.8</v>
      </c>
      <c r="F33" s="2844" t="s">
        <v>2466</v>
      </c>
      <c r="G33" s="2844"/>
    </row>
    <row r="34" spans="1:7" ht="19.5" customHeight="1">
      <c r="A34" s="3474"/>
      <c r="B34" s="3470"/>
      <c r="C34" s="2845" t="s">
        <v>2467</v>
      </c>
      <c r="D34" s="2846"/>
      <c r="E34" s="2847">
        <v>0.6</v>
      </c>
      <c r="F34" s="2844" t="s">
        <v>2468</v>
      </c>
      <c r="G34" s="2844"/>
    </row>
    <row r="35" spans="1:7" ht="19.5" customHeight="1">
      <c r="A35" s="3474"/>
      <c r="B35" s="3470"/>
      <c r="C35" s="2845" t="s">
        <v>2469</v>
      </c>
      <c r="D35" s="2846"/>
      <c r="E35" s="2847">
        <v>0.2</v>
      </c>
      <c r="F35" s="2844" t="s">
        <v>2470</v>
      </c>
      <c r="G35" s="2844"/>
    </row>
    <row r="36" spans="1:7" ht="19.5" customHeight="1">
      <c r="A36" s="3474"/>
      <c r="B36" s="3470"/>
      <c r="C36" s="2845" t="s">
        <v>2471</v>
      </c>
      <c r="D36" s="2846"/>
      <c r="E36" s="2847">
        <v>0.2</v>
      </c>
      <c r="F36" s="2844" t="s">
        <v>2472</v>
      </c>
      <c r="G36" s="2844"/>
    </row>
    <row r="37" spans="1:7" ht="19.5" customHeight="1">
      <c r="A37" s="3474"/>
      <c r="B37" s="3468" t="s">
        <v>2633</v>
      </c>
      <c r="C37" s="2845" t="s">
        <v>2473</v>
      </c>
      <c r="D37" s="2846"/>
      <c r="E37" s="2847">
        <v>0.6</v>
      </c>
      <c r="F37" s="2844" t="s">
        <v>2474</v>
      </c>
      <c r="G37" s="2844"/>
    </row>
    <row r="38" spans="1:7" ht="19.5" customHeight="1">
      <c r="A38" s="3474"/>
      <c r="B38" s="3470"/>
      <c r="C38" s="2845" t="s">
        <v>2475</v>
      </c>
      <c r="D38" s="2846"/>
      <c r="E38" s="2847">
        <v>0.6</v>
      </c>
      <c r="F38" s="2844" t="s">
        <v>2476</v>
      </c>
      <c r="G38" s="2844"/>
    </row>
    <row r="39" spans="1:7" ht="19.5" customHeight="1" thickBot="1">
      <c r="A39" s="3475"/>
      <c r="B39" s="3472"/>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76" t="s">
        <v>2611</v>
      </c>
      <c r="B41" s="3471" t="s">
        <v>2635</v>
      </c>
      <c r="C41" s="2841" t="s">
        <v>2480</v>
      </c>
      <c r="D41" s="2842"/>
      <c r="E41" s="2843">
        <v>1</v>
      </c>
      <c r="F41" s="2844" t="s">
        <v>2481</v>
      </c>
      <c r="G41" s="2844"/>
    </row>
    <row r="42" spans="1:7" ht="19.5" customHeight="1">
      <c r="A42" s="3477"/>
      <c r="B42" s="3470"/>
      <c r="C42" s="2845" t="s">
        <v>2482</v>
      </c>
      <c r="D42" s="2846"/>
      <c r="E42" s="2847">
        <v>1</v>
      </c>
      <c r="F42" s="2844" t="s">
        <v>2483</v>
      </c>
      <c r="G42" s="2844"/>
    </row>
    <row r="43" spans="1:7" ht="19.5" customHeight="1">
      <c r="A43" s="3477"/>
      <c r="B43" s="3469"/>
      <c r="C43" s="2845" t="s">
        <v>2484</v>
      </c>
      <c r="D43" s="2846"/>
      <c r="E43" s="2847">
        <v>1.5</v>
      </c>
      <c r="F43" s="2844" t="s">
        <v>2485</v>
      </c>
      <c r="G43" s="2844"/>
    </row>
    <row r="44" spans="1:7" ht="19.5" customHeight="1">
      <c r="A44" s="3477"/>
      <c r="B44" s="2856" t="s">
        <v>2636</v>
      </c>
      <c r="C44" s="2845" t="s">
        <v>2637</v>
      </c>
      <c r="D44" s="2846"/>
      <c r="E44" s="2847">
        <v>2</v>
      </c>
      <c r="F44" s="2844" t="s">
        <v>2486</v>
      </c>
      <c r="G44" s="2844"/>
    </row>
    <row r="45" spans="1:7" ht="19.5" customHeight="1">
      <c r="A45" s="3477"/>
      <c r="B45" s="3468" t="s">
        <v>2638</v>
      </c>
      <c r="C45" s="2845" t="s">
        <v>2487</v>
      </c>
      <c r="D45" s="2846"/>
      <c r="E45" s="2847">
        <v>1</v>
      </c>
      <c r="F45" s="2844" t="s">
        <v>2488</v>
      </c>
      <c r="G45" s="2844"/>
    </row>
    <row r="46" spans="1:7" ht="19.5" customHeight="1">
      <c r="A46" s="3477"/>
      <c r="B46" s="3470"/>
      <c r="C46" s="2845" t="s">
        <v>2489</v>
      </c>
      <c r="D46" s="2846"/>
      <c r="E46" s="2847">
        <v>1</v>
      </c>
      <c r="F46" s="2844" t="s">
        <v>2490</v>
      </c>
      <c r="G46" s="2844"/>
    </row>
    <row r="47" spans="1:7" ht="19.5" customHeight="1">
      <c r="A47" s="3477"/>
      <c r="B47" s="3470"/>
      <c r="C47" s="2845" t="s">
        <v>2491</v>
      </c>
      <c r="D47" s="2846"/>
      <c r="E47" s="2847">
        <v>1</v>
      </c>
      <c r="F47" s="2844" t="s">
        <v>2492</v>
      </c>
      <c r="G47" s="2844"/>
    </row>
    <row r="48" spans="1:7" ht="19.5" customHeight="1">
      <c r="A48" s="3477"/>
      <c r="B48" s="3470"/>
      <c r="C48" s="2845" t="s">
        <v>2493</v>
      </c>
      <c r="D48" s="2846"/>
      <c r="E48" s="2847">
        <v>1</v>
      </c>
      <c r="F48" s="2844" t="s">
        <v>2494</v>
      </c>
      <c r="G48" s="2844"/>
    </row>
    <row r="49" spans="1:7" ht="19.5" customHeight="1">
      <c r="A49" s="3477"/>
      <c r="B49" s="3470"/>
      <c r="C49" s="2845" t="s">
        <v>2495</v>
      </c>
      <c r="D49" s="2846"/>
      <c r="E49" s="2847">
        <v>1</v>
      </c>
      <c r="F49" s="2844" t="s">
        <v>2496</v>
      </c>
      <c r="G49" s="2844"/>
    </row>
    <row r="50" spans="1:7" ht="19.5" customHeight="1">
      <c r="A50" s="3477"/>
      <c r="B50" s="3470"/>
      <c r="C50" s="2845" t="s">
        <v>2497</v>
      </c>
      <c r="D50" s="2846"/>
      <c r="E50" s="2847">
        <v>1</v>
      </c>
      <c r="F50" s="2844" t="s">
        <v>2498</v>
      </c>
      <c r="G50" s="2844"/>
    </row>
    <row r="51" spans="1:7" ht="19.5" customHeight="1" thickBot="1">
      <c r="A51" s="3478"/>
      <c r="B51" s="3472"/>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68" t="s">
        <v>2652</v>
      </c>
      <c r="C73" s="2830" t="s">
        <v>2653</v>
      </c>
      <c r="D73" s="2830" t="s">
        <v>2654</v>
      </c>
      <c r="E73" s="2856">
        <v>0.2</v>
      </c>
      <c r="F73" s="2856">
        <v>25</v>
      </c>
    </row>
    <row r="74" spans="1:7" ht="24">
      <c r="A74" s="2856">
        <v>2</v>
      </c>
      <c r="B74" s="3470"/>
      <c r="C74" s="2830" t="s">
        <v>2655</v>
      </c>
      <c r="D74" s="2830" t="s">
        <v>2656</v>
      </c>
      <c r="E74" s="2856">
        <v>0.2</v>
      </c>
      <c r="F74" s="2856">
        <v>25</v>
      </c>
    </row>
    <row r="75" spans="1:7" ht="24">
      <c r="A75" s="2856">
        <v>3</v>
      </c>
      <c r="B75" s="3470"/>
      <c r="C75" s="2830" t="s">
        <v>2657</v>
      </c>
      <c r="D75" s="2830" t="s">
        <v>2658</v>
      </c>
      <c r="E75" s="2856">
        <v>0.2</v>
      </c>
      <c r="F75" s="2856">
        <v>25</v>
      </c>
    </row>
    <row r="76" spans="1:7" ht="13.5">
      <c r="A76" s="2856">
        <v>4</v>
      </c>
      <c r="B76" s="3470"/>
      <c r="C76" s="2830" t="s">
        <v>2659</v>
      </c>
      <c r="D76" s="2830" t="s">
        <v>2660</v>
      </c>
      <c r="E76" s="2856">
        <v>0.15</v>
      </c>
      <c r="F76" s="2856">
        <v>20</v>
      </c>
    </row>
    <row r="77" spans="1:7" ht="24">
      <c r="A77" s="2856">
        <v>5</v>
      </c>
      <c r="B77" s="3470"/>
      <c r="C77" s="2830" t="s">
        <v>2661</v>
      </c>
      <c r="D77" s="2830" t="s">
        <v>2662</v>
      </c>
      <c r="E77" s="2856">
        <v>0.15</v>
      </c>
      <c r="F77" s="2856">
        <v>20</v>
      </c>
    </row>
    <row r="78" spans="1:7" ht="24">
      <c r="A78" s="2856">
        <v>6</v>
      </c>
      <c r="B78" s="3470"/>
      <c r="C78" s="2830" t="s">
        <v>2663</v>
      </c>
      <c r="D78" s="2830" t="s">
        <v>2664</v>
      </c>
      <c r="E78" s="2856">
        <v>0.15</v>
      </c>
      <c r="F78" s="2856">
        <v>20</v>
      </c>
    </row>
    <row r="79" spans="1:7" ht="24">
      <c r="A79" s="2856">
        <v>7</v>
      </c>
      <c r="B79" s="3470"/>
      <c r="C79" s="2830" t="s">
        <v>2665</v>
      </c>
      <c r="D79" s="2830" t="s">
        <v>2666</v>
      </c>
      <c r="E79" s="2856">
        <v>0.15</v>
      </c>
      <c r="F79" s="2856">
        <v>20</v>
      </c>
    </row>
    <row r="80" spans="1:7" ht="24">
      <c r="A80" s="2856">
        <v>8</v>
      </c>
      <c r="B80" s="3470"/>
      <c r="C80" s="2830" t="s">
        <v>2667</v>
      </c>
      <c r="D80" s="2830" t="s">
        <v>2668</v>
      </c>
      <c r="E80" s="2856">
        <v>0.1</v>
      </c>
      <c r="F80" s="2856">
        <v>15</v>
      </c>
    </row>
    <row r="81" spans="1:6" ht="24">
      <c r="A81" s="2856">
        <v>9</v>
      </c>
      <c r="B81" s="3470"/>
      <c r="C81" s="2830" t="s">
        <v>2669</v>
      </c>
      <c r="D81" s="2830" t="s">
        <v>2670</v>
      </c>
      <c r="E81" s="2856">
        <v>0.1</v>
      </c>
      <c r="F81" s="2856">
        <v>15</v>
      </c>
    </row>
    <row r="82" spans="1:6" ht="24">
      <c r="A82" s="2856">
        <v>10</v>
      </c>
      <c r="B82" s="3470"/>
      <c r="C82" s="2830" t="s">
        <v>2671</v>
      </c>
      <c r="D82" s="2830" t="s">
        <v>2672</v>
      </c>
      <c r="E82" s="2856">
        <v>0.1</v>
      </c>
      <c r="F82" s="2856">
        <v>15</v>
      </c>
    </row>
    <row r="83" spans="1:6" ht="24">
      <c r="A83" s="2856">
        <v>11</v>
      </c>
      <c r="B83" s="3470"/>
      <c r="C83" s="2830" t="s">
        <v>2673</v>
      </c>
      <c r="D83" s="2830" t="s">
        <v>2674</v>
      </c>
      <c r="E83" s="2856">
        <v>0.1</v>
      </c>
      <c r="F83" s="2856">
        <v>15</v>
      </c>
    </row>
    <row r="84" spans="1:6" ht="24">
      <c r="A84" s="2856">
        <v>12</v>
      </c>
      <c r="B84" s="3470"/>
      <c r="C84" s="2830" t="s">
        <v>2675</v>
      </c>
      <c r="D84" s="2830" t="s">
        <v>2676</v>
      </c>
      <c r="E84" s="2856">
        <v>0.1</v>
      </c>
      <c r="F84" s="2856">
        <v>15</v>
      </c>
    </row>
    <row r="85" spans="1:6" ht="13.5">
      <c r="A85" s="2856">
        <v>13</v>
      </c>
      <c r="B85" s="3470"/>
      <c r="C85" s="2830" t="s">
        <v>2677</v>
      </c>
      <c r="D85" s="2830" t="s">
        <v>2678</v>
      </c>
      <c r="E85" s="2856">
        <v>0.1</v>
      </c>
      <c r="F85" s="2856">
        <v>15</v>
      </c>
    </row>
    <row r="86" spans="1:6" ht="13.5">
      <c r="A86" s="2856">
        <v>14</v>
      </c>
      <c r="B86" s="3470"/>
      <c r="C86" s="2830" t="s">
        <v>2679</v>
      </c>
      <c r="D86" s="2830" t="s">
        <v>2680</v>
      </c>
      <c r="E86" s="2856">
        <v>0.1</v>
      </c>
      <c r="F86" s="2856">
        <v>15</v>
      </c>
    </row>
    <row r="87" spans="1:6" ht="13.5">
      <c r="A87" s="2856">
        <v>15</v>
      </c>
      <c r="B87" s="3470"/>
      <c r="C87" s="2830" t="s">
        <v>2681</v>
      </c>
      <c r="D87" s="2830" t="s">
        <v>2682</v>
      </c>
      <c r="E87" s="2856">
        <v>0.1</v>
      </c>
      <c r="F87" s="2856">
        <v>15</v>
      </c>
    </row>
    <row r="88" spans="1:6" ht="24">
      <c r="A88" s="2856">
        <v>16</v>
      </c>
      <c r="B88" s="3470"/>
      <c r="C88" s="2830" t="s">
        <v>2683</v>
      </c>
      <c r="D88" s="2830" t="s">
        <v>2684</v>
      </c>
      <c r="E88" s="2856">
        <v>0.1</v>
      </c>
      <c r="F88" s="2856">
        <v>15</v>
      </c>
    </row>
    <row r="89" spans="1:6" ht="24">
      <c r="A89" s="2856">
        <v>17</v>
      </c>
      <c r="B89" s="3469"/>
      <c r="C89" s="2830" t="s">
        <v>2685</v>
      </c>
      <c r="D89" s="2830" t="s">
        <v>2686</v>
      </c>
      <c r="E89" s="2856">
        <v>0.1</v>
      </c>
      <c r="F89" s="2856">
        <v>15</v>
      </c>
    </row>
    <row r="90" spans="1:6" ht="13.5">
      <c r="A90" s="2856">
        <v>18</v>
      </c>
      <c r="B90" s="3468" t="s">
        <v>2687</v>
      </c>
      <c r="C90" s="2830" t="s">
        <v>2688</v>
      </c>
      <c r="D90" s="2830" t="s">
        <v>2689</v>
      </c>
      <c r="E90" s="2856">
        <v>0.2</v>
      </c>
      <c r="F90" s="2856">
        <v>25</v>
      </c>
    </row>
    <row r="91" spans="1:6" ht="24">
      <c r="A91" s="2856">
        <v>19</v>
      </c>
      <c r="B91" s="3470"/>
      <c r="C91" s="2830" t="s">
        <v>2690</v>
      </c>
      <c r="D91" s="2830" t="s">
        <v>2691</v>
      </c>
      <c r="E91" s="2856">
        <v>0.2</v>
      </c>
      <c r="F91" s="2856">
        <v>25</v>
      </c>
    </row>
    <row r="92" spans="1:6" ht="13.5">
      <c r="A92" s="2856">
        <v>20</v>
      </c>
      <c r="B92" s="3470"/>
      <c r="C92" s="2830" t="s">
        <v>2692</v>
      </c>
      <c r="D92" s="2830" t="s">
        <v>2693</v>
      </c>
      <c r="E92" s="2856">
        <v>0.15</v>
      </c>
      <c r="F92" s="2856">
        <v>20</v>
      </c>
    </row>
    <row r="93" spans="1:6" ht="13.5">
      <c r="A93" s="2856">
        <v>21</v>
      </c>
      <c r="B93" s="3470"/>
      <c r="C93" s="2830" t="s">
        <v>2694</v>
      </c>
      <c r="D93" s="2830" t="s">
        <v>2695</v>
      </c>
      <c r="E93" s="2856">
        <v>0.15</v>
      </c>
      <c r="F93" s="2856">
        <v>20</v>
      </c>
    </row>
    <row r="94" spans="1:6" ht="13.5">
      <c r="A94" s="2856">
        <v>22</v>
      </c>
      <c r="B94" s="3470"/>
      <c r="C94" s="2830" t="s">
        <v>2696</v>
      </c>
      <c r="D94" s="2830" t="s">
        <v>2697</v>
      </c>
      <c r="E94" s="2856">
        <v>0.15</v>
      </c>
      <c r="F94" s="2856">
        <v>20</v>
      </c>
    </row>
    <row r="95" spans="1:6" ht="36">
      <c r="A95" s="2856">
        <v>23</v>
      </c>
      <c r="B95" s="3470"/>
      <c r="C95" s="2830" t="s">
        <v>2698</v>
      </c>
      <c r="D95" s="2830" t="s">
        <v>2699</v>
      </c>
      <c r="E95" s="2856">
        <v>0.15</v>
      </c>
      <c r="F95" s="2856">
        <v>20</v>
      </c>
    </row>
    <row r="96" spans="1:6" ht="13.5">
      <c r="A96" s="2856">
        <v>24</v>
      </c>
      <c r="B96" s="3470"/>
      <c r="C96" s="2830" t="s">
        <v>2700</v>
      </c>
      <c r="D96" s="2830" t="s">
        <v>2701</v>
      </c>
      <c r="E96" s="2856">
        <v>0.1</v>
      </c>
      <c r="F96" s="2856">
        <v>15</v>
      </c>
    </row>
    <row r="97" spans="1:6" ht="13.5">
      <c r="A97" s="2856">
        <v>25</v>
      </c>
      <c r="B97" s="3470"/>
      <c r="C97" s="2830" t="s">
        <v>2702</v>
      </c>
      <c r="D97" s="2830" t="s">
        <v>2703</v>
      </c>
      <c r="E97" s="2856">
        <v>0.1</v>
      </c>
      <c r="F97" s="2856">
        <v>15</v>
      </c>
    </row>
    <row r="98" spans="1:6" ht="24">
      <c r="A98" s="2856">
        <v>26</v>
      </c>
      <c r="B98" s="3470"/>
      <c r="C98" s="2830" t="s">
        <v>2704</v>
      </c>
      <c r="D98" s="2830" t="s">
        <v>2705</v>
      </c>
      <c r="E98" s="2856">
        <v>0.1</v>
      </c>
      <c r="F98" s="2856">
        <v>15</v>
      </c>
    </row>
    <row r="99" spans="1:6" ht="24">
      <c r="A99" s="2856">
        <v>27</v>
      </c>
      <c r="B99" s="3470"/>
      <c r="C99" s="2830" t="s">
        <v>2706</v>
      </c>
      <c r="D99" s="2830" t="s">
        <v>2707</v>
      </c>
      <c r="E99" s="2856">
        <v>0.1</v>
      </c>
      <c r="F99" s="2856">
        <v>15</v>
      </c>
    </row>
    <row r="100" spans="1:6" ht="13.5">
      <c r="A100" s="2856">
        <v>28</v>
      </c>
      <c r="B100" s="3470"/>
      <c r="C100" s="2830" t="s">
        <v>2708</v>
      </c>
      <c r="D100" s="2830" t="s">
        <v>2709</v>
      </c>
      <c r="E100" s="2856">
        <v>0.1</v>
      </c>
      <c r="F100" s="2856">
        <v>15</v>
      </c>
    </row>
    <row r="101" spans="1:6" ht="13.5">
      <c r="A101" s="2856">
        <v>29</v>
      </c>
      <c r="B101" s="3470"/>
      <c r="C101" s="2830" t="s">
        <v>2710</v>
      </c>
      <c r="D101" s="2830" t="s">
        <v>2711</v>
      </c>
      <c r="E101" s="2856">
        <v>0.1</v>
      </c>
      <c r="F101" s="2856">
        <v>15</v>
      </c>
    </row>
    <row r="102" spans="1:6" ht="13.5">
      <c r="A102" s="2856">
        <v>30</v>
      </c>
      <c r="B102" s="3470"/>
      <c r="C102" s="2830" t="s">
        <v>2712</v>
      </c>
      <c r="D102" s="2830" t="s">
        <v>2713</v>
      </c>
      <c r="E102" s="2856">
        <v>0.1</v>
      </c>
      <c r="F102" s="2856">
        <v>15</v>
      </c>
    </row>
    <row r="103" spans="1:6" ht="24">
      <c r="A103" s="2856">
        <v>31</v>
      </c>
      <c r="B103" s="3470"/>
      <c r="C103" s="2830" t="s">
        <v>2714</v>
      </c>
      <c r="D103" s="2830" t="s">
        <v>2715</v>
      </c>
      <c r="E103" s="2856">
        <v>0.1</v>
      </c>
      <c r="F103" s="2856">
        <v>15</v>
      </c>
    </row>
    <row r="104" spans="1:6" ht="24">
      <c r="A104" s="2856">
        <v>32</v>
      </c>
      <c r="B104" s="3470"/>
      <c r="C104" s="2830" t="s">
        <v>2716</v>
      </c>
      <c r="D104" s="2830" t="s">
        <v>2717</v>
      </c>
      <c r="E104" s="2856">
        <v>0.1</v>
      </c>
      <c r="F104" s="2856">
        <v>15</v>
      </c>
    </row>
    <row r="105" spans="1:6" ht="24">
      <c r="A105" s="2856">
        <v>33</v>
      </c>
      <c r="B105" s="3470"/>
      <c r="C105" s="2830" t="s">
        <v>2718</v>
      </c>
      <c r="D105" s="2830" t="s">
        <v>2719</v>
      </c>
      <c r="E105" s="2856">
        <v>0.1</v>
      </c>
      <c r="F105" s="2856">
        <v>15</v>
      </c>
    </row>
    <row r="106" spans="1:6" ht="24">
      <c r="A106" s="2856">
        <v>34</v>
      </c>
      <c r="B106" s="3469"/>
      <c r="C106" s="2830" t="s">
        <v>2720</v>
      </c>
      <c r="D106" s="2830" t="s">
        <v>2721</v>
      </c>
      <c r="E106" s="2856">
        <v>0.1</v>
      </c>
      <c r="F106" s="2856">
        <v>15</v>
      </c>
    </row>
    <row r="107" spans="1:6" ht="24">
      <c r="A107" s="2856">
        <v>35</v>
      </c>
      <c r="B107" s="3468" t="s">
        <v>2722</v>
      </c>
      <c r="C107" s="2856" t="s">
        <v>2723</v>
      </c>
      <c r="D107" s="2830" t="s">
        <v>2724</v>
      </c>
      <c r="E107" s="2856">
        <v>0.15</v>
      </c>
      <c r="F107" s="2856">
        <v>20</v>
      </c>
    </row>
    <row r="108" spans="1:6" ht="13.5">
      <c r="A108" s="2856">
        <v>36</v>
      </c>
      <c r="B108" s="3470"/>
      <c r="C108" s="2856" t="s">
        <v>2725</v>
      </c>
      <c r="D108" s="2830" t="s">
        <v>2726</v>
      </c>
      <c r="E108" s="2856">
        <v>0.15</v>
      </c>
      <c r="F108" s="2856">
        <v>20</v>
      </c>
    </row>
    <row r="109" spans="1:6" ht="13.5">
      <c r="A109" s="2856">
        <v>37</v>
      </c>
      <c r="B109" s="3470"/>
      <c r="C109" s="2856" t="s">
        <v>2727</v>
      </c>
      <c r="D109" s="2830" t="s">
        <v>2728</v>
      </c>
      <c r="E109" s="2856">
        <v>0.15</v>
      </c>
      <c r="F109" s="2856">
        <v>20</v>
      </c>
    </row>
    <row r="110" spans="1:6" ht="13.5">
      <c r="A110" s="2856">
        <v>38</v>
      </c>
      <c r="B110" s="3470"/>
      <c r="C110" s="2856" t="s">
        <v>2729</v>
      </c>
      <c r="D110" s="2830" t="s">
        <v>2730</v>
      </c>
      <c r="E110" s="2856">
        <v>0.1</v>
      </c>
      <c r="F110" s="2856">
        <v>15</v>
      </c>
    </row>
    <row r="111" spans="1:6" ht="24">
      <c r="A111" s="2856">
        <v>39</v>
      </c>
      <c r="B111" s="3470"/>
      <c r="C111" s="2856" t="s">
        <v>2731</v>
      </c>
      <c r="D111" s="2830" t="s">
        <v>2732</v>
      </c>
      <c r="E111" s="2856">
        <v>0.1</v>
      </c>
      <c r="F111" s="2856">
        <v>15</v>
      </c>
    </row>
    <row r="112" spans="1:6" ht="24">
      <c r="A112" s="2856">
        <v>40</v>
      </c>
      <c r="B112" s="3469"/>
      <c r="C112" s="2856" t="s">
        <v>2733</v>
      </c>
      <c r="D112" s="2830" t="s">
        <v>2734</v>
      </c>
      <c r="E112" s="2856">
        <v>0.1</v>
      </c>
      <c r="F112" s="2856">
        <v>15</v>
      </c>
    </row>
    <row r="113" spans="1:6" ht="13.5">
      <c r="A113" s="2856">
        <v>41</v>
      </c>
      <c r="B113" s="3467" t="s">
        <v>2735</v>
      </c>
      <c r="C113" s="2856" t="s">
        <v>2736</v>
      </c>
      <c r="D113" s="2830" t="s">
        <v>2737</v>
      </c>
      <c r="E113" s="2856">
        <v>0.1</v>
      </c>
      <c r="F113" s="2856">
        <v>15</v>
      </c>
    </row>
    <row r="114" spans="1:6" ht="13.5">
      <c r="A114" s="2856">
        <v>42</v>
      </c>
      <c r="B114" s="3467"/>
      <c r="C114" s="2856" t="s">
        <v>2738</v>
      </c>
      <c r="D114" s="2830" t="s">
        <v>2739</v>
      </c>
      <c r="E114" s="2856">
        <v>0.1</v>
      </c>
      <c r="F114" s="2856">
        <v>15</v>
      </c>
    </row>
    <row r="115" spans="1:6" ht="24">
      <c r="A115" s="2856">
        <v>43</v>
      </c>
      <c r="B115" s="3467"/>
      <c r="C115" s="2856" t="s">
        <v>2740</v>
      </c>
      <c r="D115" s="2830" t="s">
        <v>2741</v>
      </c>
      <c r="E115" s="2856">
        <v>0.1</v>
      </c>
      <c r="F115" s="2856">
        <v>15</v>
      </c>
    </row>
    <row r="116" spans="1:6" ht="13.5">
      <c r="A116" s="2856">
        <v>44</v>
      </c>
      <c r="B116" s="3468" t="s">
        <v>2742</v>
      </c>
      <c r="C116" s="2856" t="s">
        <v>2743</v>
      </c>
      <c r="D116" s="2830" t="s">
        <v>2744</v>
      </c>
      <c r="E116" s="2856">
        <v>0.1</v>
      </c>
      <c r="F116" s="2856">
        <v>15</v>
      </c>
    </row>
    <row r="117" spans="1:6" ht="24">
      <c r="A117" s="2856">
        <v>45</v>
      </c>
      <c r="B117" s="3469"/>
      <c r="C117" s="2830" t="s">
        <v>2745</v>
      </c>
      <c r="D117" s="2830" t="s">
        <v>2746</v>
      </c>
      <c r="E117" s="2856">
        <v>0.1</v>
      </c>
      <c r="F117" s="2856">
        <v>15</v>
      </c>
    </row>
    <row r="118" spans="1:6" ht="24">
      <c r="A118" s="2856">
        <v>46</v>
      </c>
      <c r="B118" s="3468" t="s">
        <v>2747</v>
      </c>
      <c r="C118" s="2856" t="s">
        <v>2748</v>
      </c>
      <c r="D118" s="2830" t="s">
        <v>2749</v>
      </c>
      <c r="E118" s="2856">
        <v>0.1</v>
      </c>
      <c r="F118" s="2856">
        <v>15</v>
      </c>
    </row>
    <row r="119" spans="1:6" ht="24">
      <c r="A119" s="2856">
        <v>47</v>
      </c>
      <c r="B119" s="3469"/>
      <c r="C119" s="2856" t="s">
        <v>2750</v>
      </c>
      <c r="D119" s="2830" t="s">
        <v>2751</v>
      </c>
      <c r="E119" s="2856">
        <v>0.1</v>
      </c>
      <c r="F119" s="2856">
        <v>15</v>
      </c>
    </row>
    <row r="120" spans="1:6" ht="13.5">
      <c r="A120" s="2856">
        <v>48</v>
      </c>
      <c r="B120" s="3468" t="s">
        <v>2752</v>
      </c>
      <c r="C120" s="2856" t="s">
        <v>2753</v>
      </c>
      <c r="D120" s="2830" t="s">
        <v>2754</v>
      </c>
      <c r="E120" s="2856">
        <v>0.1</v>
      </c>
      <c r="F120" s="2856">
        <v>15</v>
      </c>
    </row>
    <row r="121" spans="1:6" ht="13.5">
      <c r="A121" s="2856">
        <v>49</v>
      </c>
      <c r="B121" s="3469"/>
      <c r="C121" s="2856" t="s">
        <v>2755</v>
      </c>
      <c r="D121" s="2830" t="s">
        <v>2756</v>
      </c>
      <c r="E121" s="2856">
        <v>0.1</v>
      </c>
      <c r="F121" s="2856">
        <v>15</v>
      </c>
    </row>
    <row r="122" spans="1:6" ht="24">
      <c r="A122" s="2856">
        <v>50</v>
      </c>
      <c r="B122" s="3467" t="s">
        <v>2757</v>
      </c>
      <c r="C122" s="2856" t="s">
        <v>2758</v>
      </c>
      <c r="D122" s="2830" t="s">
        <v>2759</v>
      </c>
      <c r="E122" s="2856">
        <v>0.1</v>
      </c>
      <c r="F122" s="2856">
        <v>15</v>
      </c>
    </row>
    <row r="123" spans="1:6" ht="24">
      <c r="A123" s="2856">
        <v>51</v>
      </c>
      <c r="B123" s="3467"/>
      <c r="C123" s="2856" t="s">
        <v>2760</v>
      </c>
      <c r="D123" s="2830" t="s">
        <v>2761</v>
      </c>
      <c r="E123" s="2856">
        <v>0.1</v>
      </c>
      <c r="F123" s="2856">
        <v>15</v>
      </c>
    </row>
    <row r="124" spans="1:6" ht="24">
      <c r="A124" s="2856">
        <v>52</v>
      </c>
      <c r="B124" s="3467" t="s">
        <v>2762</v>
      </c>
      <c r="C124" s="2856" t="s">
        <v>2763</v>
      </c>
      <c r="D124" s="2830" t="s">
        <v>2764</v>
      </c>
      <c r="E124" s="2856">
        <v>0.1</v>
      </c>
      <c r="F124" s="2856">
        <v>15</v>
      </c>
    </row>
    <row r="125" spans="1:6" ht="24">
      <c r="A125" s="2856">
        <v>53</v>
      </c>
      <c r="B125" s="3467"/>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67" t="s">
        <v>2770</v>
      </c>
      <c r="C127" s="2856" t="s">
        <v>2771</v>
      </c>
      <c r="D127" s="2830" t="s">
        <v>2772</v>
      </c>
      <c r="E127" s="2856">
        <v>0.1</v>
      </c>
      <c r="F127" s="2856">
        <v>15</v>
      </c>
    </row>
    <row r="128" spans="1:6" ht="13.5">
      <c r="A128" s="2856">
        <v>56</v>
      </c>
      <c r="B128" s="3467"/>
      <c r="C128" s="2856" t="s">
        <v>2773</v>
      </c>
      <c r="D128" s="2830" t="s">
        <v>2774</v>
      </c>
      <c r="E128" s="2856">
        <v>0.1</v>
      </c>
      <c r="F128" s="2856">
        <v>15</v>
      </c>
    </row>
    <row r="129" spans="1:6" ht="24">
      <c r="A129" s="2856">
        <v>57</v>
      </c>
      <c r="B129" s="3467"/>
      <c r="C129" s="2856" t="s">
        <v>2775</v>
      </c>
      <c r="D129" s="2830" t="s">
        <v>2776</v>
      </c>
      <c r="E129" s="2856">
        <v>0.1</v>
      </c>
      <c r="F129" s="2856">
        <v>15</v>
      </c>
    </row>
    <row r="130" spans="1:6" ht="24">
      <c r="A130" s="2856">
        <v>58</v>
      </c>
      <c r="B130" s="3467" t="s">
        <v>2777</v>
      </c>
      <c r="C130" s="2856" t="s">
        <v>2778</v>
      </c>
      <c r="D130" s="2830" t="s">
        <v>2779</v>
      </c>
      <c r="E130" s="2856">
        <v>0.1</v>
      </c>
      <c r="F130" s="2856">
        <v>15</v>
      </c>
    </row>
    <row r="131" spans="1:6" ht="13.5">
      <c r="A131" s="2856">
        <v>59</v>
      </c>
      <c r="B131" s="3467"/>
      <c r="C131" s="2856" t="s">
        <v>2780</v>
      </c>
      <c r="D131" s="2830" t="s">
        <v>2781</v>
      </c>
      <c r="E131" s="2856">
        <v>0.1</v>
      </c>
      <c r="F131" s="2856">
        <v>15</v>
      </c>
    </row>
    <row r="132" spans="1:6" ht="13.5">
      <c r="A132" s="2856">
        <v>60</v>
      </c>
      <c r="B132" s="3468" t="s">
        <v>2782</v>
      </c>
      <c r="C132" s="2856" t="s">
        <v>2783</v>
      </c>
      <c r="D132" s="2830" t="s">
        <v>2784</v>
      </c>
      <c r="E132" s="2856">
        <v>0.1</v>
      </c>
      <c r="F132" s="2856">
        <v>15</v>
      </c>
    </row>
    <row r="133" spans="1:6" ht="13.5">
      <c r="A133" s="2856">
        <v>61</v>
      </c>
      <c r="B133" s="3469"/>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67" t="s">
        <v>2790</v>
      </c>
      <c r="C135" s="2856" t="s">
        <v>2791</v>
      </c>
      <c r="D135" s="2830" t="s">
        <v>2792</v>
      </c>
      <c r="E135" s="2856">
        <v>0.1</v>
      </c>
      <c r="F135" s="2856">
        <v>15</v>
      </c>
    </row>
    <row r="136" spans="1:6" ht="13.5">
      <c r="A136" s="2856">
        <v>64</v>
      </c>
      <c r="B136" s="3467"/>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C52</f>
        <v>30090</v>
      </c>
      <c r="C2" s="2" t="s">
        <v>106</v>
      </c>
      <c r="D2" s="191"/>
      <c r="E2" s="191"/>
      <c r="F2" s="191"/>
      <c r="G2" s="191"/>
    </row>
    <row r="3" spans="1:7" s="192" customFormat="1" ht="18" customHeight="1" thickBot="1">
      <c r="A3" s="195" t="s">
        <v>58</v>
      </c>
      <c r="B3" s="196">
        <f>ROUND(B2*10000/'数据-汇总表'!E3,0)</f>
        <v>132608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45</v>
      </c>
      <c r="D10" s="794">
        <f>'数据-汇总表'!E6</f>
        <v>2269.1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45</v>
      </c>
      <c r="D19" s="204">
        <f>'数据-汇总表'!E3</f>
        <v>2269.1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9">
        <f>ROUND(SUM(C23:C25),0)</f>
        <v>1421</v>
      </c>
      <c r="D22" s="227">
        <f>C26</f>
        <v>6.9999999999999999E-4</v>
      </c>
      <c r="E22" s="228" t="s">
        <v>99</v>
      </c>
      <c r="F22" s="229">
        <f>'数据-取费表'!B40</f>
        <v>3.3500000000000002E-2</v>
      </c>
      <c r="G22" s="1003" t="str">
        <f>IF('数据-取费表'!B22&lt;=1,"单利计息","复利计息")</f>
        <v>复利计息</v>
      </c>
    </row>
    <row r="23" spans="1:7" s="206" customFormat="1" ht="13.5" customHeight="1">
      <c r="A23" s="733" t="s">
        <v>349</v>
      </c>
      <c r="B23" s="207" t="s">
        <v>423</v>
      </c>
      <c r="C23" s="1040">
        <f>ROUND(IF('数据-取费表'!B22&lt;=1,C5*F22*'数据-取费表'!B23,C5*(POWER((1+F22),'数据-取费表'!B23)-1)),0)</f>
        <v>1404</v>
      </c>
      <c r="D23" s="230"/>
      <c r="E23" s="230"/>
      <c r="F23" s="231"/>
      <c r="G23" s="232" t="s">
        <v>81</v>
      </c>
    </row>
    <row r="24" spans="1:7" s="206" customFormat="1" ht="13.5" customHeight="1">
      <c r="A24" s="733" t="s">
        <v>347</v>
      </c>
      <c r="B24" s="207" t="s">
        <v>418</v>
      </c>
      <c r="C24" s="1040">
        <f>ROUND(IF('数据-取费表'!B22&lt;=1,C19*F22*('数据-取费表'!B19/2+'数据-取费表'!B21),C19*(POWER((1+F22),('数据-取费表'!B19/2+'数据-取费表'!B21))-1)),0)</f>
        <v>3</v>
      </c>
      <c r="D24" s="230"/>
      <c r="E24" s="230"/>
      <c r="F24" s="231"/>
      <c r="G24" s="232" t="s">
        <v>82</v>
      </c>
    </row>
    <row r="25" spans="1:7" s="206" customFormat="1" ht="24">
      <c r="A25" s="733" t="s">
        <v>348</v>
      </c>
      <c r="B25" s="207" t="s">
        <v>420</v>
      </c>
      <c r="C25" s="1040">
        <f>ROUND(IF('数据-取费表'!B22&lt;=1,C20*F22*'数据-取费表'!B23/2,C20*(POWER((1+F22),'数据-取费表'!B23/2)-1)),0)</f>
        <v>14</v>
      </c>
      <c r="D25" s="230"/>
      <c r="E25" s="233"/>
      <c r="F25" s="231"/>
      <c r="G25" s="234" t="s">
        <v>83</v>
      </c>
    </row>
    <row r="26" spans="1:7" s="206" customFormat="1">
      <c r="A26" s="733" t="s">
        <v>350</v>
      </c>
      <c r="B26" s="207" t="s">
        <v>422</v>
      </c>
      <c r="C26" s="230">
        <f>ROUND(IF('数据-取费表'!B22&lt;=1,F21*F22*'数据-取费表'!B23/2,F21*(POWER((1+F22),'数据-取费表'!B23/2)-1)),4)</f>
        <v>6.9999999999999999E-4</v>
      </c>
      <c r="D26" s="230"/>
      <c r="E26" s="233"/>
      <c r="F26" s="231"/>
      <c r="G26" s="235"/>
    </row>
    <row r="27" spans="1:7" s="206" customFormat="1" ht="24.75">
      <c r="A27" s="730" t="s">
        <v>342</v>
      </c>
      <c r="B27" s="236" t="s">
        <v>85</v>
      </c>
      <c r="C27" s="237">
        <f>C28</f>
        <v>4214</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4214</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ROUND((C5+C19+C20+C22+C27)/(1-C21-D22-D27-C30/(1+'数据-取费表'!B42)),0)</f>
        <v>28933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998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908</v>
      </c>
      <c r="D34" s="209"/>
      <c r="E34" s="212"/>
      <c r="F34" s="249">
        <f>IF('数据-取费表'!B24=0,1,'数据-取费表'!N16)</f>
        <v>1</v>
      </c>
      <c r="G34" s="211" t="s">
        <v>89</v>
      </c>
    </row>
    <row r="35" spans="1:7" ht="13.5" customHeight="1">
      <c r="A35" s="733" t="s">
        <v>351</v>
      </c>
      <c r="B35" s="207" t="s">
        <v>33</v>
      </c>
      <c r="C35" s="212">
        <f>ROUND(C34*F35,0)</f>
        <v>27</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45</v>
      </c>
      <c r="D37" s="209">
        <f>'数据-汇总表'!E3</f>
        <v>2269.1</v>
      </c>
      <c r="E37" s="241">
        <f>'数据-取费表'!B35</f>
        <v>200</v>
      </c>
      <c r="F37" s="251"/>
      <c r="G37" s="253" t="s">
        <v>92</v>
      </c>
    </row>
    <row r="38" spans="1:7" ht="13.5" customHeight="1">
      <c r="A38" s="733" t="s">
        <v>354</v>
      </c>
      <c r="B38" s="207" t="s">
        <v>36</v>
      </c>
      <c r="C38" s="212">
        <f>ROUND(C34*F38,0)</f>
        <v>18</v>
      </c>
      <c r="D38" s="212"/>
      <c r="E38" s="212"/>
      <c r="F38" s="251">
        <f>'数据-取费表'!B36</f>
        <v>0.02</v>
      </c>
      <c r="G38" s="211" t="s">
        <v>90</v>
      </c>
    </row>
    <row r="39" spans="1:7" s="206" customFormat="1" ht="13.5" customHeight="1">
      <c r="A39" s="730" t="s">
        <v>338</v>
      </c>
      <c r="B39" s="202" t="s">
        <v>77</v>
      </c>
      <c r="C39" s="224">
        <f>ROUND(C33*F20,0)</f>
        <v>20</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ROUND(SUM(C42:C43),0)</f>
        <v>34</v>
      </c>
      <c r="D41" s="227">
        <f>C44</f>
        <v>6.9999999999999999E-4</v>
      </c>
      <c r="E41" s="228" t="s">
        <v>102</v>
      </c>
      <c r="F41" s="229"/>
      <c r="G41" s="1003" t="str">
        <f>IF('数据-取费表'!B22&lt;=1,"单利计息","复利计息")</f>
        <v>复利计息</v>
      </c>
    </row>
    <row r="42" spans="1:7" ht="13.5" customHeight="1">
      <c r="A42" s="733" t="s">
        <v>349</v>
      </c>
      <c r="B42" s="207" t="s">
        <v>423</v>
      </c>
      <c r="C42" s="230">
        <f>ROUND(IF('数据-取费表'!B22&lt;=1,C33*F22*'数据-取费表'!B21/2,C33*(POWER((1+F22),'数据-取费表'!B21/2)-1)),0)</f>
        <v>33</v>
      </c>
      <c r="D42" s="230"/>
      <c r="E42" s="230"/>
      <c r="F42" s="231"/>
      <c r="G42" s="3342" t="s">
        <v>94</v>
      </c>
    </row>
    <row r="43" spans="1:7" ht="13.5" customHeight="1">
      <c r="A43" s="733" t="s">
        <v>347</v>
      </c>
      <c r="B43" s="207" t="s">
        <v>426</v>
      </c>
      <c r="C43" s="230">
        <f>ROUND(IF('数据-取费表'!B22&lt;=1,C39*F22*'数据-取费表'!B21/2,C39*(POWER((1+F22),'数据-取费表'!B21/2)-1)),0)</f>
        <v>1</v>
      </c>
      <c r="D43" s="230"/>
      <c r="E43" s="230"/>
      <c r="F43" s="231"/>
      <c r="G43" s="3343"/>
    </row>
    <row r="44" spans="1:7" ht="13.5" customHeight="1">
      <c r="A44" s="733" t="s">
        <v>348</v>
      </c>
      <c r="B44" s="207" t="s">
        <v>428</v>
      </c>
      <c r="C44" s="230">
        <f>ROUND(IF('数据-取费表'!B22&lt;=1,C40*F22*'数据-取费表'!B21/2,C40*(POWER((1+F22),'数据-取费表'!B21/2)-1)),4)</f>
        <v>6.9999999999999999E-4</v>
      </c>
      <c r="D44" s="230"/>
      <c r="E44" s="230"/>
      <c r="F44" s="231"/>
      <c r="G44" s="3344"/>
    </row>
    <row r="45" spans="1:7" s="206" customFormat="1" ht="13.5" customHeight="1">
      <c r="A45" s="730" t="s">
        <v>341</v>
      </c>
      <c r="B45" s="236" t="s">
        <v>85</v>
      </c>
      <c r="C45" s="237">
        <f>C46</f>
        <v>204</v>
      </c>
      <c r="D45" s="227">
        <f>C47</f>
        <v>4.0000000000000001E-3</v>
      </c>
      <c r="E45" s="228" t="s">
        <v>102</v>
      </c>
      <c r="F45" s="238"/>
      <c r="G45" s="239" t="s">
        <v>434</v>
      </c>
    </row>
    <row r="46" spans="1:7" s="206" customFormat="1" ht="13.5" customHeight="1">
      <c r="A46" s="733" t="s">
        <v>349</v>
      </c>
      <c r="B46" s="240" t="s">
        <v>427</v>
      </c>
      <c r="C46" s="241">
        <f>ROUND((C33+C39)*F27,0)</f>
        <v>204</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ROUND((C33+C39+C41+C45)/(1-C40-D41-D45-C48/(1+'数据-取费表'!B42)),0)</f>
        <v>1361</v>
      </c>
      <c r="D49" s="224"/>
      <c r="E49" s="224"/>
      <c r="F49" s="256"/>
      <c r="G49" s="226" t="s">
        <v>435</v>
      </c>
    </row>
    <row r="50" spans="1:7" s="250" customFormat="1" ht="24">
      <c r="A50" s="730" t="s">
        <v>344</v>
      </c>
      <c r="B50" s="202" t="s">
        <v>97</v>
      </c>
      <c r="C50" s="224"/>
      <c r="D50" s="224"/>
      <c r="E50" s="224"/>
      <c r="F50" s="256">
        <f>IF('数据-取费表'!B24=0,'数据-取费表'!N16,1)</f>
        <v>0.85</v>
      </c>
      <c r="G50" s="239" t="s">
        <v>98</v>
      </c>
    </row>
    <row r="51" spans="1:7" ht="16.5" customHeight="1">
      <c r="A51" s="730" t="s">
        <v>345</v>
      </c>
      <c r="B51" s="202" t="s">
        <v>105</v>
      </c>
      <c r="C51" s="224">
        <f>ROUND(C49*F50,0)</f>
        <v>1157</v>
      </c>
      <c r="D51" s="224"/>
      <c r="E51" s="224"/>
      <c r="F51" s="256"/>
      <c r="G51" s="226" t="s">
        <v>37</v>
      </c>
    </row>
    <row r="52" spans="1:7" s="200" customFormat="1" ht="16.5" thickBot="1">
      <c r="A52" s="257" t="s">
        <v>38</v>
      </c>
      <c r="B52" s="258"/>
      <c r="C52" s="259">
        <f>C31+C51</f>
        <v>30090</v>
      </c>
      <c r="D52" s="258"/>
      <c r="E52" s="258"/>
      <c r="F52" s="258"/>
      <c r="G52" s="260"/>
    </row>
    <row r="55" spans="1:7" ht="15">
      <c r="B55" s="262" t="s">
        <v>39</v>
      </c>
      <c r="C55" s="263"/>
    </row>
    <row r="56" spans="1:7">
      <c r="B56" s="265" t="s">
        <v>40</v>
      </c>
      <c r="C56" s="266">
        <f>ROUND(C51/C52,3)</f>
        <v>3.7999999999999999E-2</v>
      </c>
    </row>
    <row r="57" spans="1:7">
      <c r="B57" s="265" t="s">
        <v>41</v>
      </c>
      <c r="C57" s="267">
        <f>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89"/>
      <c r="B4" s="3162" t="s">
        <v>917</v>
      </c>
      <c r="C4" s="3162"/>
      <c r="D4" s="3162"/>
      <c r="E4" s="1389"/>
    </row>
    <row r="5" spans="1:5" ht="16.5" thickTop="1">
      <c r="B5" s="3160" t="s">
        <v>909</v>
      </c>
      <c r="C5" s="1390" t="s">
        <v>910</v>
      </c>
      <c r="D5" s="796">
        <f ca="1">结果表!H101</f>
        <v>13004</v>
      </c>
    </row>
    <row r="6" spans="1:5" ht="15.75">
      <c r="B6" s="3160"/>
      <c r="C6" s="1390" t="s">
        <v>911</v>
      </c>
      <c r="D6" s="796" t="str">
        <f ca="1">NUMBERSTRING(INT(D5*10000),2)&amp;"元整"</f>
        <v>壹亿叁仟零肆万元整</v>
      </c>
    </row>
    <row r="7" spans="1:5" ht="15.75">
      <c r="B7" s="3165"/>
      <c r="C7" s="1391" t="s">
        <v>912</v>
      </c>
      <c r="D7" s="797">
        <f ca="1">结果表!H102</f>
        <v>57310</v>
      </c>
    </row>
    <row r="8" spans="1:5" ht="15.75">
      <c r="B8" s="3166" t="str">
        <f>结果表!E103</f>
        <v>2.估价师知悉的法定优先受偿款</v>
      </c>
      <c r="C8" s="1392" t="s">
        <v>913</v>
      </c>
      <c r="D8" s="797">
        <f>结果表!H103</f>
        <v>0</v>
      </c>
    </row>
    <row r="9" spans="1:5" ht="15.75">
      <c r="B9" s="3168"/>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59" t="str">
        <f>结果表!E107</f>
        <v>3.房地产抵押价值</v>
      </c>
      <c r="C13" s="1395" t="s">
        <v>910</v>
      </c>
      <c r="D13" s="799">
        <f ca="1">结果表!H107</f>
        <v>13004</v>
      </c>
    </row>
    <row r="14" spans="1:5" ht="15.75">
      <c r="B14" s="3160"/>
      <c r="C14" s="1390" t="s">
        <v>911</v>
      </c>
      <c r="D14" s="796" t="str">
        <f ca="1">NUMBERSTRING(INT(D13*10000),2)&amp;"元整"</f>
        <v>壹亿叁仟零肆万元整</v>
      </c>
    </row>
    <row r="15" spans="1:5" ht="15">
      <c r="B15" s="3165"/>
      <c r="C15" s="1391" t="s">
        <v>921</v>
      </c>
      <c r="D15" s="805">
        <f ca="1">结果表!H108</f>
        <v>57310</v>
      </c>
    </row>
    <row r="16" spans="1:5" ht="15">
      <c r="B16" s="3166" t="str">
        <f>结果表!E109</f>
        <v>——</v>
      </c>
      <c r="C16" s="1395" t="s">
        <v>922</v>
      </c>
      <c r="D16" s="1396" t="str">
        <f>结果表!H109</f>
        <v>——</v>
      </c>
    </row>
    <row r="17" spans="1:5" ht="15.75">
      <c r="B17" s="3167"/>
      <c r="C17" s="1390" t="s">
        <v>923</v>
      </c>
      <c r="D17" s="796" t="e">
        <f>NUMBERSTRING(INT(D16*10000),2)&amp;"元整"</f>
        <v>#VALUE!</v>
      </c>
    </row>
    <row r="18" spans="1:5" ht="15">
      <c r="B18" s="3168"/>
      <c r="C18" s="1391" t="s">
        <v>912</v>
      </c>
      <c r="D18" s="805" t="str">
        <f>结果表!H110</f>
        <v>——</v>
      </c>
    </row>
    <row r="19" spans="1:5" ht="15.75">
      <c r="B19" s="3159" t="str">
        <f>结果表!E111</f>
        <v>4.抵押净值</v>
      </c>
      <c r="C19" s="1395" t="s">
        <v>910</v>
      </c>
      <c r="D19" s="797">
        <f ca="1">结果表!H111</f>
        <v>11697.2888</v>
      </c>
    </row>
    <row r="20" spans="1:5" ht="31.5">
      <c r="B20" s="3160"/>
      <c r="C20" s="1390" t="s">
        <v>923</v>
      </c>
      <c r="D20" s="796" t="str">
        <f ca="1">NUMBERSTRING(INT(D19*10000),2)&amp;"元整"</f>
        <v>壹亿壹仟陆佰玖拾柒万贰仟捌佰捌拾捌元整</v>
      </c>
    </row>
    <row r="21" spans="1:5" ht="15.75" thickBot="1">
      <c r="B21" s="3161"/>
      <c r="C21" s="1397" t="s">
        <v>921</v>
      </c>
      <c r="D21" s="806">
        <f ca="1">结果表!H112</f>
        <v>51550</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1" t="s">
        <v>2840</v>
      </c>
      <c r="B1" s="3481"/>
      <c r="C1" s="3481"/>
      <c r="D1" s="3481"/>
      <c r="E1" s="3481"/>
      <c r="F1" s="3481"/>
      <c r="G1" s="3482"/>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79"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80"/>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3" t="s">
        <v>3182</v>
      </c>
      <c r="B1" s="3483"/>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4" t="s">
        <v>3233</v>
      </c>
      <c r="B1" s="3484"/>
      <c r="C1" s="3484"/>
      <c r="D1" s="3484"/>
      <c r="E1" s="3484"/>
      <c r="F1" s="3485"/>
    </row>
    <row r="2" spans="1:6">
      <c r="A2" s="3001" t="s">
        <v>3234</v>
      </c>
    </row>
    <row r="3" spans="1:6">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2936">
        <f>基准地价修正!G23</f>
        <v>45504</v>
      </c>
      <c r="B1" s="2928" t="s">
        <v>3372</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0.68</v>
      </c>
      <c r="E3" s="2885">
        <f t="shared" ref="E3:H3" si="0">ROUND(AVERAGEIF(E4:E19,"&lt;&gt;0"),2)</f>
        <v>0.4</v>
      </c>
      <c r="F3" s="2885">
        <f t="shared" si="0"/>
        <v>0.17</v>
      </c>
      <c r="G3" s="2885">
        <f t="shared" si="0"/>
        <v>0.74</v>
      </c>
      <c r="H3" s="2885">
        <f t="shared" si="0"/>
        <v>0.62</v>
      </c>
      <c r="I3" s="2885">
        <f>F3</f>
        <v>0.17</v>
      </c>
      <c r="J3" s="2886"/>
      <c r="K3" s="2887">
        <f>ROUND(AVERAGEIF(K4:K19,"&lt;&gt;0"),4)</f>
        <v>6.7999999999999996E-3</v>
      </c>
      <c r="L3" s="2888">
        <f t="shared" ref="L3:O3" si="1">ROUND(AVERAGEIF(L4:L19,"&lt;&gt;0"),4)</f>
        <v>4.0000000000000001E-3</v>
      </c>
      <c r="M3" s="2888">
        <f t="shared" si="1"/>
        <v>1.6999999999999999E-3</v>
      </c>
      <c r="N3" s="2888">
        <f t="shared" si="1"/>
        <v>7.4000000000000003E-3</v>
      </c>
      <c r="O3" s="2888">
        <f t="shared" si="1"/>
        <v>6.1999999999999998E-3</v>
      </c>
      <c r="P3" s="2888">
        <f>M3</f>
        <v>1.6999999999999999E-3</v>
      </c>
      <c r="Q3" s="2886"/>
      <c r="R3" s="2889">
        <f>ROUND(SUMPRODUCT(PRODUCT(1+K4:K19)),4)</f>
        <v>1.0916999999999999</v>
      </c>
      <c r="S3" s="2890">
        <f t="shared" ref="S3:V3" si="2">ROUND(SUMPRODUCT(PRODUCT(1+L4:L19)),4)</f>
        <v>1.0537000000000001</v>
      </c>
      <c r="T3" s="2890">
        <f t="shared" si="2"/>
        <v>1.0224</v>
      </c>
      <c r="U3" s="2890">
        <f t="shared" si="2"/>
        <v>1.1008</v>
      </c>
      <c r="V3" s="2890">
        <f t="shared" si="2"/>
        <v>1.0843</v>
      </c>
      <c r="W3" s="2889">
        <f>T3</f>
        <v>1.0224</v>
      </c>
      <c r="X3" s="2886"/>
      <c r="Y3" s="2891">
        <f>ROUND(AVERAGEIF(Y6:Y19,"&lt;&gt;0"),4)</f>
        <v>8.6999999999999994E-3</v>
      </c>
      <c r="Z3" s="2892">
        <f t="shared" ref="Z3:AC3" si="3">ROUND(AVERAGEIF(Z6:Z19,"&lt;&gt;0"),4)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3380</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1.0811999999999999</v>
      </c>
      <c r="S5" s="2025">
        <f>ROUND(IF(项目基本情况!$B$8="出让",SUMPRODUCT(PRODUCT(1+L5:$L$19)),SUMPRODUCT(PRODUCT(1+L5:$L$18))),4)</f>
        <v>1.052</v>
      </c>
      <c r="T5" s="2025">
        <f>ROUND(IF(项目基本情况!$B$8="出让",SUMPRODUCT(PRODUCT(1+M5:$M$19)),SUMPRODUCT(PRODUCT(1+M5:$M$18))),4)</f>
        <v>1.0249999999999999</v>
      </c>
      <c r="U5" s="2025">
        <f>ROUND(IF(项目基本情况!$B$8="出让",SUMPRODUCT(PRODUCT(1+N5:$N$19)),SUMPRODUCT(PRODUCT(1+N5:$N$18))),4)</f>
        <v>1.0888</v>
      </c>
      <c r="V5" s="2025">
        <f>ROUND(IF(项目基本情况!$B$8="出让",SUMPRODUCT(PRODUCT(1+O5:$O$19)),SUMPRODUCT(PRODUCT(1+O5:$O$18))),4)</f>
        <v>1.0804</v>
      </c>
      <c r="W5" s="2025">
        <f>T5</f>
        <v>1.0249999999999999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043" customFormat="1" ht="12.75">
      <c r="A6" s="2038" t="s">
        <v>3375</v>
      </c>
      <c r="B6" s="2029">
        <v>2024</v>
      </c>
      <c r="C6" s="2040">
        <v>2</v>
      </c>
      <c r="D6" s="2005">
        <v>0</v>
      </c>
      <c r="E6" s="2005">
        <v>0</v>
      </c>
      <c r="F6" s="2005">
        <v>0</v>
      </c>
      <c r="G6" s="2005">
        <v>0</v>
      </c>
      <c r="H6" s="2005">
        <v>0</v>
      </c>
      <c r="I6" s="2006">
        <f t="shared" ref="I6:I19" si="15">F6</f>
        <v>0</v>
      </c>
      <c r="J6" s="2905"/>
      <c r="K6" s="2041">
        <f t="shared" ref="K6:O19" si="16">D6/100</f>
        <v>0</v>
      </c>
      <c r="L6" s="2026">
        <f t="shared" si="16"/>
        <v>0</v>
      </c>
      <c r="M6" s="2026">
        <f t="shared" si="16"/>
        <v>0</v>
      </c>
      <c r="N6" s="2026">
        <f t="shared" si="16"/>
        <v>0</v>
      </c>
      <c r="O6" s="2026">
        <f t="shared" si="16"/>
        <v>0</v>
      </c>
      <c r="P6" s="2026">
        <f>M6</f>
        <v>0</v>
      </c>
      <c r="Q6" s="2905"/>
      <c r="R6" s="2025">
        <f>ROUND(IF(项目基本情况!$B$8="出让",SUMPRODUCT(PRODUCT(1+K6:$K$19)),SUMPRODUCT(PRODUCT(1+K6:$K$18))),4)</f>
        <v>1.0811999999999999</v>
      </c>
      <c r="S6" s="2025">
        <f>ROUND(IF(项目基本情况!$B$8="出让",SUMPRODUCT(PRODUCT(1+L6:$L$19)),SUMPRODUCT(PRODUCT(1+L6:$L$18))),4)</f>
        <v>1.052</v>
      </c>
      <c r="T6" s="2025">
        <f>ROUND(IF(项目基本情况!$B$8="出让",SUMPRODUCT(PRODUCT(1+M6:$M$19)),SUMPRODUCT(PRODUCT(1+M6:$M$18))),4)</f>
        <v>1.0249999999999999</v>
      </c>
      <c r="U6" s="2025">
        <f>ROUND(IF(项目基本情况!$B$8="出让",SUMPRODUCT(PRODUCT(1+N6:$N$19)),SUMPRODUCT(PRODUCT(1+N6:$N$18))),4)</f>
        <v>1.0888</v>
      </c>
      <c r="V6" s="2025">
        <f>ROUND(IF(项目基本情况!$B$8="出让",SUMPRODUCT(PRODUCT(1+O6:$O$19)),SUMPRODUCT(PRODUCT(1+O6:$O$18))),4)</f>
        <v>1.0804</v>
      </c>
      <c r="W6" s="2025">
        <f>T6</f>
        <v>1.0249999999999999</v>
      </c>
      <c r="X6" s="2905"/>
      <c r="Y6" s="2026">
        <f>IF(D6=0,0,ROUND(AVERAGE(D6:D19)/100,4))</f>
        <v>0</v>
      </c>
      <c r="Z6" s="2026">
        <f t="shared" ref="Z6:AC6" si="17">IF(E6=0,0,ROUND(AVERAGE(E6:E19)/100,4))</f>
        <v>0</v>
      </c>
      <c r="AA6" s="2026">
        <f t="shared" si="17"/>
        <v>0</v>
      </c>
      <c r="AB6" s="2026">
        <f t="shared" si="17"/>
        <v>0</v>
      </c>
      <c r="AC6" s="2026">
        <f t="shared" si="17"/>
        <v>0</v>
      </c>
      <c r="AD6" s="2026">
        <f t="shared" ref="AD6:AD18" si="18">AA6</f>
        <v>0</v>
      </c>
    </row>
    <row r="7" spans="1:30" s="2915" customFormat="1" ht="12.75">
      <c r="A7" s="2906" t="s">
        <v>3377</v>
      </c>
      <c r="B7" s="2907">
        <v>2024</v>
      </c>
      <c r="C7" s="2908">
        <v>1</v>
      </c>
      <c r="D7" s="2909">
        <v>0.08</v>
      </c>
      <c r="E7" s="2909">
        <v>0.46</v>
      </c>
      <c r="F7" s="2909">
        <v>-0.16</v>
      </c>
      <c r="G7" s="2909">
        <v>0.26</v>
      </c>
      <c r="H7" s="2910">
        <v>0.59</v>
      </c>
      <c r="I7" s="2911">
        <v>0</v>
      </c>
      <c r="J7" s="2912"/>
      <c r="K7" s="2913">
        <f t="shared" ref="K7" si="19">D7/100</f>
        <v>8.0000000000000004E-4</v>
      </c>
      <c r="L7" s="2914">
        <f t="shared" ref="L7" si="20">E7/100</f>
        <v>4.5999999999999999E-3</v>
      </c>
      <c r="M7" s="2914">
        <f t="shared" ref="M7" si="21">F7/100</f>
        <v>-1.6000000000000001E-3</v>
      </c>
      <c r="N7" s="2914">
        <f t="shared" ref="N7" si="22">G7/100</f>
        <v>2.5999999999999999E-3</v>
      </c>
      <c r="O7" s="2914">
        <f t="shared" ref="O7" si="23">H7/100</f>
        <v>5.8999999999999999E-3</v>
      </c>
      <c r="P7" s="2914">
        <f t="shared" ref="P7" si="24">M7</f>
        <v>-1.6000000000000001E-3</v>
      </c>
      <c r="Q7" s="2912"/>
      <c r="R7" s="2912">
        <f>ROUND(IF(项目基本情况!$B$8="出让",SUMPRODUCT(PRODUCT(1+K7:$K$19)),SUMPRODUCT(PRODUCT(1+K7:$K$18))),4)</f>
        <v>1.0811999999999999</v>
      </c>
      <c r="S7" s="2912">
        <f>ROUND(IF(项目基本情况!$B$8="出让",SUMPRODUCT(PRODUCT(1+L7:$L$19)),SUMPRODUCT(PRODUCT(1+L7:$L$18))),4)</f>
        <v>1.052</v>
      </c>
      <c r="T7" s="2912">
        <f>ROUND(IF(项目基本情况!$B$8="出让",SUMPRODUCT(PRODUCT(1+M7:$M$19)),SUMPRODUCT(PRODUCT(1+M7:$M$18))),4)</f>
        <v>1.0249999999999999</v>
      </c>
      <c r="U7" s="2912">
        <f>ROUND(IF(项目基本情况!$B$8="出让",SUMPRODUCT(PRODUCT(1+N7:$N$19)),SUMPRODUCT(PRODUCT(1+N7:$N$18))),4)</f>
        <v>1.0888</v>
      </c>
      <c r="V7" s="2912">
        <f>ROUND(IF(项目基本情况!$B$8="出让",SUMPRODUCT(PRODUCT(1+O7:$O$19)),SUMPRODUCT(PRODUCT(1+O7:$O$18))),4)</f>
        <v>1.0804</v>
      </c>
      <c r="W7" s="2912">
        <f t="shared" ref="W7" si="25">T7</f>
        <v>1.0249999999999999</v>
      </c>
      <c r="X7" s="2912"/>
      <c r="Y7" s="2914"/>
      <c r="Z7" s="2914"/>
      <c r="AA7" s="2914"/>
      <c r="AB7" s="2914"/>
      <c r="AC7" s="2914"/>
      <c r="AD7" s="2914"/>
    </row>
    <row r="8" spans="1:30" s="2043" customFormat="1" ht="12.75">
      <c r="A8" s="2904" t="s">
        <v>3378</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3376</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3371</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3370</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3369</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3365</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3356</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3367</v>
      </c>
    </row>
    <row r="22" spans="1:30">
      <c r="I22" s="1403" t="s">
        <v>2826</v>
      </c>
    </row>
    <row r="24" spans="1:30" s="2007" customFormat="1" ht="12.75">
      <c r="B24" s="2928" t="s">
        <v>3373</v>
      </c>
      <c r="C24" s="2929"/>
      <c r="D24" s="2929"/>
      <c r="E24" s="2929"/>
      <c r="F24" s="2929"/>
      <c r="G24" s="2929"/>
      <c r="H24" s="2929"/>
      <c r="I24" s="2929"/>
      <c r="J24" s="2895"/>
      <c r="K24" s="2929" t="s">
        <v>2827</v>
      </c>
      <c r="L24" s="2929"/>
      <c r="M24" s="2929"/>
      <c r="N24" s="2929"/>
      <c r="O24" s="2929"/>
      <c r="P24" s="2929"/>
      <c r="Q24" s="2895"/>
      <c r="R24" s="3486" t="s">
        <v>2828</v>
      </c>
      <c r="S24" s="3487"/>
      <c r="T24" s="3487"/>
      <c r="U24" s="3487"/>
      <c r="V24" s="3487"/>
      <c r="W24" s="3487"/>
      <c r="X24" s="2895"/>
      <c r="Y24" s="3486" t="s">
        <v>2829</v>
      </c>
      <c r="Z24" s="3487"/>
      <c r="AA24" s="3487"/>
      <c r="AB24" s="3487"/>
      <c r="AC24" s="3487"/>
      <c r="AD24" s="3487"/>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0.38</v>
      </c>
      <c r="F26" s="2885">
        <f t="shared" si="43"/>
        <v>0.28999999999999998</v>
      </c>
      <c r="G26" s="2885">
        <f t="shared" si="43"/>
        <v>0.56999999999999995</v>
      </c>
      <c r="I26" s="2885">
        <f>F26</f>
        <v>0.28999999999999998</v>
      </c>
      <c r="J26" s="2886"/>
      <c r="K26" s="2887"/>
      <c r="L26" s="2888">
        <f t="shared" ref="L26:N26" si="44">ROUND(AVERAGEIF(L27:L42,"&lt;&gt;0"),4)</f>
        <v>3.8E-3</v>
      </c>
      <c r="M26" s="2888">
        <f t="shared" si="44"/>
        <v>2.8999999999999998E-3</v>
      </c>
      <c r="N26" s="2888">
        <f t="shared" si="44"/>
        <v>5.7000000000000002E-3</v>
      </c>
      <c r="O26" s="2888"/>
      <c r="P26" s="2888">
        <f>M26</f>
        <v>2.8999999999999998E-3</v>
      </c>
      <c r="Q26" s="2886"/>
      <c r="R26" s="2889"/>
      <c r="S26" s="2890">
        <f>ROUND(SUMPRODUCT(PRODUCT(1+L27:L42)),4)</f>
        <v>1.0502</v>
      </c>
      <c r="T26" s="2890">
        <f t="shared" ref="T26:U26" si="45">ROUND(SUMPRODUCT(PRODUCT(1+M27:M42)),4)</f>
        <v>1.0387999999999999</v>
      </c>
      <c r="U26" s="2890">
        <f t="shared" si="45"/>
        <v>1.0763</v>
      </c>
      <c r="V26" s="2890"/>
      <c r="W26" s="2889">
        <f>T26</f>
        <v>1.0387999999999999</v>
      </c>
      <c r="X26" s="2886"/>
      <c r="Y26" s="2891"/>
      <c r="Z26" s="2892">
        <f t="shared" ref="Z26:AB26" si="46">ROUND(AVERAGEIF(Z27:Z42,"&lt;&gt;0"),4)</f>
        <v>4.3E-3</v>
      </c>
      <c r="AA26" s="2893">
        <f t="shared" si="46"/>
        <v>3.5999999999999999E-3</v>
      </c>
      <c r="AB26" s="2891">
        <f t="shared" si="46"/>
        <v>8.8999999999999999E-3</v>
      </c>
      <c r="AC26" s="2894"/>
      <c r="AD26" s="2891">
        <f>AA26</f>
        <v>3.5999999999999999E-3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3380</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1.0465</v>
      </c>
      <c r="T28" s="2025">
        <f>ROUND(IF(项目基本情况!$B$8="出让",SUMPRODUCT(PRODUCT(1+M28:M$42)),SUMPRODUCT(PRODUCT(1+M28:M$41))),4)</f>
        <v>1.0338000000000001</v>
      </c>
      <c r="U28" s="2025">
        <f>ROUND(IF(项目基本情况!$B$8="出让",SUMPRODUCT(PRODUCT(1+N28:N$42)),SUMPRODUCT(PRODUCT(1+N28:N$41))),4)</f>
        <v>1.0659000000000001</v>
      </c>
      <c r="V28" s="2025"/>
      <c r="W28" s="2025">
        <f>T28</f>
        <v>1.0338000000000001</v>
      </c>
      <c r="X28" s="2905"/>
      <c r="Y28" s="2026"/>
      <c r="Z28" s="2901">
        <f t="shared" ref="Z28:AB29" si="51">IF(E28=0,0,ROUND(AVERAGE(E28:E41)/100,4))</f>
        <v>0</v>
      </c>
      <c r="AA28" s="2901">
        <f t="shared" si="51"/>
        <v>0</v>
      </c>
      <c r="AB28" s="2901">
        <f t="shared" si="51"/>
        <v>0</v>
      </c>
      <c r="AC28" s="2903"/>
      <c r="AD28" s="2026">
        <f>IF(I28=0,0,ROUND(AVERAGE(I28:I41)/100,4))</f>
        <v>0</v>
      </c>
    </row>
    <row r="29" spans="1:30" s="2043" customFormat="1" ht="12.75">
      <c r="A29" s="2038" t="s">
        <v>3375</v>
      </c>
      <c r="B29" s="2029">
        <v>2024</v>
      </c>
      <c r="C29" s="2040">
        <v>2</v>
      </c>
      <c r="D29" s="2005"/>
      <c r="E29" s="2005">
        <v>0</v>
      </c>
      <c r="F29" s="2005">
        <v>0</v>
      </c>
      <c r="G29" s="2005">
        <v>0</v>
      </c>
      <c r="H29" s="2005"/>
      <c r="I29" s="2006">
        <f t="shared" ref="I29:I42" si="52">F29</f>
        <v>0</v>
      </c>
      <c r="J29" s="2905"/>
      <c r="K29" s="2041"/>
      <c r="L29" s="2026">
        <f t="shared" ref="L29:N42" si="53">E29/100</f>
        <v>0</v>
      </c>
      <c r="M29" s="2026">
        <f t="shared" si="53"/>
        <v>0</v>
      </c>
      <c r="N29" s="2026">
        <f t="shared" si="53"/>
        <v>0</v>
      </c>
      <c r="O29" s="2026"/>
      <c r="P29" s="2026">
        <f>M29</f>
        <v>0</v>
      </c>
      <c r="Q29" s="2905"/>
      <c r="R29" s="2025"/>
      <c r="S29" s="2025">
        <f>ROUND(IF(项目基本情况!$B$8="出让",SUMPRODUCT(PRODUCT(1+L29:L$42)),SUMPRODUCT(PRODUCT(1+L29:L$41))),4)</f>
        <v>1.0465</v>
      </c>
      <c r="T29" s="2025">
        <f>ROUND(IF(项目基本情况!$B$8="出让",SUMPRODUCT(PRODUCT(1+M29:M$42)),SUMPRODUCT(PRODUCT(1+M29:M$41))),4)</f>
        <v>1.0338000000000001</v>
      </c>
      <c r="U29" s="2025">
        <f>ROUND(IF(项目基本情况!$B$8="出让",SUMPRODUCT(PRODUCT(1+N29:N$42)),SUMPRODUCT(PRODUCT(1+N29:N$41))),4)</f>
        <v>1.0659000000000001</v>
      </c>
      <c r="V29" s="2025"/>
      <c r="W29" s="2025">
        <f>T29</f>
        <v>1.0338000000000001</v>
      </c>
      <c r="X29" s="2905"/>
      <c r="Y29" s="2026"/>
      <c r="Z29" s="2901">
        <f t="shared" si="51"/>
        <v>0</v>
      </c>
      <c r="AA29" s="2901">
        <f t="shared" si="51"/>
        <v>0</v>
      </c>
      <c r="AB29" s="2901">
        <f t="shared" si="51"/>
        <v>0</v>
      </c>
      <c r="AC29" s="2903"/>
      <c r="AD29" s="2026">
        <f>IF(I29=0,0,ROUND(AVERAGE(I29:I42)/100,4))</f>
        <v>0</v>
      </c>
    </row>
    <row r="30" spans="1:30" s="2915" customFormat="1" ht="12.75">
      <c r="A30" s="2906" t="s">
        <v>3377</v>
      </c>
      <c r="B30" s="2907">
        <v>2024</v>
      </c>
      <c r="C30" s="2908">
        <v>1</v>
      </c>
      <c r="D30" s="2909"/>
      <c r="E30" s="2909">
        <v>0.25</v>
      </c>
      <c r="F30" s="2909">
        <v>0.4</v>
      </c>
      <c r="G30" s="2909">
        <v>-0.63</v>
      </c>
      <c r="H30" s="2910"/>
      <c r="I30" s="2911">
        <f t="shared" ref="I30:I31" si="54">F30</f>
        <v>0.4</v>
      </c>
      <c r="J30" s="2912"/>
      <c r="K30" s="2913"/>
      <c r="L30" s="2914">
        <f t="shared" ref="L30" si="55">E30/100</f>
        <v>2.5000000000000001E-3</v>
      </c>
      <c r="M30" s="2914">
        <f t="shared" ref="M30" si="56">F30/100</f>
        <v>4.0000000000000001E-3</v>
      </c>
      <c r="N30" s="2914">
        <f t="shared" ref="N30" si="57">G30/100</f>
        <v>-6.3E-3</v>
      </c>
      <c r="O30" s="2914"/>
      <c r="P30" s="2914">
        <f t="shared" ref="P30" si="58">M30</f>
        <v>4.0000000000000001E-3</v>
      </c>
      <c r="Q30" s="2912"/>
      <c r="R30" s="2912"/>
      <c r="S30" s="2912">
        <f>ROUND(IF(项目基本情况!$B$8="出让",SUMPRODUCT(PRODUCT(1+L30:L$42)),SUMPRODUCT(PRODUCT(1+L30:L$41))),4)</f>
        <v>1.0465</v>
      </c>
      <c r="T30" s="2912">
        <f>ROUND(IF(项目基本情况!$B$8="出让",SUMPRODUCT(PRODUCT(1+M30:M$42)),SUMPRODUCT(PRODUCT(1+M30:M$41))),4)</f>
        <v>1.0338000000000001</v>
      </c>
      <c r="U30" s="2912">
        <f>ROUND(IF(项目基本情况!$B$8="出让",SUMPRODUCT(PRODUCT(1+N30:N$42)),SUMPRODUCT(PRODUCT(1+N30:N$41))),4)</f>
        <v>1.0659000000000001</v>
      </c>
      <c r="V30" s="2912"/>
      <c r="W30" s="2912">
        <f t="shared" ref="W30" si="59">T30</f>
        <v>1.0338000000000001</v>
      </c>
      <c r="X30" s="2912"/>
      <c r="Y30" s="2914"/>
      <c r="Z30" s="2930"/>
      <c r="AA30" s="2931"/>
      <c r="AB30" s="2914"/>
      <c r="AC30" s="2932"/>
      <c r="AD30" s="2914"/>
    </row>
    <row r="31" spans="1:30" s="2043" customFormat="1" ht="12.75">
      <c r="A31" s="2904" t="s">
        <v>3379</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3376</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3374</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3370</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3369</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3366</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3356</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45504</v>
      </c>
      <c r="D1" s="1215" t="s">
        <v>603</v>
      </c>
      <c r="E1" s="1210">
        <f>'数据-取费表'!B22</f>
        <v>2</v>
      </c>
      <c r="F1" s="1215" t="s">
        <v>604</v>
      </c>
      <c r="G1" s="1211">
        <f ca="1">INDIRECT("d"&amp;$K$1)/100</f>
        <v>3.4500000000000003E-2</v>
      </c>
      <c r="H1" s="1215" t="s">
        <v>634</v>
      </c>
      <c r="I1" s="1211">
        <f ca="1">F4/100</f>
        <v>1.4999999999999999E-2</v>
      </c>
      <c r="J1" s="1216">
        <f>IF(C1&gt;C13,0,MATCH(C1,C$13:C$111,-1))+IF(SUMIF(C13:C111,C1,D13:D111)=0,13,12)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44550</v>
      </c>
      <c r="D18" s="1203">
        <v>3.8</v>
      </c>
      <c r="E18" s="1203">
        <f>D18</f>
        <v>3.8</v>
      </c>
      <c r="F18" s="1203">
        <f>D18</f>
        <v>3.8</v>
      </c>
      <c r="G18" s="1203">
        <f>D18</f>
        <v>3.8</v>
      </c>
      <c r="H18" s="1203">
        <v>4.6500000000000004</v>
      </c>
      <c r="I18" s="1203"/>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198" t="s">
        <v>2310</v>
      </c>
      <c r="C23" s="1205">
        <v>43697</v>
      </c>
      <c r="D23" s="2573">
        <v>4.25</v>
      </c>
      <c r="E23" s="2573">
        <v>4.25</v>
      </c>
      <c r="F23" s="2573">
        <v>4.25</v>
      </c>
      <c r="G23" s="2573">
        <v>4.25</v>
      </c>
      <c r="H23" s="2573">
        <v>4.8499999999999996</v>
      </c>
      <c r="I23" s="2573"/>
      <c r="J23" s="257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4.25">
      <c r="B24" s="2576"/>
      <c r="C24" s="2577">
        <v>42301</v>
      </c>
      <c r="D24" s="2578">
        <v>4.3499999999999996</v>
      </c>
      <c r="E24" s="2578">
        <v>4.3499999999999996</v>
      </c>
      <c r="F24" s="2578">
        <v>4.75</v>
      </c>
      <c r="G24" s="2578">
        <v>4.75</v>
      </c>
      <c r="H24" s="2578">
        <v>4.9000000000000004</v>
      </c>
      <c r="I24" s="2578"/>
      <c r="J24" s="2578"/>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0" t="s">
        <v>925</v>
      </c>
      <c r="E3" s="800" t="s">
        <v>931</v>
      </c>
      <c r="F3" s="800" t="s">
        <v>925</v>
      </c>
      <c r="G3" s="800" t="s">
        <v>926</v>
      </c>
      <c r="H3" s="800" t="s">
        <v>925</v>
      </c>
      <c r="I3" s="800" t="s">
        <v>926</v>
      </c>
    </row>
    <row r="4" spans="1:9" ht="30">
      <c r="A4" s="1401" t="str">
        <f>项目基本情况!S2</f>
        <v>北京市顺义区金关北二路2号院2号楼1层115房地产</v>
      </c>
      <c r="B4" s="800">
        <f>项目基本情况!C17</f>
        <v>2269.1</v>
      </c>
      <c r="C4" s="800">
        <f>项目基本情况!C18</f>
        <v>0</v>
      </c>
      <c r="D4" s="800">
        <f ca="1">结果表!D118</f>
        <v>11899</v>
      </c>
      <c r="E4" s="800">
        <f ca="1">结果表!E118</f>
        <v>52439</v>
      </c>
      <c r="F4" s="800">
        <f ca="1">结果表!F118</f>
        <v>1105</v>
      </c>
      <c r="G4" s="800">
        <f ca="1">结果表!G118</f>
        <v>4871</v>
      </c>
      <c r="H4" s="800">
        <f ca="1">结果表!H118</f>
        <v>13004</v>
      </c>
      <c r="I4" s="800">
        <f ca="1">结果表!I118</f>
        <v>57310</v>
      </c>
    </row>
    <row r="5" spans="1:9" ht="30" customHeight="1">
      <c r="A5" s="3172" t="s">
        <v>927</v>
      </c>
      <c r="B5" s="3172"/>
      <c r="C5" s="3172"/>
      <c r="D5" s="3172" t="str">
        <f ca="1">结果表!D119</f>
        <v>壹亿壹仟捌佰玖拾玖万元整</v>
      </c>
      <c r="E5" s="3172"/>
      <c r="F5" s="3172" t="str">
        <f ca="1">结果表!F119</f>
        <v>壹仟壹佰零伍万元整</v>
      </c>
      <c r="G5" s="3172"/>
      <c r="H5" s="3172" t="str">
        <f ca="1">结果表!H119</f>
        <v>壹亿叁仟零肆万元整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13004</v>
      </c>
      <c r="E8" s="3171"/>
      <c r="F8" s="3171"/>
      <c r="G8" s="3171"/>
      <c r="H8" s="3171"/>
      <c r="I8" s="3171"/>
    </row>
    <row r="9" spans="1:9" ht="15">
      <c r="A9" s="3172" t="s">
        <v>927</v>
      </c>
      <c r="B9" s="3172"/>
      <c r="C9" s="3172"/>
      <c r="D9" s="3172" t="str">
        <f ca="1">结果表!D123</f>
        <v>壹亿叁仟零肆万元整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抵押净值</v>
      </c>
      <c r="B12" s="3171"/>
      <c r="C12" s="3171"/>
      <c r="D12" s="3171">
        <f ca="1">结果表!D126</f>
        <v>11697.2888</v>
      </c>
      <c r="E12" s="3171"/>
      <c r="F12" s="3171"/>
      <c r="G12" s="3171"/>
      <c r="H12" s="3171"/>
      <c r="I12" s="3171"/>
    </row>
    <row r="13" spans="1:9" ht="15.75" thickBot="1">
      <c r="A13" s="3169" t="s">
        <v>927</v>
      </c>
      <c r="B13" s="3169"/>
      <c r="C13" s="3169"/>
      <c r="D13" s="3169" t="str">
        <f ca="1">结果表!D127</f>
        <v>壹亿壹仟陆佰玖拾柒万贰仟捌佰捌拾捌元整</v>
      </c>
      <c r="E13" s="3169"/>
      <c r="F13" s="3169"/>
      <c r="G13" s="3169"/>
      <c r="H13" s="3169"/>
      <c r="I13" s="3169"/>
    </row>
    <row r="14" spans="1:9" ht="15" thickTop="1">
      <c r="A14" s="3170" t="s">
        <v>932</v>
      </c>
      <c r="B14" s="3170"/>
      <c r="C14" s="3170"/>
      <c r="D14" s="3170"/>
      <c r="E14" s="3170"/>
      <c r="F14" s="3170"/>
      <c r="G14" s="3170"/>
      <c r="H14" s="3170"/>
      <c r="I14" s="3170"/>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4" t="s">
        <v>949</v>
      </c>
      <c r="B1" s="3184"/>
      <c r="C1" s="3184"/>
      <c r="D1" s="3184"/>
    </row>
    <row r="2" spans="1:4" ht="18">
      <c r="A2" s="3185" t="s">
        <v>933</v>
      </c>
      <c r="B2" s="3185"/>
      <c r="C2" s="3185"/>
      <c r="D2" s="3185"/>
    </row>
    <row r="3" spans="1:4" ht="18.75">
      <c r="A3" s="1405" t="s">
        <v>934</v>
      </c>
      <c r="B3" s="1405" t="s">
        <v>935</v>
      </c>
      <c r="C3" s="1405" t="s">
        <v>936</v>
      </c>
      <c r="D3" s="1405" t="s">
        <v>937</v>
      </c>
    </row>
    <row r="4" spans="1:4" ht="56.25" customHeight="1">
      <c r="A4" s="1406" t="str">
        <f>项目基本情况!B4</f>
        <v>吴薇</v>
      </c>
      <c r="B4" s="1407">
        <f ca="1">项目基本情况!C4</f>
        <v>1419970001</v>
      </c>
      <c r="C4" s="1408"/>
      <c r="D4" s="1409" t="s">
        <v>938</v>
      </c>
    </row>
    <row r="5" spans="1:4" ht="56.25" customHeight="1">
      <c r="A5" s="1406">
        <f>项目基本情况!D4</f>
        <v>0</v>
      </c>
      <c r="B5" s="1407">
        <f>项目基本情况!E4</f>
        <v>0</v>
      </c>
      <c r="C5" s="1410"/>
      <c r="D5" s="1409" t="s">
        <v>938</v>
      </c>
    </row>
    <row r="6" spans="1:4" ht="18">
      <c r="A6" s="3185" t="s">
        <v>939</v>
      </c>
      <c r="B6" s="3185"/>
      <c r="C6" s="3185"/>
      <c r="D6" s="3185"/>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2" t="s">
        <v>956</v>
      </c>
      <c r="B15" s="3187" t="s">
        <v>109</v>
      </c>
      <c r="C15" s="3188"/>
    </row>
    <row r="16" spans="1:7" ht="13.5">
      <c r="A16" s="3193"/>
      <c r="B16" s="3187" t="s">
        <v>42</v>
      </c>
      <c r="C16" s="3188"/>
    </row>
    <row r="17" spans="1:3" ht="13.5">
      <c r="A17" s="3193"/>
      <c r="B17" s="3190" t="s">
        <v>957</v>
      </c>
      <c r="C17" s="1427" t="s">
        <v>956</v>
      </c>
    </row>
    <row r="18" spans="1:3" ht="13.5">
      <c r="A18" s="3193"/>
      <c r="B18" s="3190"/>
      <c r="C18" s="1427" t="s">
        <v>958</v>
      </c>
    </row>
    <row r="19" spans="1:3" ht="13.5">
      <c r="A19" s="3193"/>
      <c r="B19" s="3190"/>
      <c r="C19" s="1427" t="s">
        <v>959</v>
      </c>
    </row>
    <row r="20" spans="1:3" ht="13.5">
      <c r="A20" s="3194"/>
      <c r="B20" s="3189" t="s">
        <v>960</v>
      </c>
      <c r="C20" s="3188"/>
    </row>
    <row r="21" spans="1:3" ht="13.5">
      <c r="A21" s="1428" t="s">
        <v>961</v>
      </c>
      <c r="B21" s="1429"/>
      <c r="C21" s="1430"/>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7" t="s">
        <v>967</v>
      </c>
    </row>
    <row r="26" spans="1:3" ht="13.5">
      <c r="A26" s="3191"/>
      <c r="B26" s="3190"/>
      <c r="C26" s="1427" t="s">
        <v>968</v>
      </c>
    </row>
    <row r="27" spans="1:3" ht="13.5">
      <c r="A27" s="3191"/>
      <c r="B27" s="3190"/>
      <c r="C27" s="1427" t="s">
        <v>969</v>
      </c>
    </row>
    <row r="28" spans="1:3" ht="13.5">
      <c r="A28" s="3191"/>
      <c r="B28" s="3190"/>
      <c r="C28" s="1427" t="s">
        <v>970</v>
      </c>
    </row>
    <row r="29" spans="1:3" ht="13.5">
      <c r="A29" s="3191"/>
      <c r="B29" s="3190"/>
      <c r="C29" s="1427" t="s">
        <v>971</v>
      </c>
    </row>
    <row r="30" spans="1:3" ht="13.5">
      <c r="A30" s="3191"/>
      <c r="B30" s="3190"/>
      <c r="C30" s="1427" t="s">
        <v>972</v>
      </c>
    </row>
    <row r="31" spans="1:3" ht="13.5">
      <c r="A31" s="3191"/>
      <c r="B31" s="3190"/>
      <c r="C31" s="1427" t="s">
        <v>973</v>
      </c>
    </row>
    <row r="32" spans="1:3" ht="13.5">
      <c r="A32" s="3191"/>
      <c r="B32" s="3190"/>
      <c r="C32" s="1427" t="s">
        <v>974</v>
      </c>
    </row>
    <row r="33" spans="1:3" ht="13.5">
      <c r="A33" s="3191"/>
      <c r="B33" s="3190"/>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45621</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2024-11-25T05:24:01Z</dcterms:modified>
</cp:coreProperties>
</file>